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<sst xmlns="http://schemas.openxmlformats.org/spreadsheetml/2006/main" count="361" uniqueCount="186">
  <si>
    <t>Name</t>
  </si>
  <si>
    <t>Ticker</t>
  </si>
  <si>
    <t>Sector</t>
  </si>
  <si>
    <t>Tengo</t>
  </si>
  <si>
    <t>Categoria</t>
  </si>
  <si>
    <t>Min valor 100 d</t>
  </si>
  <si>
    <t>max valor 100 d</t>
  </si>
  <si>
    <t>media movil 20 d</t>
  </si>
  <si>
    <t>soporte</t>
  </si>
  <si>
    <t xml:space="preserve">bollinger superior </t>
  </si>
  <si>
    <t>bollinger inferior</t>
  </si>
  <si>
    <t>funds hold</t>
  </si>
  <si>
    <t>hedge top change</t>
  </si>
  <si>
    <t>13F shares</t>
  </si>
  <si>
    <t>Grafico</t>
  </si>
  <si>
    <t>Precio de compra</t>
  </si>
  <si>
    <t>Precio de venta</t>
  </si>
  <si>
    <t>ACCION</t>
  </si>
  <si>
    <t>dif precio y compra</t>
  </si>
  <si>
    <t>dif precio y venta</t>
  </si>
  <si>
    <t>precio euros</t>
  </si>
  <si>
    <t>tgt en euros</t>
  </si>
  <si>
    <t>gain con p medio</t>
  </si>
  <si>
    <t>gain con dividendo</t>
  </si>
  <si>
    <t>ganancia x indiceG</t>
  </si>
  <si>
    <t>Low Target Price (USD)</t>
  </si>
  <si>
    <t>plow</t>
  </si>
  <si>
    <t>Mean Target Price (USD)</t>
  </si>
  <si>
    <t>pmean</t>
  </si>
  <si>
    <t>High Target Price (USD)</t>
  </si>
  <si>
    <t>phigh</t>
  </si>
  <si>
    <t>target price usd</t>
  </si>
  <si>
    <t>Price</t>
  </si>
  <si>
    <t>margin+dividends</t>
  </si>
  <si>
    <t>Price analysisi date</t>
  </si>
  <si>
    <t>precio recompra eu</t>
  </si>
  <si>
    <t>precio venta eu</t>
  </si>
  <si>
    <t>cambio desde analisis</t>
  </si>
  <si>
    <t>expected effective growth</t>
  </si>
  <si>
    <t>growth since expected</t>
  </si>
  <si>
    <t>Margin</t>
  </si>
  <si>
    <t>puntuador tecnico</t>
  </si>
  <si>
    <t>accion def</t>
  </si>
  <si>
    <t>Accion</t>
  </si>
  <si>
    <t>accion</t>
  </si>
  <si>
    <t>expected gain</t>
  </si>
  <si>
    <t>up/dowm/fall</t>
  </si>
  <si>
    <t>expected/fall</t>
  </si>
  <si>
    <t>security</t>
  </si>
  <si>
    <t>downside</t>
  </si>
  <si>
    <t>optimistic</t>
  </si>
  <si>
    <t>Gain/risk</t>
  </si>
  <si>
    <t>Gain no fall and risk</t>
  </si>
  <si>
    <t>Gain/fall/risk/infravalora</t>
  </si>
  <si>
    <t>down + optimis</t>
  </si>
  <si>
    <t>Valuacion clean</t>
  </si>
  <si>
    <t>Market Cap</t>
  </si>
  <si>
    <t>Market Cap std</t>
  </si>
  <si>
    <t>Dividend Yield</t>
  </si>
  <si>
    <t>Total Revenues</t>
  </si>
  <si>
    <t>EPS Diluted</t>
  </si>
  <si>
    <t>Operating Margin</t>
  </si>
  <si>
    <t>Debt / Equity</t>
  </si>
  <si>
    <t>atraso 1y</t>
  </si>
  <si>
    <t>Infravaloracion</t>
  </si>
  <si>
    <t>now index</t>
  </si>
  <si>
    <t>Revenue 1Y Growth</t>
  </si>
  <si>
    <t>EBITDA 1Y Growth</t>
  </si>
  <si>
    <t>Diluted EPS 1Y Growth</t>
  </si>
  <si>
    <t>1y index</t>
  </si>
  <si>
    <t>Diluted EPS 5Y CAGR</t>
  </si>
  <si>
    <t>Revenue 5Y CAGR</t>
  </si>
  <si>
    <t>EBITDA 5Y CAGR</t>
  </si>
  <si>
    <t>ROE 5Yr Avg</t>
  </si>
  <si>
    <t>Operating Margin 5Yr Avg</t>
  </si>
  <si>
    <t>5y index</t>
  </si>
  <si>
    <t>index fundamental</t>
  </si>
  <si>
    <t>13f index</t>
  </si>
  <si>
    <t>index global</t>
  </si>
  <si>
    <t>indicador total</t>
  </si>
  <si>
    <t>Indice tecnico</t>
  </si>
  <si>
    <t>tecnico/fundam</t>
  </si>
  <si>
    <t>13f change</t>
  </si>
  <si>
    <t>1M Performance</t>
  </si>
  <si>
    <t>6M Performance</t>
  </si>
  <si>
    <t>1Y Performance</t>
  </si>
  <si>
    <t>5Y Performance (CAGR)</t>
  </si>
  <si>
    <t>Rend 1 mes</t>
  </si>
  <si>
    <t>Rend 1 week</t>
  </si>
  <si>
    <t>AAPL</t>
  </si>
  <si>
    <t>Tecnología</t>
  </si>
  <si>
    <t>si</t>
  </si>
  <si>
    <t>ABBV</t>
  </si>
  <si>
    <t>Salud</t>
  </si>
  <si>
    <t>Podría</t>
  </si>
  <si>
    <t>ACM</t>
  </si>
  <si>
    <t>Industria</t>
  </si>
  <si>
    <t>ADBE</t>
  </si>
  <si>
    <t>si/Aumentar</t>
  </si>
  <si>
    <t>ADSK</t>
  </si>
  <si>
    <t>Cara</t>
  </si>
  <si>
    <t>AMZN</t>
  </si>
  <si>
    <t>Comercio electrónico</t>
  </si>
  <si>
    <t>ANET</t>
  </si>
  <si>
    <t>APH</t>
  </si>
  <si>
    <t>no</t>
  </si>
  <si>
    <t>AVGO</t>
  </si>
  <si>
    <t>Debería</t>
  </si>
  <si>
    <t>BHP</t>
  </si>
  <si>
    <t>Materiales</t>
  </si>
  <si>
    <t>BLK</t>
  </si>
  <si>
    <t>Finanzas</t>
  </si>
  <si>
    <t>BMI</t>
  </si>
  <si>
    <t>BYD</t>
  </si>
  <si>
    <t>Automoción</t>
  </si>
  <si>
    <t>CAMT</t>
  </si>
  <si>
    <t>CAT</t>
  </si>
  <si>
    <t>CVS</t>
  </si>
  <si>
    <t>DECK</t>
  </si>
  <si>
    <t>Consumo</t>
  </si>
  <si>
    <t>DOCS</t>
  </si>
  <si>
    <t xml:space="preserve">no </t>
  </si>
  <si>
    <t>DT</t>
  </si>
  <si>
    <t>ENSG</t>
  </si>
  <si>
    <t>EVTC</t>
  </si>
  <si>
    <t>Telecomunicaciones</t>
  </si>
  <si>
    <t>EXEL</t>
  </si>
  <si>
    <t>F</t>
  </si>
  <si>
    <t>FTLF</t>
  </si>
  <si>
    <t>Energía</t>
  </si>
  <si>
    <t>GAMB</t>
  </si>
  <si>
    <t>GMED</t>
  </si>
  <si>
    <t>GOOGL</t>
  </si>
  <si>
    <t>HALO</t>
  </si>
  <si>
    <t>HLNE</t>
  </si>
  <si>
    <t>HON</t>
  </si>
  <si>
    <t>HQY</t>
  </si>
  <si>
    <t>IDCC</t>
  </si>
  <si>
    <t>ISRG</t>
  </si>
  <si>
    <t>JNJ</t>
  </si>
  <si>
    <t>JPM</t>
  </si>
  <si>
    <t>x</t>
  </si>
  <si>
    <t>KLAC</t>
  </si>
  <si>
    <t>LLY</t>
  </si>
  <si>
    <t>LMT</t>
  </si>
  <si>
    <t>Defensa</t>
  </si>
  <si>
    <t>LRCX</t>
  </si>
  <si>
    <t>LULU</t>
  </si>
  <si>
    <t>MA</t>
  </si>
  <si>
    <t>META</t>
  </si>
  <si>
    <t>MLM</t>
  </si>
  <si>
    <t>MOH</t>
  </si>
  <si>
    <t>MPWR</t>
  </si>
  <si>
    <t>MSFT</t>
  </si>
  <si>
    <t>NEE</t>
  </si>
  <si>
    <t>NFLX</t>
  </si>
  <si>
    <t>NKE</t>
  </si>
  <si>
    <t>NU</t>
  </si>
  <si>
    <t>NVDA</t>
  </si>
  <si>
    <t>NVMI</t>
  </si>
  <si>
    <t>Nvo</t>
  </si>
  <si>
    <t>PDD</t>
  </si>
  <si>
    <t>PFE</t>
  </si>
  <si>
    <t>PG</t>
  </si>
  <si>
    <t>PINS</t>
  </si>
  <si>
    <t>PLTR</t>
  </si>
  <si>
    <t>QCOM</t>
  </si>
  <si>
    <t>REGN</t>
  </si>
  <si>
    <t>REXR</t>
  </si>
  <si>
    <t>Bienes raíces</t>
  </si>
  <si>
    <t>RMD</t>
  </si>
  <si>
    <t>SCCO</t>
  </si>
  <si>
    <t>SHEL</t>
  </si>
  <si>
    <t>SKX</t>
  </si>
  <si>
    <t>SNOW</t>
  </si>
  <si>
    <t>SNPS</t>
  </si>
  <si>
    <t>TDW</t>
  </si>
  <si>
    <t>TSLA</t>
  </si>
  <si>
    <t>TTD</t>
  </si>
  <si>
    <t>UNH</t>
  </si>
  <si>
    <t>UTHR</t>
  </si>
  <si>
    <t>V</t>
  </si>
  <si>
    <t>VEEV</t>
  </si>
  <si>
    <t>VOW3</t>
  </si>
  <si>
    <t>WMT</t>
  </si>
  <si>
    <t>XOM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</si>
</sst>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0000"/>
  </numFmts>
  <fonts count="4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14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9F8F6"/>
        <bgColor rgb="FFF9F8F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FCFBF9"/>
        <bgColor rgb="FFFCFB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/>
    </xf>
    <xf borderId="1" fillId="0" fontId="1" numFmtId="2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3" fontId="1" numFmtId="2" xfId="0" applyAlignment="1" applyBorder="1" applyFill="1" applyFont="1" applyNumberFormat="1">
      <alignment horizontal="center"/>
    </xf>
    <xf borderId="1" fillId="4" fontId="1" numFmtId="2" xfId="0" applyAlignment="1" applyBorder="1" applyFill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5" fontId="1" numFmtId="2" xfId="0" applyAlignment="1" applyBorder="1" applyFill="1" applyFont="1" applyNumberFormat="1">
      <alignment horizontal="center"/>
    </xf>
    <xf borderId="1" fillId="6" fontId="1" numFmtId="2" xfId="0" applyAlignment="1" applyBorder="1" applyFill="1" applyFont="1" applyNumberFormat="1">
      <alignment horizontal="center"/>
    </xf>
    <xf borderId="1" fillId="7" fontId="1" numFmtId="10" xfId="0" applyAlignment="1" applyBorder="1" applyFill="1" applyFont="1" applyNumberFormat="1">
      <alignment horizontal="center"/>
    </xf>
    <xf borderId="1" fillId="3" fontId="1" numFmtId="10" xfId="0" applyAlignment="1" applyBorder="1" applyFont="1" applyNumberForma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2" xfId="0" applyAlignment="1" applyBorder="1" applyFill="1" applyFont="1" applyNumberFormat="1">
      <alignment horizontal="center"/>
    </xf>
    <xf borderId="1" fillId="3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10" fontId="1" numFmtId="2" xfId="0" applyAlignment="1" applyBorder="1" applyFill="1" applyFont="1" applyNumberFormat="1">
      <alignment horizontal="center"/>
    </xf>
    <xf borderId="1" fillId="10" fontId="1" numFmtId="10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/>
    </xf>
    <xf borderId="1" fillId="0" fontId="2" numFmtId="10" xfId="0" applyBorder="1" applyFont="1" applyNumberFormat="1"/>
    <xf borderId="1" fillId="4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4" fontId="1" numFmtId="2" xfId="0" applyAlignment="1" applyBorder="1" applyFont="1" applyNumberFormat="1">
      <alignment horizontal="center" shrinkToFit="0" wrapText="0"/>
    </xf>
    <xf borderId="1" fillId="13" fontId="1" numFmtId="164" xfId="0" applyAlignment="1" applyBorder="1" applyFill="1" applyFont="1" applyNumberFormat="1">
      <alignment horizontal="center" shrinkToFit="0" wrapText="0"/>
    </xf>
    <xf borderId="1" fillId="14" fontId="1" numFmtId="2" xfId="0" applyAlignment="1" applyBorder="1" applyFill="1" applyFont="1" applyNumberFormat="1">
      <alignment horizontal="center" shrinkToFit="0" wrapText="0"/>
    </xf>
    <xf borderId="1" fillId="15" fontId="1" numFmtId="2" xfId="0" applyAlignment="1" applyBorder="1" applyFill="1" applyFont="1" applyNumberFormat="1">
      <alignment horizontal="center" shrinkToFit="0" wrapText="0"/>
    </xf>
    <xf borderId="1" fillId="3" fontId="1" numFmtId="2" xfId="0" applyAlignment="1" applyBorder="1" applyFont="1" applyNumberFormat="1">
      <alignment horizontal="center" shrinkToFit="0" wrapText="0"/>
    </xf>
    <xf borderId="1" fillId="8" fontId="1" numFmtId="2" xfId="0" applyAlignment="1" applyBorder="1" applyFont="1" applyNumberFormat="1">
      <alignment horizontal="center" shrinkToFit="0" wrapText="0"/>
    </xf>
    <xf borderId="1" fillId="5" fontId="1" numFmtId="2" xfId="0" applyAlignment="1" applyBorder="1" applyFont="1" applyNumberFormat="1">
      <alignment horizontal="center" shrinkToFit="0" wrapText="0"/>
    </xf>
    <xf borderId="1" fillId="16" fontId="1" numFmtId="2" xfId="0" applyAlignment="1" applyBorder="1" applyFill="1" applyFont="1" applyNumberFormat="1">
      <alignment horizontal="center"/>
    </xf>
    <xf borderId="1" fillId="17" fontId="1" numFmtId="2" xfId="0" applyAlignment="1" applyBorder="1" applyFill="1" applyFont="1" applyNumberFormat="1">
      <alignment horizontal="center" shrinkToFit="0" wrapText="0"/>
    </xf>
    <xf borderId="1" fillId="11" fontId="1" numFmtId="2" xfId="0" applyAlignment="1" applyBorder="1" applyFont="1" applyNumberFormat="1">
      <alignment horizontal="center" shrinkToFit="0" wrapText="0"/>
    </xf>
    <xf borderId="1" fillId="2" fontId="1" numFmtId="10" xfId="0" applyAlignment="1" applyBorder="1" applyFont="1" applyNumberFormat="1">
      <alignment horizontal="center" shrinkToFit="0" wrapText="0"/>
    </xf>
    <xf borderId="1" fillId="2" fontId="3" numFmtId="2" xfId="0" applyAlignment="1" applyBorder="1" applyFont="1" applyNumberFormat="1">
      <alignment horizontal="center"/>
    </xf>
    <xf borderId="1" fillId="0" fontId="3" numFmtId="2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1" fillId="2" fontId="3" numFmtId="10" xfId="0" applyAlignment="1" applyBorder="1" applyFont="1" applyNumberFormat="1">
      <alignment horizontal="center"/>
    </xf>
    <xf borderId="1" fillId="0" fontId="3" numFmtId="10" xfId="0" applyAlignment="1" applyBorder="1" applyFont="1" applyNumberFormat="1">
      <alignment horizontal="center"/>
    </xf>
    <xf borderId="1" fillId="9" fontId="3" numFmtId="0" xfId="0" applyAlignment="1" applyBorder="1" applyFont="1">
      <alignment horizontal="center"/>
    </xf>
    <xf borderId="1" fillId="9" fontId="3" numFmtId="165" xfId="0" applyAlignment="1" applyBorder="1" applyFont="1" applyNumberFormat="1">
      <alignment horizontal="center"/>
    </xf>
    <xf borderId="1" fillId="9" fontId="3" numFmtId="2" xfId="0" applyAlignment="1" applyBorder="1" applyFont="1" applyNumberFormat="1">
      <alignment horizontal="center"/>
    </xf>
    <xf borderId="1" fillId="14" fontId="3" numFmtId="10" xfId="0" applyAlignment="1" applyBorder="1" applyFont="1" applyNumberFormat="1">
      <alignment horizontal="center"/>
    </xf>
    <xf borderId="1" fillId="11" fontId="3" numFmtId="10" xfId="0" applyAlignment="1" applyBorder="1" applyFont="1" applyNumberFormat="1">
      <alignment horizontal="center"/>
    </xf>
    <xf borderId="1" fillId="12" fontId="3" numFmtId="10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13" fontId="3" numFmtId="164" xfId="0" applyAlignment="1" applyBorder="1" applyFont="1" applyNumberFormat="1">
      <alignment horizontal="center"/>
    </xf>
    <xf borderId="1" fillId="4" fontId="3" numFmtId="2" xfId="0" applyAlignment="1" applyBorder="1" applyFont="1" applyNumberFormat="1">
      <alignment horizontal="center"/>
    </xf>
    <xf borderId="1" fillId="14" fontId="3" numFmtId="2" xfId="0" applyAlignment="1" applyBorder="1" applyFont="1" applyNumberFormat="1">
      <alignment horizontal="center"/>
    </xf>
    <xf borderId="1" fillId="15" fontId="3" numFmtId="2" xfId="0" applyAlignment="1" applyBorder="1" applyFont="1" applyNumberFormat="1">
      <alignment horizontal="center"/>
    </xf>
    <xf borderId="1" fillId="3" fontId="3" numFmtId="2" xfId="0" applyAlignment="1" applyBorder="1" applyFont="1" applyNumberFormat="1">
      <alignment horizontal="center"/>
    </xf>
    <xf borderId="1" fillId="8" fontId="3" numFmtId="2" xfId="0" applyAlignment="1" applyBorder="1" applyFont="1" applyNumberFormat="1">
      <alignment horizontal="center"/>
    </xf>
    <xf borderId="1" fillId="5" fontId="3" numFmtId="2" xfId="0" applyAlignment="1" applyBorder="1" applyFont="1" applyNumberFormat="1">
      <alignment horizontal="center" shrinkToFit="0" wrapText="0"/>
    </xf>
    <xf borderId="1" fillId="16" fontId="3" numFmtId="2" xfId="0" applyAlignment="1" applyBorder="1" applyFont="1" applyNumberFormat="1">
      <alignment horizontal="center"/>
    </xf>
    <xf borderId="1" fillId="17" fontId="3" numFmtId="2" xfId="0" applyAlignment="1" applyBorder="1" applyFont="1" applyNumberFormat="1">
      <alignment horizontal="center" shrinkToFit="0" wrapText="0"/>
    </xf>
    <xf borderId="1" fillId="11" fontId="3" numFmtId="2" xfId="0" applyAlignment="1" applyBorder="1" applyFont="1" applyNumberFormat="1">
      <alignment horizontal="center" shrinkToFit="0" wrapText="0"/>
    </xf>
    <xf borderId="1" fillId="18" fontId="3" numFmtId="0" xfId="0" applyAlignment="1" applyBorder="1" applyFill="1" applyFont="1">
      <alignment horizontal="center"/>
    </xf>
    <xf borderId="1" fillId="14" fontId="3" numFmtId="0" xfId="0" applyAlignment="1" applyBorder="1" applyFont="1">
      <alignment horizontal="center"/>
    </xf>
    <xf borderId="1" fillId="4" fontId="3" numFmtId="166" xfId="0" applyAlignment="1" applyBorder="1" applyFont="1" applyNumberFormat="1">
      <alignment horizontal="center"/>
    </xf>
    <xf borderId="1" fillId="19" fontId="3" numFmtId="2" xfId="0" applyAlignment="1" applyBorder="1" applyFill="1" applyFont="1" applyNumberFormat="1">
      <alignment horizontal="center"/>
    </xf>
    <xf borderId="1" fillId="19" fontId="3" numFmtId="10" xfId="0" applyAlignment="1" applyBorder="1" applyFont="1" applyNumberFormat="1">
      <alignment horizontal="center"/>
    </xf>
    <xf borderId="1" fillId="10" fontId="3" numFmtId="2" xfId="0" applyAlignment="1" applyBorder="1" applyFont="1" applyNumberFormat="1">
      <alignment horizontal="center"/>
    </xf>
    <xf borderId="1" fillId="8" fontId="3" numFmtId="0" xfId="0" applyAlignment="1" applyBorder="1" applyFont="1">
      <alignment horizontal="center"/>
    </xf>
    <xf borderId="1" fillId="19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16" fontId="2" numFmtId="2" xfId="0" applyBorder="1" applyFont="1" applyNumberFormat="1"/>
    <xf borderId="1" fillId="4" fontId="2" numFmtId="2" xfId="0" applyBorder="1" applyFont="1" applyNumberFormat="1"/>
    <xf borderId="1" fillId="10" fontId="3" numFmtId="0" xfId="0" applyAlignment="1" applyBorder="1" applyFont="1">
      <alignment horizontal="center"/>
    </xf>
    <xf borderId="1" fillId="0" fontId="2" numFmtId="2" xfId="0" applyBorder="1" applyFont="1" applyNumberFormat="1"/>
    <xf borderId="1" fillId="0" fontId="2" numFmtId="0" xfId="0" applyBorder="1" applyFont="1"/>
    <xf borderId="1" fillId="9" fontId="2" numFmtId="2" xfId="0" applyBorder="1" applyFont="1" applyNumberFormat="1"/>
    <xf borderId="1" fillId="14" fontId="2" numFmtId="10" xfId="0" applyBorder="1" applyFont="1" applyNumberFormat="1"/>
    <xf borderId="1" fillId="12" fontId="2" numFmtId="10" xfId="0" applyBorder="1" applyFont="1" applyNumberFormat="1"/>
    <xf borderId="1" fillId="11" fontId="2" numFmtId="10" xfId="0" applyBorder="1" applyFont="1" applyNumberFormat="1"/>
    <xf borderId="1" fillId="0" fontId="2" numFmtId="164" xfId="0" applyBorder="1" applyFont="1" applyNumberFormat="1"/>
    <xf borderId="1" fillId="15" fontId="2" numFmtId="2" xfId="0" applyBorder="1" applyFont="1" applyNumberFormat="1"/>
    <xf borderId="1" fillId="8" fontId="2" numFmtId="2" xfId="0" applyBorder="1" applyFont="1" applyNumberFormat="1"/>
    <xf borderId="1" fillId="5" fontId="2" numFmtId="2" xfId="0" applyBorder="1" applyFont="1" applyNumberFormat="1"/>
    <xf borderId="1" fillId="11" fontId="2" numFmtId="0" xfId="0" applyBorder="1" applyFont="1"/>
    <xf borderId="1" fillId="19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22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1" t="s">
        <v>11</v>
      </c>
      <c r="N1" s="1" t="s">
        <v>12</v>
      </c>
      <c r="O1" s="1" t="s">
        <v>12</v>
      </c>
      <c r="P1" s="1" t="s">
        <v>13</v>
      </c>
      <c r="Q1" s="1" t="s">
        <v>13</v>
      </c>
      <c r="R1" s="1" t="s">
        <v>14</v>
      </c>
      <c r="S1" s="5" t="s">
        <v>15</v>
      </c>
      <c r="T1" s="4" t="s">
        <v>16</v>
      </c>
      <c r="U1" s="2" t="s">
        <v>17</v>
      </c>
      <c r="V1" s="6" t="s">
        <v>18</v>
      </c>
      <c r="W1" s="7" t="s">
        <v>19</v>
      </c>
      <c r="X1" s="8" t="s">
        <v>20</v>
      </c>
      <c r="Y1" s="9" t="s">
        <v>21</v>
      </c>
      <c r="Z1" s="10" t="s">
        <v>22</v>
      </c>
      <c r="AA1" s="11" t="s">
        <v>23</v>
      </c>
      <c r="AB1" s="12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  <c r="AI1" s="13" t="s">
        <v>31</v>
      </c>
      <c r="AJ1" s="1" t="s">
        <v>32</v>
      </c>
      <c r="AK1" s="14" t="s">
        <v>33</v>
      </c>
      <c r="AL1" s="1" t="s">
        <v>34</v>
      </c>
      <c r="AM1" s="1" t="s">
        <v>35</v>
      </c>
      <c r="AN1" s="1" t="s">
        <v>36</v>
      </c>
      <c r="AO1" s="15" t="s">
        <v>37</v>
      </c>
      <c r="AP1" s="15" t="s">
        <v>38</v>
      </c>
      <c r="AQ1" s="3" t="s">
        <v>39</v>
      </c>
      <c r="AR1" s="3" t="s">
        <v>40</v>
      </c>
      <c r="AS1" s="1" t="s">
        <v>41</v>
      </c>
      <c r="AT1" s="4" t="s">
        <v>42</v>
      </c>
      <c r="AU1" s="5" t="s">
        <v>43</v>
      </c>
      <c r="AV1" s="16" t="s">
        <v>44</v>
      </c>
      <c r="AW1" s="11" t="s">
        <v>45</v>
      </c>
      <c r="AX1" s="17" t="s">
        <v>46</v>
      </c>
      <c r="AY1" s="17" t="s">
        <v>47</v>
      </c>
      <c r="AZ1" s="18" t="s">
        <v>48</v>
      </c>
      <c r="BA1" s="19"/>
      <c r="BB1" s="19"/>
      <c r="BC1" s="6" t="s">
        <v>49</v>
      </c>
      <c r="BD1" s="19"/>
      <c r="BE1" s="19"/>
      <c r="BF1" s="6" t="s">
        <v>50</v>
      </c>
      <c r="BG1" s="20" t="s">
        <v>51</v>
      </c>
      <c r="BH1" s="21" t="s">
        <v>52</v>
      </c>
      <c r="BI1" s="22" t="s">
        <v>53</v>
      </c>
      <c r="BJ1" s="7" t="s">
        <v>54</v>
      </c>
      <c r="BK1" s="21" t="s">
        <v>55</v>
      </c>
      <c r="BL1" s="23" t="s">
        <v>56</v>
      </c>
      <c r="BM1" s="24" t="s">
        <v>57</v>
      </c>
      <c r="BN1" s="6" t="s">
        <v>58</v>
      </c>
      <c r="BO1" s="23" t="s">
        <v>59</v>
      </c>
      <c r="BP1" s="23" t="s">
        <v>59</v>
      </c>
      <c r="BQ1" s="23" t="s">
        <v>60</v>
      </c>
      <c r="BR1" s="23" t="s">
        <v>60</v>
      </c>
      <c r="BS1" s="23" t="s">
        <v>61</v>
      </c>
      <c r="BT1" s="23" t="s">
        <v>61</v>
      </c>
      <c r="BU1" s="23" t="s">
        <v>62</v>
      </c>
      <c r="BV1" s="23" t="s">
        <v>62</v>
      </c>
      <c r="BW1" s="25" t="s">
        <v>63</v>
      </c>
      <c r="BX1" s="26" t="s">
        <v>64</v>
      </c>
      <c r="BY1" s="23" t="s">
        <v>65</v>
      </c>
      <c r="BZ1" s="27" t="s">
        <v>66</v>
      </c>
      <c r="CA1" s="27" t="s">
        <v>66</v>
      </c>
      <c r="CB1" s="27" t="s">
        <v>67</v>
      </c>
      <c r="CC1" s="27" t="s">
        <v>67</v>
      </c>
      <c r="CD1" s="27" t="s">
        <v>68</v>
      </c>
      <c r="CE1" s="27" t="s">
        <v>68</v>
      </c>
      <c r="CF1" s="27" t="s">
        <v>69</v>
      </c>
      <c r="CG1" s="28" t="s">
        <v>70</v>
      </c>
      <c r="CH1" s="28" t="s">
        <v>70</v>
      </c>
      <c r="CI1" s="28" t="s">
        <v>71</v>
      </c>
      <c r="CJ1" s="28" t="s">
        <v>71</v>
      </c>
      <c r="CK1" s="28" t="s">
        <v>72</v>
      </c>
      <c r="CL1" s="28" t="s">
        <v>72</v>
      </c>
      <c r="CM1" s="28" t="s">
        <v>73</v>
      </c>
      <c r="CN1" s="28" t="s">
        <v>73</v>
      </c>
      <c r="CO1" s="28" t="s">
        <v>74</v>
      </c>
      <c r="CP1" s="28" t="s">
        <v>74</v>
      </c>
      <c r="CQ1" s="28" t="s">
        <v>75</v>
      </c>
      <c r="CR1" s="29" t="s">
        <v>76</v>
      </c>
      <c r="CS1" s="30" t="s">
        <v>77</v>
      </c>
      <c r="CT1" s="31" t="s">
        <v>78</v>
      </c>
      <c r="CU1" s="32" t="s">
        <v>79</v>
      </c>
      <c r="CV1" s="1" t="s">
        <v>80</v>
      </c>
      <c r="CW1" s="1" t="s">
        <v>81</v>
      </c>
      <c r="CX1" s="1" t="s">
        <v>82</v>
      </c>
      <c r="CY1" s="33" t="s">
        <v>83</v>
      </c>
      <c r="CZ1" s="33" t="s">
        <v>84</v>
      </c>
      <c r="DA1" s="33" t="s">
        <v>85</v>
      </c>
      <c r="DB1" s="33" t="s">
        <v>86</v>
      </c>
      <c r="DC1" s="1" t="s">
        <v>87</v>
      </c>
      <c r="DD1" s="1" t="s">
        <v>88</v>
      </c>
    </row>
    <row r="2">
      <c r="A2" s="34" t="str">
        <f>IFERROR(__xludf.DUMMYFUNCTION("GOOGLEFINANCE(B2,""name"")"),"Apple Inc")</f>
        <v>Apple Inc</v>
      </c>
      <c r="B2" s="35" t="s">
        <v>89</v>
      </c>
      <c r="C2" s="35" t="s">
        <v>90</v>
      </c>
      <c r="D2" s="35" t="s">
        <v>91</v>
      </c>
      <c r="E2" s="36">
        <v>1.0</v>
      </c>
      <c r="F2" s="35">
        <f>IFERROR(__xludf.DUMMYFUNCTION("IFERROR(MIN(INDEX(GOOGLEFINANCE(B2,""close"",TODAY()-100,TODAY()),0,2)) * GOOGLEFINANCE(""CURRENCY:USDEUR""),""Error en datos"")"),147.5191036)</f>
        <v>147.5191036</v>
      </c>
      <c r="G2" s="35">
        <f>IFERROR(__xludf.DUMMYFUNCTION("IFERROR(MAX(INDEX(GOOGLEFINANCE(B2,""close"",TODAY()-100,TODAY()),0,2)) * GOOGLEFINANCE(""CURRENCY:USDEUR""),""Error en datos"")"),182.709109)</f>
        <v>182.709109</v>
      </c>
      <c r="H2" s="35">
        <f>IFERROR(__xludf.DUMMYFUNCTION("IFERROR(AVERAGE(INDEX(GOOGLEFINANCE(B2,""close"",TODAY()-20,TODAY()),0,2)) * GOOGLEFINANCE(""CURRENCY:USDEUR""),""Error en datos"")"),177.53877324615382)</f>
        <v>177.5387732</v>
      </c>
      <c r="I2" s="35">
        <f>IFERROR(__xludf.DUMMYFUNCTION("IFERROR(PERCENTILE(INDEX(GOOGLEFINANCE(B2,""close"",TODAY()-365,TODAY()),0,2),0.05) * GOOGLEFINANCE(""CURRENCY:USDEUR""),""Error en datos"")"),169.19436732000003)</f>
        <v>169.1943673</v>
      </c>
      <c r="J2" s="35">
        <f>IFERROR(__xludf.DUMMYFUNCTION("AVERAGE(INDEX(GOOGLEFINANCE(B2,""price"",TODAY()-20,TODAY(),""DAILY""),0,2))+(2*STDEV(INDEX(GOOGLEFINANCE(B2,""price"",TODAY()-20,TODAY(),""DAILY""),0,2)))"),217.5099672289646)</f>
        <v>217.5099672</v>
      </c>
      <c r="K2" s="35">
        <f>IFERROR(__xludf.DUMMYFUNCTION("AVERAGE(INDEX(GOOGLEFINANCE(B2,""price"",TODAY()-20,TODAY(),""DAILY""),0,2))-(2*STDEV(INDEX(GOOGLEFINANCE(B2,""price"",TODAY()-20,TODAY(),""DAILY""),0,2)))"),197.5038789248815)</f>
        <v>197.5038789</v>
      </c>
      <c r="L2" s="35">
        <v>5464.0</v>
      </c>
      <c r="M2" s="35">
        <f t="shared" ref="M2:M78" si="1">(L2 - MIN(L:L)) / (MAX(L:L) - MIN(L:L))</f>
        <v>0.9625574002</v>
      </c>
      <c r="N2" s="35">
        <v>1.8</v>
      </c>
      <c r="O2" s="35">
        <f t="shared" ref="O2:O78" si="2">(N2 - MIN(N:N)) / (MAX(N:N) - MIN(N:N))</f>
        <v>0.4524444444</v>
      </c>
      <c r="P2" s="35">
        <v>3.25</v>
      </c>
      <c r="Q2" s="35">
        <f t="shared" ref="Q2:Q78" si="3">(P2 - MIN(P:P)) / (MAX(P:P) - MIN(P:P))</f>
        <v>0.2127125193</v>
      </c>
      <c r="R2" s="35" t="str">
        <f>IFERROR(__xludf.DUMMYFUNCTION("IF(B2="""", """", SPARKLINE(INDEX(GOOGLEFINANCE(B2, ""price"", TODAY()-1825, TODAY()), 0, 2)))"),"")</f>
        <v/>
      </c>
      <c r="S2" s="35">
        <f t="shared" ref="S2:S78" si="4">AVERAGE(F2,I2,K2)</f>
        <v>171.4057833</v>
      </c>
      <c r="T2" s="35">
        <f t="shared" ref="T2:T78" si="5">AVERAGE(0.25*G2,0.25*J2,2.5*Y2)</f>
        <v>210.4409515</v>
      </c>
      <c r="U2" s="34" t="str">
        <f t="shared" ref="U2:U78" si="6">IF(V2&lt;0.05, "Compra", IF(W2&gt;0.05, "Venta", ""))</f>
        <v/>
      </c>
      <c r="V2" s="37">
        <f t="shared" ref="V2:V78" si="7">X2/S2-1</f>
        <v>0.05401503579</v>
      </c>
      <c r="W2" s="37">
        <f t="shared" ref="W2:W78" si="8">X2/Y2-1</f>
        <v>-0.1498441287</v>
      </c>
      <c r="X2" s="34">
        <f>IFERROR(__xludf.DUMMYFUNCTION("AJ2*GOOGLEFINANCE(""CURRENCY:USD/EUR"")"),180.6642728)</f>
        <v>180.6642728</v>
      </c>
      <c r="Y2" s="35">
        <f>IFERROR(__xludf.DUMMYFUNCTION("AI2*GOOGLEFINANCE(""CURRENCY:USD/EUR"")"),212.50723413083367)</f>
        <v>212.5072341</v>
      </c>
      <c r="Z2" s="38">
        <f t="shared" ref="Z2:Z78" si="9">T2/X2-1</f>
        <v>0.1648177484</v>
      </c>
      <c r="AA2" s="38">
        <f t="shared" ref="AA2:AA78" si="10">Y2/X2-1+BN2</f>
        <v>0.1812548889</v>
      </c>
      <c r="AB2" s="38">
        <f t="shared" ref="AB2:AB78" si="11">CT2*AA2</f>
        <v>0.07894164862</v>
      </c>
      <c r="AC2" s="39">
        <v>173.0</v>
      </c>
      <c r="AD2" s="40">
        <f t="shared" ref="AD2:AD78" si="12">(1-BM2)/3</f>
        <v>0.02431626324</v>
      </c>
      <c r="AE2" s="39">
        <v>228.29</v>
      </c>
      <c r="AF2" s="41">
        <f t="shared" ref="AF2:AF78" si="13">CR2</f>
        <v>0.4618398496</v>
      </c>
      <c r="AG2" s="39">
        <v>270.0</v>
      </c>
      <c r="AH2" s="41">
        <f t="shared" ref="AH2:AH78" si="14">1-AF2-AD2</f>
        <v>0.5138438872</v>
      </c>
      <c r="AI2" s="41">
        <f t="shared" ref="AI2:AI78" si="15">AC2*AD2+AE2*AF2+AG2*AH2</f>
        <v>248.3779823</v>
      </c>
      <c r="AJ2" s="34">
        <f>IFERROR(__xludf.DUMMYFUNCTION("GOOGLEFINANCE(B2,""price"")"),211.16)</f>
        <v>211.16</v>
      </c>
      <c r="AK2" s="37">
        <f>AP2+BN2</f>
        <v>0.2706202922</v>
      </c>
      <c r="AL2" s="34">
        <v>196.25</v>
      </c>
      <c r="AM2" s="34">
        <f t="shared" ref="AM2:AM78" si="16">X2*(1+BC2)</f>
        <v>169.4608015</v>
      </c>
      <c r="AN2" s="34">
        <f t="shared" ref="AN2:AN78" si="17">X2*(AI2/AL2)</f>
        <v>228.6523697</v>
      </c>
      <c r="AO2" s="38">
        <f>IFERROR(__xludf.DUMMYFUNCTION("(GOOGLEFINANCE(B2, ""price"") - INDEX(GOOGLEFINANCE(B2, ""price"", DATE(2025,5,8)), 2, 2)) / INDEX(GOOGLEFINANCE(B2, ""price"", DATE(2025,5,8)), 2, 2)"),0.06921869461744892)</f>
        <v>0.06921869462</v>
      </c>
      <c r="AP2" s="37">
        <f t="shared" ref="AP2:AP78" si="18">AN2/X2-1</f>
        <v>0.2656202922</v>
      </c>
      <c r="AQ2" s="37">
        <f t="shared" ref="AQ2:AQ78" si="19">AJ2/AL2-1</f>
        <v>0.07597452229</v>
      </c>
      <c r="AR2" s="37">
        <f t="shared" ref="AR2:AR78" si="20">AP2-AQ2</f>
        <v>0.1896457699</v>
      </c>
      <c r="AS2" s="34">
        <f>IFERROR(__xludf.DUMMYFUNCTION("IF(X2&lt;K2,1,IF(X2&gt;J2,-1,0)) + IF(X2&lt;F2,1,IF(X2&gt;G2,-1,0)) + IF(X2&lt;I2,1,IF(X2&gt;I2,-1,0)) + IF(X2&lt;H2,1,IF(X2&gt;H2,-1,0))"),-1.0)</f>
        <v>-1</v>
      </c>
      <c r="AT2" s="34" t="str">
        <f t="shared" ref="AT2:AT51" si="21">IF(X2&gt;=Y2, "venta", IF(X2&lt;=AM2, "recompra", "Hold"))</f>
        <v>Hold</v>
      </c>
      <c r="AU2" s="35" t="str">
        <f t="shared" ref="AU2:AU78" si="22">IF(AA2&lt;0.03, "venta", IF(AW2&lt;0.2, "hold", "compra"))</f>
        <v>hold</v>
      </c>
      <c r="AV2" s="35" t="str">
        <f t="shared" ref="AV2:AV78" si="23">IF(AY2&lt;0.03, "venta", IF(AW2&lt;0.2, "hold", "compra"))</f>
        <v>hold</v>
      </c>
      <c r="AW2" s="38">
        <f t="shared" ref="AW2:AW78" si="24">AI2/AJ2-1</f>
        <v>0.1762548889</v>
      </c>
      <c r="AX2" s="38">
        <f t="shared" ref="AX2:AX78" si="25">AVERAGE(AVERAGE(BC2,BF2),DA2)</f>
        <v>-0.01500278365</v>
      </c>
      <c r="AY2" s="38">
        <f t="shared" ref="AY2:AY78" si="26">AVERAGE(AW2,DA2)</f>
        <v>0.03855406561</v>
      </c>
      <c r="AZ2" s="42">
        <f t="shared" ref="AZ2:AZ78" si="27">AVERAGE(BG2,BJ2/2)</f>
        <v>0.3921676335</v>
      </c>
      <c r="BA2" s="38">
        <f t="shared" ref="BA2:BA78" si="28">(1-CQ2)</f>
        <v>0.5466556751</v>
      </c>
      <c r="BB2" s="38">
        <f t="shared" ref="BB2:BB78" si="29">1-BA2 </f>
        <v>0.4533443249</v>
      </c>
      <c r="BC2" s="38">
        <f t="shared" ref="BC2:BC78" si="30">(BA2*AC2+AE2*BB2)/AJ2-1</f>
        <v>-0.06201265522</v>
      </c>
      <c r="BD2" s="38">
        <f t="shared" ref="BD2:BD78" si="31">1-BE2 </f>
        <v>0.3966842533</v>
      </c>
      <c r="BE2" s="38">
        <f t="shared" ref="BE2:BE78" si="32">BY2</f>
        <v>0.6033157467</v>
      </c>
      <c r="BF2" s="38">
        <f t="shared" ref="BF2:BF78" si="33">(BD2*AE2+AG2*BE2)/AJ2-1</f>
        <v>0.200295036</v>
      </c>
      <c r="BG2" s="37">
        <f t="shared" ref="BG2:BG78" si="34">ABS(1+(3*AK2)+BC2+(DA2/2)+2*BM2+BY2)/((2*E2)*2*(1+CQ2))</f>
        <v>0.7151940766</v>
      </c>
      <c r="BH2" s="43">
        <f t="shared" ref="BH2:BH78" si="35">AVERAGE(AY2,BG2)</f>
        <v>0.3768740711</v>
      </c>
      <c r="BI2" s="44">
        <f t="shared" ref="BI2:BI78" si="36">AVERAGE(BH2,BX2)</f>
        <v>0.5708976591</v>
      </c>
      <c r="BJ2" s="38">
        <f t="shared" ref="BJ2:BJ78" si="37">SUM(BC2,BF2)</f>
        <v>0.1382823807</v>
      </c>
      <c r="BK2" s="43">
        <f t="shared" ref="BK2:BK78" si="38">AK2+BC2+DA2</f>
        <v>0.1094608793</v>
      </c>
      <c r="BL2" s="45">
        <v>2931.16</v>
      </c>
      <c r="BM2" s="46">
        <f t="shared" ref="BM2:BM78" si="39">(BL2 - MIN(BL:BL)) / (MAX(BL:BL) - MIN(BL:BL))</f>
        <v>0.9270512103</v>
      </c>
      <c r="BN2" s="38">
        <v>0.005</v>
      </c>
      <c r="BO2" s="45">
        <v>400.37</v>
      </c>
      <c r="BP2" s="47">
        <f t="shared" ref="BP2:BP78" si="40">(BO2 - MIN(BO:BO)) / (MAX(BO:BO) - MIN(BO:BO))</f>
        <v>0.5878871543</v>
      </c>
      <c r="BQ2" s="45">
        <v>6.4</v>
      </c>
      <c r="BR2" s="47">
        <f t="shared" ref="BR2:BR78" si="41">(BQ2 - MIN(BQ:BQ)) / (MAX(BQ:BQ) - MIN(BQ:BQ))</f>
        <v>0.2279493446</v>
      </c>
      <c r="BS2" s="38">
        <v>0.318</v>
      </c>
      <c r="BT2" s="47">
        <f t="shared" ref="BT2:BT35" si="42">(BS2 - MIN(BS:BS)) / (MAX(BS:BS) - MIN(BS:BS))</f>
        <v>0.6716839135</v>
      </c>
      <c r="BU2" s="45">
        <v>1.5</v>
      </c>
      <c r="BV2" s="47">
        <f t="shared" ref="BV2:BV35" si="43">1-(BU2 - MIN(BU:BU)) / (MAX(BU:BU) - MIN(BU:BU))</f>
        <v>0.9257425743</v>
      </c>
      <c r="BW2" s="48">
        <f t="shared" ref="BW2:BW78" si="44">(1+CF2)/(1+DA2)</f>
        <v>1.475112055</v>
      </c>
      <c r="BX2" s="49">
        <f t="shared" ref="BX2:BX78" si="45">AVERAGE(BK2/2,BW2)</f>
        <v>0.7649212471</v>
      </c>
      <c r="BY2" s="47">
        <f t="shared" ref="BY2:BY78" si="46">AVERAGE(BP2,BR2,BT2,BV2)</f>
        <v>0.6033157467</v>
      </c>
      <c r="BZ2" s="38">
        <v>0.049</v>
      </c>
      <c r="CA2" s="50">
        <f t="shared" ref="CA2:CA78" si="47">(BZ2 - MIN(BZ:BZ)) / (MAX(BZ:BZ) - MIN(BZ:BZ))</f>
        <v>0.1004115226</v>
      </c>
      <c r="CB2" s="38">
        <v>0.071</v>
      </c>
      <c r="CC2" s="50">
        <f t="shared" ref="CC2:CC35" si="48">(CB2 - MIN(CB:CB)) / (MAX(CB:CB) - MIN(CB:CB))</f>
        <v>0.2020820576</v>
      </c>
      <c r="CD2" s="38">
        <v>-0.003</v>
      </c>
      <c r="CE2" s="50">
        <f t="shared" ref="CE2:CE78" si="49">(CD2 - MIN(CD:CD)) / (MAX(CD:CD) - MIN(CD:CD))</f>
        <v>0.6840848512</v>
      </c>
      <c r="CF2" s="50">
        <f t="shared" ref="CF2:CF78" si="50">AVERAGE(CA2,CC2,CE2)</f>
        <v>0.3288594771</v>
      </c>
      <c r="CG2" s="38">
        <v>0.15</v>
      </c>
      <c r="CH2" s="51">
        <f t="shared" ref="CH2:CH78" si="51">(CG2 - MIN(CG:CG)) / (MAX(CG:CG) - MIN(CG:CG))</f>
        <v>0.2181544634</v>
      </c>
      <c r="CI2" s="38">
        <v>0.084</v>
      </c>
      <c r="CJ2" s="51">
        <f t="shared" ref="CJ2:CJ78" si="52">(CI2 - MIN(CI:CI)) / (MAX(CI:CI) - MIN(CI:CI))</f>
        <v>0.1401273885</v>
      </c>
      <c r="CK2" s="38">
        <v>0.124</v>
      </c>
      <c r="CL2" s="51">
        <f t="shared" ref="CL2:CL35" si="53">(CK2 - MIN(CK:CK)) / (MAX(CK:CK) - MIN(CK:CK))</f>
        <v>0.3454545455</v>
      </c>
      <c r="CM2" s="38">
        <v>1.517</v>
      </c>
      <c r="CN2" s="51">
        <f t="shared" ref="CN2:CN50" si="54">(CM2 - MIN(CM:CM)) / (MAX(CM:CM) - MIN(CM:CM))</f>
        <v>0.8575712144</v>
      </c>
      <c r="CO2" s="38">
        <v>0.294</v>
      </c>
      <c r="CP2" s="51">
        <f t="shared" ref="CP2:CP35" si="55">(CO2 - MIN(CO:CO)) / (MAX(CO:CO) - MIN(CO:CO))</f>
        <v>0.7054140127</v>
      </c>
      <c r="CQ2" s="51">
        <f t="shared" ref="CQ2:CQ78" si="56">AVERAGE(CH2,CJ2,CL2,CN2,CP2)</f>
        <v>0.4533443249</v>
      </c>
      <c r="CR2" s="52">
        <f t="shared" ref="CR2:CR78" si="57">AVERAGE(BY2,CF2,CQ2)</f>
        <v>0.4618398496</v>
      </c>
      <c r="CS2" s="53">
        <f t="shared" ref="CS2:CS22" si="58">(M2+AVERAGE(O2,Q2))/2</f>
        <v>0.647567941</v>
      </c>
      <c r="CT2" s="54">
        <f t="shared" ref="CT2:CT75" si="59">AVERAGE(CR2,2*AK2,CS2/2,BX2/2,BW2/2,CX2/2)</f>
        <v>0.4355283827</v>
      </c>
      <c r="CU2" s="55">
        <f t="shared" ref="CU2:CU78" si="60">((CT2+CW2)/2)*AK2</f>
        <v>0.1214959518</v>
      </c>
      <c r="CV2" s="34">
        <f t="shared" ref="CV2:CV78" si="61">(0.4*IFERROR((J2-X2)/(J2-K2),0) + 0.3*IFERROR((G2-X2)/(G2-I2),0) + 0.2*IFERROR((G2-X2)/(G2-F2),0) + 0.1*IFERROR((G2-X2)/(G2-H2),0))/0.9</f>
        <v>0.925835493</v>
      </c>
      <c r="CW2" s="34">
        <f t="shared" ref="CW2:CW78" si="62">AVERAGE(CR2,CV2/2)</f>
        <v>0.462378798</v>
      </c>
      <c r="CX2" s="35">
        <f t="shared" ref="CX2:CX75" si="63">AVERAGE(Q2,O2)</f>
        <v>0.3325784819</v>
      </c>
      <c r="CY2" s="38">
        <f>IFERROR(__xludf.DUMMYFUNCTION("(GOOGLEFINANCE(B2,""price"")/INDEX(GOOGLEFINANCE(B2,""price"",TODAY()-30),2,2))-1"),0.06420723717367216)</f>
        <v>0.06420723717</v>
      </c>
      <c r="CZ2" s="38">
        <f>IFERROR(__xludf.DUMMYFUNCTION("(GOOGLEFINANCE($B2,""price"")/INDEX(GOOGLEFINANCE($B2,""price"",TODAY()-180),2,2))-1"),-0.1122882246605289)</f>
        <v>-0.1122882247</v>
      </c>
      <c r="DA2" s="38">
        <f>IFERROR(__xludf.DUMMYFUNCTION("(GOOGLEFINANCE($B2,""price"")/INDEX(GOOGLEFINANCE($B2,""price"",TODAY()-365),2,2))-1"),-0.09914675767918091)</f>
        <v>-0.09914675768</v>
      </c>
      <c r="DB2" s="38">
        <f>IFERROR(__xludf.DUMMYFUNCTION("(GOOGLEFINANCE($B2,""price"")/INDEX(GOOGLEFINANCE($B2,""price"",TODAY()-365*5),2,2))-1"),1.1606466796275452)</f>
        <v>1.16064668</v>
      </c>
      <c r="DC2" s="38">
        <f>IFERROR(__xludf.DUMMYFUNCTION("(INDEX(GOOGLEFINANCE(B2, ""price"", TODAY()-30, TODAY()), ROWS(GOOGLEFINANCE(B2, ""price"", TODAY()-30, TODAY())), 2) / INDEX(GOOGLEFINANCE(B2, ""price"", TODAY()-30, TODAY()), 2, 2)) - 1"),0.06420723717367216)</f>
        <v>0.06420723717</v>
      </c>
      <c r="DD2" s="38">
        <f>IFERROR(__xludf.DUMMYFUNCTION("(INDEX(GOOGLEFINANCE(B2, ""price"", TODAY()-7, TODAY()), ROWS(GOOGLEFINANCE(B2, ""price"", TODAY()-7, TODAY())), 2) / INDEX(GOOGLEFINANCE(B2, ""price"", TODAY()-7, TODAY()), 2, 2)) - 1"),0.005763276970707443)</f>
        <v>0.005763276971</v>
      </c>
    </row>
    <row r="3">
      <c r="A3" s="34" t="str">
        <f>IFERROR(__xludf.DUMMYFUNCTION("GOOGLEFINANCE(B3,""name"")"),"AbbVie Inc")</f>
        <v>AbbVie Inc</v>
      </c>
      <c r="B3" s="45" t="s">
        <v>92</v>
      </c>
      <c r="C3" s="45" t="s">
        <v>93</v>
      </c>
      <c r="D3" s="35" t="s">
        <v>94</v>
      </c>
      <c r="E3" s="56">
        <v>2.0</v>
      </c>
      <c r="F3" s="35">
        <f>IFERROR(__xludf.DUMMYFUNCTION("IFERROR(MIN(INDEX(GOOGLEFINANCE(B3,""close"",TODAY()-100,TODAY()),0,2)) * GOOGLEFINANCE(""CURRENCY:USDEUR""),""Error en datos"")"),145.5854928)</f>
        <v>145.5854928</v>
      </c>
      <c r="G3" s="35">
        <f>IFERROR(__xludf.DUMMYFUNCTION("IFERROR(MAX(INDEX(GOOGLEFINANCE(B3,""close"",TODAY()-100,TODAY()),0,2)) * GOOGLEFINANCE(""CURRENCY:USDEUR""),""Error en datos"")"),169.8069626)</f>
        <v>169.8069626</v>
      </c>
      <c r="H3" s="35">
        <f>IFERROR(__xludf.DUMMYFUNCTION("IFERROR(AVERAGE(INDEX(GOOGLEFINANCE(B3,""close"",TODAY()-20,TODAY()),0,2)) * GOOGLEFINANCE(""CURRENCY:USDEUR""),""Error en datos"")"),161.31960899999999)</f>
        <v>161.319609</v>
      </c>
      <c r="I3" s="35">
        <f>IFERROR(__xludf.DUMMYFUNCTION("IFERROR(PERCENTILE(INDEX(GOOGLEFINANCE(B3,""close"",TODAY()-365,TODAY()),0,2),0.05) * GOOGLEFINANCE(""CURRENCY:USDEUR""),""Error en datos"")"),146.39829379999998)</f>
        <v>146.3982938</v>
      </c>
      <c r="J3" s="35">
        <f>IFERROR(__xludf.DUMMYFUNCTION("AVERAGE(INDEX(GOOGLEFINANCE(B3,""price"",TODAY()-20,TODAY(),""DAILY""),0,2))+(2*STDEV(INDEX(GOOGLEFINANCE(B3,""price"",TODAY()-20,TODAY(),""DAILY""),0,2)))"),195.39310845547058)</f>
        <v>195.3931085</v>
      </c>
      <c r="K3" s="35">
        <f>IFERROR(__xludf.DUMMYFUNCTION("AVERAGE(INDEX(GOOGLEFINANCE(B3,""price"",TODAY()-20,TODAY(),""DAILY""),0,2))-(2*STDEV(INDEX(GOOGLEFINANCE(B3,""price"",TODAY()-20,TODAY(),""DAILY""),0,2)))"),181.70689154452938)</f>
        <v>181.7068915</v>
      </c>
      <c r="L3" s="45">
        <v>3622.0</v>
      </c>
      <c r="M3" s="35">
        <f t="shared" si="1"/>
        <v>0.6372306605</v>
      </c>
      <c r="N3" s="45">
        <v>-12.0</v>
      </c>
      <c r="O3" s="35">
        <f t="shared" si="2"/>
        <v>0.3911111111</v>
      </c>
      <c r="P3" s="45">
        <v>2.73</v>
      </c>
      <c r="Q3" s="35">
        <f t="shared" si="3"/>
        <v>0.2026661515</v>
      </c>
      <c r="R3" s="35" t="str">
        <f>IFERROR(__xludf.DUMMYFUNCTION("IF(B3="""", """", SPARKLINE(INDEX(GOOGLEFINANCE(B3, ""price"", TODAY()-1825, TODAY()), 0, 2)))"),"")</f>
        <v/>
      </c>
      <c r="S3" s="35">
        <f t="shared" si="4"/>
        <v>157.8968927</v>
      </c>
      <c r="T3" s="35">
        <f t="shared" si="5"/>
        <v>183.7378573</v>
      </c>
      <c r="U3" s="34" t="str">
        <f t="shared" si="6"/>
        <v>Compra</v>
      </c>
      <c r="V3" s="37">
        <f t="shared" si="7"/>
        <v>0.04280944463</v>
      </c>
      <c r="W3" s="37">
        <f t="shared" si="8"/>
        <v>-0.1049602174</v>
      </c>
      <c r="X3" s="34">
        <f>IFERROR(__xludf.DUMMYFUNCTION("AJ3*GOOGLEFINANCE(""CURRENCY:USD/EUR"")"),164.65637099999998)</f>
        <v>164.656371</v>
      </c>
      <c r="Y3" s="35">
        <f>IFERROR(__xludf.DUMMYFUNCTION("AI3*GOOGLEFINANCE(""CURRENCY:USD/EUR"")"),183.96542164274624)</f>
        <v>183.9654216</v>
      </c>
      <c r="Z3" s="38">
        <f t="shared" si="9"/>
        <v>0.1158867171</v>
      </c>
      <c r="AA3" s="38">
        <f t="shared" si="10"/>
        <v>0.1532687733</v>
      </c>
      <c r="AB3" s="38">
        <f t="shared" si="11"/>
        <v>0.04848718293</v>
      </c>
      <c r="AC3" s="41">
        <v>170.0</v>
      </c>
      <c r="AD3" s="40">
        <f t="shared" si="12"/>
        <v>0.2989190312</v>
      </c>
      <c r="AE3" s="41">
        <v>213.0</v>
      </c>
      <c r="AF3" s="41">
        <f t="shared" si="13"/>
        <v>0.2991378942</v>
      </c>
      <c r="AG3" s="41">
        <v>250.0</v>
      </c>
      <c r="AH3" s="41">
        <f t="shared" si="14"/>
        <v>0.4019430747</v>
      </c>
      <c r="AI3" s="41">
        <f t="shared" si="15"/>
        <v>215.0183754</v>
      </c>
      <c r="AJ3" s="34">
        <f>IFERROR(__xludf.DUMMYFUNCTION("GOOGLEFINANCE(B3,""price"")"),192.45)</f>
        <v>192.45</v>
      </c>
      <c r="AK3" s="37">
        <f>AR3+BN3</f>
        <v>0.1582555548</v>
      </c>
      <c r="AL3" s="34">
        <v>184.6</v>
      </c>
      <c r="AM3" s="34">
        <f t="shared" si="16"/>
        <v>158.2050725</v>
      </c>
      <c r="AN3" s="34">
        <f t="shared" si="17"/>
        <v>191.7884366</v>
      </c>
      <c r="AO3" s="38">
        <f>IFERROR(__xludf.DUMMYFUNCTION("(GOOGLEFINANCE(B3, ""price"") - INDEX(GOOGLEFINANCE(B3, ""price"", DATE(2025,5,9)), 2, 2)) / INDEX(GOOGLEFINANCE(B3, ""price"", DATE(2025,5,8)), 2, 2)"),0.0422998167906024)</f>
        <v>0.04229981679</v>
      </c>
      <c r="AP3" s="37">
        <f t="shared" si="18"/>
        <v>0.1647799319</v>
      </c>
      <c r="AQ3" s="37">
        <f t="shared" si="19"/>
        <v>0.04252437703</v>
      </c>
      <c r="AR3" s="37">
        <f t="shared" si="20"/>
        <v>0.1222555548</v>
      </c>
      <c r="AS3" s="34">
        <f>IFERROR(__xludf.DUMMYFUNCTION("IF(X3&lt;K3,1,IF(X3&gt;J3,-1,0)) + IF(X3&lt;F3,1,IF(X3&gt;G3,-1,0)) + IF(X3&lt;I3,1,IF(X3&gt;I3,-1,0)) + IF(X3&lt;H3,1,IF(X3&gt;H3,-1,0))"),-1.0)</f>
        <v>-1</v>
      </c>
      <c r="AT3" s="34" t="str">
        <f t="shared" si="21"/>
        <v>Hold</v>
      </c>
      <c r="AU3" s="35" t="str">
        <f t="shared" si="22"/>
        <v>hold</v>
      </c>
      <c r="AV3" s="35" t="str">
        <f t="shared" si="23"/>
        <v>hold</v>
      </c>
      <c r="AW3" s="38">
        <f t="shared" si="24"/>
        <v>0.1172687733</v>
      </c>
      <c r="AX3" s="38">
        <f t="shared" si="25"/>
        <v>0.1004276293</v>
      </c>
      <c r="AY3" s="38">
        <f t="shared" si="26"/>
        <v>0.1312999821</v>
      </c>
      <c r="AZ3" s="42">
        <f t="shared" si="27"/>
        <v>0.1178279687</v>
      </c>
      <c r="BA3" s="38">
        <f t="shared" si="28"/>
        <v>0.6532619377</v>
      </c>
      <c r="BB3" s="38">
        <f t="shared" si="29"/>
        <v>0.3467380623</v>
      </c>
      <c r="BC3" s="38">
        <f t="shared" si="30"/>
        <v>-0.03918037578</v>
      </c>
      <c r="BD3" s="38">
        <f t="shared" si="31"/>
        <v>0.7740141358</v>
      </c>
      <c r="BE3" s="38">
        <f t="shared" si="32"/>
        <v>0.2259858642</v>
      </c>
      <c r="BF3" s="38">
        <f t="shared" si="33"/>
        <v>0.1502285112</v>
      </c>
      <c r="BG3" s="37">
        <f t="shared" si="34"/>
        <v>0.1801318697</v>
      </c>
      <c r="BH3" s="43">
        <f t="shared" si="35"/>
        <v>0.1557159259</v>
      </c>
      <c r="BI3" s="44">
        <f t="shared" si="36"/>
        <v>0.4000586938</v>
      </c>
      <c r="BJ3" s="38">
        <f t="shared" si="37"/>
        <v>0.1110481354</v>
      </c>
      <c r="BK3" s="43">
        <f t="shared" si="38"/>
        <v>0.2644063699</v>
      </c>
      <c r="BL3" s="45">
        <v>326.55</v>
      </c>
      <c r="BM3" s="46">
        <f t="shared" si="39"/>
        <v>0.1032429064</v>
      </c>
      <c r="BN3" s="38">
        <v>0.036</v>
      </c>
      <c r="BO3" s="45">
        <v>57.37</v>
      </c>
      <c r="BP3" s="47">
        <f t="shared" si="40"/>
        <v>0.0841643047</v>
      </c>
      <c r="BQ3" s="45">
        <v>2.34</v>
      </c>
      <c r="BR3" s="47">
        <f t="shared" si="41"/>
        <v>0.1377471673</v>
      </c>
      <c r="BS3" s="38">
        <v>0.329</v>
      </c>
      <c r="BT3" s="47">
        <f t="shared" si="42"/>
        <v>0.6820319849</v>
      </c>
      <c r="BU3" s="45">
        <v>20.2</v>
      </c>
      <c r="BV3" s="47">
        <f t="shared" si="43"/>
        <v>0</v>
      </c>
      <c r="BW3" s="48">
        <f t="shared" si="44"/>
        <v>1.156599739</v>
      </c>
      <c r="BX3" s="49">
        <f t="shared" si="45"/>
        <v>0.6444014618</v>
      </c>
      <c r="BY3" s="47">
        <f t="shared" si="46"/>
        <v>0.2259858642</v>
      </c>
      <c r="BZ3" s="38">
        <v>0.054</v>
      </c>
      <c r="CA3" s="50">
        <f t="shared" si="47"/>
        <v>0.104526749</v>
      </c>
      <c r="CB3" s="38">
        <v>0.044</v>
      </c>
      <c r="CC3" s="50">
        <f t="shared" si="48"/>
        <v>0.1938150643</v>
      </c>
      <c r="CD3" s="38">
        <v>-0.304</v>
      </c>
      <c r="CE3" s="50">
        <f t="shared" si="49"/>
        <v>0.6757274545</v>
      </c>
      <c r="CF3" s="50">
        <f t="shared" si="50"/>
        <v>0.3246897559</v>
      </c>
      <c r="CG3" s="38">
        <v>-0.162</v>
      </c>
      <c r="CH3" s="51">
        <f t="shared" si="51"/>
        <v>0.06168505517</v>
      </c>
      <c r="CI3" s="38">
        <v>0.11</v>
      </c>
      <c r="CJ3" s="51">
        <f t="shared" si="52"/>
        <v>0.1732484076</v>
      </c>
      <c r="CK3" s="38">
        <v>0.109</v>
      </c>
      <c r="CL3" s="51">
        <f t="shared" si="53"/>
        <v>0.3330578512</v>
      </c>
      <c r="CM3" s="38">
        <v>0.636</v>
      </c>
      <c r="CN3" s="51">
        <f t="shared" si="54"/>
        <v>0.4172913543</v>
      </c>
      <c r="CO3" s="38">
        <v>0.348</v>
      </c>
      <c r="CP3" s="51">
        <f t="shared" si="55"/>
        <v>0.7484076433</v>
      </c>
      <c r="CQ3" s="51">
        <f t="shared" si="56"/>
        <v>0.3467380623</v>
      </c>
      <c r="CR3" s="52">
        <f t="shared" si="57"/>
        <v>0.2991378942</v>
      </c>
      <c r="CS3" s="53">
        <f t="shared" si="58"/>
        <v>0.4670596459</v>
      </c>
      <c r="CT3" s="54">
        <f t="shared" si="59"/>
        <v>0.3163539571</v>
      </c>
      <c r="CU3" s="55">
        <f t="shared" si="60"/>
        <v>0.06033213045</v>
      </c>
      <c r="CV3" s="34">
        <f t="shared" si="61"/>
        <v>1.186166849</v>
      </c>
      <c r="CW3" s="34">
        <f t="shared" si="62"/>
        <v>0.4461106593</v>
      </c>
      <c r="CX3" s="35">
        <f t="shared" si="63"/>
        <v>0.2968886313</v>
      </c>
      <c r="CY3" s="38">
        <f>IFERROR(__xludf.DUMMYFUNCTION("(GOOGLEFINANCE(B3,""price"")/INDEX(GOOGLEFINANCE(B3,""price"",TODAY()-30),2,2))-1"),0.008330713612071605)</f>
        <v>0.008330713612</v>
      </c>
      <c r="CZ3" s="38">
        <f>IFERROR(__xludf.DUMMYFUNCTION("(GOOGLEFINANCE($B3,""price"")/INDEX(GOOGLEFINANCE($B3,""price"",TODAY()-180),2,2))-1"),0.1231397723956813)</f>
        <v>0.1231397724</v>
      </c>
      <c r="DA3" s="38">
        <f>IFERROR(__xludf.DUMMYFUNCTION("(GOOGLEFINANCE($B3,""price"")/INDEX(GOOGLEFINANCE($B3,""price"",TODAY()-365),2,2))-1"),0.1453311908587751)</f>
        <v>0.1453311909</v>
      </c>
      <c r="DB3" s="38">
        <f>IFERROR(__xludf.DUMMYFUNCTION("(GOOGLEFINANCE($B3,""price"")/INDEX(GOOGLEFINANCE($B3,""price"",TODAY()-365*5),2,2))-1"),0.9153065286624202)</f>
        <v>0.9153065287</v>
      </c>
      <c r="DC3" s="38">
        <f>IFERROR(__xludf.DUMMYFUNCTION("(INDEX(GOOGLEFINANCE(B3, ""price"", TODAY()-30, TODAY()), ROWS(GOOGLEFINANCE(B3, ""price"", TODAY()-30, TODAY())), 2) / INDEX(GOOGLEFINANCE(B3, ""price"", TODAY()-30, TODAY()), 2, 2)) - 1"),0.008330713612071605)</f>
        <v>0.008330713612</v>
      </c>
      <c r="DD3" s="38">
        <f>IFERROR(__xludf.DUMMYFUNCTION("(INDEX(GOOGLEFINANCE(B3, ""price"", TODAY()-7, TODAY()), ROWS(GOOGLEFINANCE(B3, ""price"", TODAY()-7, TODAY())), 2) / INDEX(GOOGLEFINANCE(B3, ""price"", TODAY()-7, TODAY()), 2, 2)) - 1"),0.025688855726696103)</f>
        <v>0.02568885573</v>
      </c>
    </row>
    <row r="4">
      <c r="A4" s="34" t="str">
        <f>IFERROR(__xludf.DUMMYFUNCTION("GOOGLEFINANCE(B4,""name"")"),"Aecom")</f>
        <v>Aecom</v>
      </c>
      <c r="B4" s="35" t="s">
        <v>95</v>
      </c>
      <c r="C4" s="35" t="s">
        <v>96</v>
      </c>
      <c r="D4" s="35" t="s">
        <v>94</v>
      </c>
      <c r="E4" s="57">
        <v>3.0</v>
      </c>
      <c r="F4" s="35">
        <f>IFERROR(__xludf.DUMMYFUNCTION("IFERROR(MIN(INDEX(GOOGLEFINANCE(B4,""close"",TODAY()-100,TODAY()),0,2)) * GOOGLEFINANCE(""CURRENCY:USDEUR""),""Error en datos"")"),74.5980202)</f>
        <v>74.5980202</v>
      </c>
      <c r="G4" s="35">
        <f>IFERROR(__xludf.DUMMYFUNCTION("IFERROR(MAX(INDEX(GOOGLEFINANCE(B4,""close"",TODAY()-100,TODAY()),0,2)) * GOOGLEFINANCE(""CURRENCY:USDEUR""),""Error en datos"")"),99.033385)</f>
        <v>99.033385</v>
      </c>
      <c r="H4" s="35">
        <f>IFERROR(__xludf.DUMMYFUNCTION("IFERROR(AVERAGE(INDEX(GOOGLEFINANCE(B4,""close"",TODAY()-20,TODAY()),0,2)) * GOOGLEFINANCE(""CURRENCY:USDEUR""),""Error en datos"")"),97.50452935384617)</f>
        <v>97.50452935</v>
      </c>
      <c r="I4" s="35">
        <f>IFERROR(__xludf.DUMMYFUNCTION("IFERROR(PERCENTILE(INDEX(GOOGLEFINANCE(B4,""close"",TODAY()-365,TODAY()),0,2),0.05) * GOOGLEFINANCE(""CURRENCY:USDEUR""),""Error en datos"")"),77.06893523999999)</f>
        <v>77.06893524</v>
      </c>
      <c r="J4" s="35">
        <f>IFERROR(__xludf.DUMMYFUNCTION("AVERAGE(INDEX(GOOGLEFINANCE(B4,""price"",TODAY()-20,TODAY(),""DAILY""),0,2))+(2*STDEV(INDEX(GOOGLEFINANCE(B4,""price"",TODAY()-20,TODAY(),""DAILY""),0,2)))"),117.07193935828144)</f>
        <v>117.0719394</v>
      </c>
      <c r="K4" s="35">
        <f>IFERROR(__xludf.DUMMYFUNCTION("AVERAGE(INDEX(GOOGLEFINANCE(B4,""price"",TODAY()-20,TODAY(),""DAILY""),0,2))-(2*STDEV(INDEX(GOOGLEFINANCE(B4,""price"",TODAY()-20,TODAY(),""DAILY""),0,2)))"),110.85421448787244)</f>
        <v>110.8542145</v>
      </c>
      <c r="L4" s="35">
        <v>554.0</v>
      </c>
      <c r="M4" s="35">
        <f t="shared" si="1"/>
        <v>0.09537265984</v>
      </c>
      <c r="N4" s="35">
        <v>100.0</v>
      </c>
      <c r="O4" s="35">
        <f t="shared" si="2"/>
        <v>0.8888888889</v>
      </c>
      <c r="P4" s="35">
        <v>1.0</v>
      </c>
      <c r="Q4" s="35">
        <f t="shared" si="3"/>
        <v>0.1692426584</v>
      </c>
      <c r="R4" s="35" t="str">
        <f>IFERROR(__xludf.DUMMYFUNCTION("IF(B4="""", """", SPARKLINE(INDEX(GOOGLEFINANCE(B4, ""price"", TODAY()-1825, TODAY()), 0, 2)))"),"")</f>
        <v/>
      </c>
      <c r="S4" s="35">
        <f t="shared" si="4"/>
        <v>87.50705664</v>
      </c>
      <c r="T4" s="35">
        <f t="shared" si="5"/>
        <v>102.0774597</v>
      </c>
      <c r="U4" s="34" t="str">
        <f t="shared" si="6"/>
        <v/>
      </c>
      <c r="V4" s="37">
        <f t="shared" si="7"/>
        <v>0.1189106223</v>
      </c>
      <c r="W4" s="37">
        <f t="shared" si="8"/>
        <v>-0.02943866795</v>
      </c>
      <c r="X4" s="34">
        <f>IFERROR(__xludf.DUMMYFUNCTION("AJ4*GOOGLEFINANCE(""CURRENCY:USD/EUR"")"),97.91257519999999)</f>
        <v>97.9125752</v>
      </c>
      <c r="Y4" s="35">
        <f>IFERROR(__xludf.DUMMYFUNCTION("AI4*GOOGLEFINANCE(""CURRENCY:USD/EUR"")"),100.88241924180181)</f>
        <v>100.8824192</v>
      </c>
      <c r="Z4" s="38">
        <f t="shared" si="9"/>
        <v>0.04253676837</v>
      </c>
      <c r="AA4" s="38">
        <f t="shared" si="10"/>
        <v>0.04033158954</v>
      </c>
      <c r="AB4" s="38">
        <f t="shared" si="11"/>
        <v>0.01328392085</v>
      </c>
      <c r="AC4" s="41">
        <v>109.0</v>
      </c>
      <c r="AD4" s="40">
        <f t="shared" si="12"/>
        <v>0.3319448266</v>
      </c>
      <c r="AE4" s="41">
        <v>119.0</v>
      </c>
      <c r="AF4" s="41">
        <f t="shared" si="13"/>
        <v>0.3493986915</v>
      </c>
      <c r="AG4" s="41">
        <v>126.0</v>
      </c>
      <c r="AH4" s="41">
        <f t="shared" si="14"/>
        <v>0.3186564819</v>
      </c>
      <c r="AI4" s="41">
        <f t="shared" si="15"/>
        <v>117.9111471</v>
      </c>
      <c r="AJ4" s="34">
        <f>IFERROR(__xludf.DUMMYFUNCTION("GOOGLEFINANCE(B4,""price"")"),114.44)</f>
        <v>114.44</v>
      </c>
      <c r="AK4" s="37">
        <f>AP4+BN4</f>
        <v>0.1716861784</v>
      </c>
      <c r="AL4" s="34">
        <v>101.5</v>
      </c>
      <c r="AM4" s="34">
        <f t="shared" si="16"/>
        <v>95.41237489</v>
      </c>
      <c r="AN4" s="34">
        <f t="shared" si="17"/>
        <v>113.7436853</v>
      </c>
      <c r="AO4" s="38">
        <f>IFERROR(__xludf.DUMMYFUNCTION("(GOOGLEFINANCE(B4, ""price"") - INDEX(GOOGLEFINANCE(B4, ""price"", DATE(2025,5,8)), 2, 2)) / INDEX(GOOGLEFINANCE(B4, ""price"", DATE(2025,5,8)), 2, 2)"),0.09648366388809038)</f>
        <v>0.09648366389</v>
      </c>
      <c r="AP4" s="37">
        <f t="shared" si="18"/>
        <v>0.1616861784</v>
      </c>
      <c r="AQ4" s="37">
        <f t="shared" si="19"/>
        <v>0.1274876847</v>
      </c>
      <c r="AR4" s="37">
        <f t="shared" si="20"/>
        <v>0.03419849366</v>
      </c>
      <c r="AS4" s="34">
        <f>IFERROR(__xludf.DUMMYFUNCTION("IF(X4&lt;K4,1,IF(X4&gt;J4,-1,0)) + IF(X4&lt;F4,1,IF(X4&gt;G4,-1,0)) + IF(X4&lt;I4,1,IF(X4&gt;I4,-1,0)) + IF(X4&lt;H4,1,IF(X4&gt;H4,-1,0))"),-1.0)</f>
        <v>-1</v>
      </c>
      <c r="AT4" s="34" t="str">
        <f t="shared" si="21"/>
        <v>Hold</v>
      </c>
      <c r="AU4" s="35" t="str">
        <f t="shared" si="22"/>
        <v>hold</v>
      </c>
      <c r="AV4" s="35" t="str">
        <f t="shared" si="23"/>
        <v>hold</v>
      </c>
      <c r="AW4" s="38">
        <f t="shared" si="24"/>
        <v>0.03033158954</v>
      </c>
      <c r="AX4" s="38">
        <f t="shared" si="25"/>
        <v>0.1652484026</v>
      </c>
      <c r="AY4" s="38">
        <f t="shared" si="26"/>
        <v>0.1709072571</v>
      </c>
      <c r="AZ4" s="42">
        <f t="shared" si="27"/>
        <v>0.07745461258</v>
      </c>
      <c r="BA4" s="38">
        <f t="shared" si="28"/>
        <v>0.748222856</v>
      </c>
      <c r="BB4" s="38">
        <f t="shared" si="29"/>
        <v>0.251777144</v>
      </c>
      <c r="BC4" s="38">
        <f t="shared" si="30"/>
        <v>-0.02553502761</v>
      </c>
      <c r="BD4" s="38">
        <f t="shared" si="31"/>
        <v>0.6122677757</v>
      </c>
      <c r="BE4" s="38">
        <f t="shared" si="32"/>
        <v>0.3877322243</v>
      </c>
      <c r="BF4" s="38">
        <f t="shared" si="33"/>
        <v>0.06356278897</v>
      </c>
      <c r="BG4" s="37">
        <f t="shared" si="34"/>
        <v>0.1358953445</v>
      </c>
      <c r="BH4" s="43">
        <f t="shared" si="35"/>
        <v>0.1534013008</v>
      </c>
      <c r="BI4" s="44">
        <f t="shared" si="36"/>
        <v>0.4024342745</v>
      </c>
      <c r="BJ4" s="38">
        <f t="shared" si="37"/>
        <v>0.03802776136</v>
      </c>
      <c r="BK4" s="43">
        <f t="shared" si="38"/>
        <v>0.4576340754</v>
      </c>
      <c r="BL4" s="47">
        <v>13.3</v>
      </c>
      <c r="BM4" s="46">
        <f t="shared" si="39"/>
        <v>0.004165520121</v>
      </c>
      <c r="BN4" s="38">
        <v>0.01</v>
      </c>
      <c r="BO4" s="47">
        <v>16.22</v>
      </c>
      <c r="BP4" s="58">
        <f t="shared" si="40"/>
        <v>0.02373224854</v>
      </c>
      <c r="BQ4" s="47">
        <v>3.5</v>
      </c>
      <c r="BR4" s="47">
        <f t="shared" si="41"/>
        <v>0.163519218</v>
      </c>
      <c r="BS4" s="47">
        <v>0.059</v>
      </c>
      <c r="BT4" s="47">
        <f t="shared" si="42"/>
        <v>0.4280338664</v>
      </c>
      <c r="BU4" s="47">
        <v>1.3</v>
      </c>
      <c r="BV4" s="47">
        <f t="shared" si="43"/>
        <v>0.9356435644</v>
      </c>
      <c r="BW4" s="48">
        <f t="shared" si="44"/>
        <v>1.074117459</v>
      </c>
      <c r="BX4" s="49">
        <f t="shared" si="45"/>
        <v>0.6514672482</v>
      </c>
      <c r="BY4" s="47">
        <f t="shared" si="46"/>
        <v>0.3877322243</v>
      </c>
      <c r="BZ4" s="50">
        <v>0.089</v>
      </c>
      <c r="CA4" s="50">
        <f t="shared" si="47"/>
        <v>0.1333333333</v>
      </c>
      <c r="CB4" s="50">
        <v>0.124</v>
      </c>
      <c r="CC4" s="50">
        <f t="shared" si="48"/>
        <v>0.2183098592</v>
      </c>
      <c r="CD4" s="50">
        <v>6.852</v>
      </c>
      <c r="CE4" s="50">
        <f t="shared" si="49"/>
        <v>0.8744169258</v>
      </c>
      <c r="CF4" s="50">
        <f t="shared" si="50"/>
        <v>0.4086867061</v>
      </c>
      <c r="CG4" s="51">
        <v>0.151</v>
      </c>
      <c r="CH4" s="51">
        <f t="shared" si="51"/>
        <v>0.2186559679</v>
      </c>
      <c r="CI4" s="51">
        <v>0.037</v>
      </c>
      <c r="CJ4" s="51">
        <f t="shared" si="52"/>
        <v>0.08025477707</v>
      </c>
      <c r="CK4" s="51">
        <v>0.084</v>
      </c>
      <c r="CL4" s="51">
        <f t="shared" si="53"/>
        <v>0.3123966942</v>
      </c>
      <c r="CM4" s="51">
        <v>0.074</v>
      </c>
      <c r="CN4" s="51">
        <f t="shared" si="54"/>
        <v>0.1364317841</v>
      </c>
      <c r="CO4" s="51">
        <v>0.05</v>
      </c>
      <c r="CP4" s="51">
        <f t="shared" si="55"/>
        <v>0.5111464968</v>
      </c>
      <c r="CQ4" s="51">
        <f t="shared" si="56"/>
        <v>0.251777144</v>
      </c>
      <c r="CR4" s="52">
        <f t="shared" si="57"/>
        <v>0.3493986915</v>
      </c>
      <c r="CS4" s="53">
        <f t="shared" si="58"/>
        <v>0.3122192167</v>
      </c>
      <c r="CT4" s="54">
        <f t="shared" si="59"/>
        <v>0.3293676495</v>
      </c>
      <c r="CU4" s="55">
        <f t="shared" si="60"/>
        <v>0.07499342951</v>
      </c>
      <c r="CV4" s="34">
        <f t="shared" si="61"/>
        <v>1.478174272</v>
      </c>
      <c r="CW4" s="34">
        <f t="shared" si="62"/>
        <v>0.5442429138</v>
      </c>
      <c r="CX4" s="35">
        <f t="shared" si="63"/>
        <v>0.5290657737</v>
      </c>
      <c r="CY4" s="38">
        <f>IFERROR(__xludf.DUMMYFUNCTION("(GOOGLEFINANCE(B4,""price"")/INDEX(GOOGLEFINANCE(B4,""price"",TODAY()-30),2,2))-1"),0.01220590836723856)</f>
        <v>0.01220590837</v>
      </c>
      <c r="CZ4" s="38">
        <f>IFERROR(__xludf.DUMMYFUNCTION("(GOOGLEFINANCE($B4,""price"")/INDEX(GOOGLEFINANCE($B4,""price"",TODAY()-180),2,2))-1"),0.04750572082379856)</f>
        <v>0.04750572082</v>
      </c>
      <c r="DA4" s="38">
        <f>IFERROR(__xludf.DUMMYFUNCTION("(GOOGLEFINANCE($B4,""price"")/INDEX(GOOGLEFINANCE($B4,""price"",TODAY()-365),2,2))-1"),0.31148292459316984)</f>
        <v>0.3114829246</v>
      </c>
      <c r="DB4" s="38">
        <f>IFERROR(__xludf.DUMMYFUNCTION("(GOOGLEFINANCE($B4,""price"")/INDEX(GOOGLEFINANCE($B4,""price"",TODAY()-365*5),2,2))-1"),2.0163415919873486)</f>
        <v>2.016341592</v>
      </c>
      <c r="DC4" s="38">
        <f>IFERROR(__xludf.DUMMYFUNCTION("(INDEX(GOOGLEFINANCE(B4, ""price"", TODAY()-30, TODAY()), ROWS(GOOGLEFINANCE(B4, ""price"", TODAY()-30, TODAY())), 2) / INDEX(GOOGLEFINANCE(B4, ""price"", TODAY()-30, TODAY()), 2, 2)) - 1"),0.01220590836723856)</f>
        <v>0.01220590837</v>
      </c>
      <c r="DD4" s="38">
        <f>IFERROR(__xludf.DUMMYFUNCTION("(INDEX(GOOGLEFINANCE(B4, ""price"", TODAY()-7, TODAY()), ROWS(GOOGLEFINANCE(B4, ""price"", TODAY()-7, TODAY())), 2) / INDEX(GOOGLEFINANCE(B4, ""price"", TODAY()-7, TODAY()), 2, 2)) - 1"),-0.0085766265268995)</f>
        <v>-0.008576626527</v>
      </c>
    </row>
    <row r="5">
      <c r="A5" s="34" t="str">
        <f>IFERROR(__xludf.DUMMYFUNCTION("GOOGLEFINANCE(B5,""name"")"),"Adobe Inc")</f>
        <v>Adobe Inc</v>
      </c>
      <c r="B5" s="35" t="s">
        <v>97</v>
      </c>
      <c r="C5" s="35" t="s">
        <v>90</v>
      </c>
      <c r="D5" s="35" t="s">
        <v>98</v>
      </c>
      <c r="E5" s="56">
        <v>2.0</v>
      </c>
      <c r="F5" s="35">
        <f>IFERROR(__xludf.DUMMYFUNCTION("IFERROR(MIN(INDEX(GOOGLEFINANCE(B5,""close"",TODAY()-100,TODAY()),0,2)) * GOOGLEFINANCE(""CURRENCY:USDEUR""),""Error en datos"")"),290.8972)</f>
        <v>290.8972</v>
      </c>
      <c r="G5" s="35">
        <f>IFERROR(__xludf.DUMMYFUNCTION("IFERROR(MAX(INDEX(GOOGLEFINANCE(B5,""close"",TODAY()-100,TODAY()),0,2)) * GOOGLEFINANCE(""CURRENCY:USDEUR""),""Error en datos"")"),359.9253944)</f>
        <v>359.9253944</v>
      </c>
      <c r="H5" s="35">
        <f>IFERROR(__xludf.DUMMYFUNCTION("IFERROR(AVERAGE(INDEX(GOOGLEFINANCE(B5,""close"",TODAY()-20,TODAY()),0,2)) * GOOGLEFINANCE(""CURRENCY:USDEUR""),""Error en datos"")"),325.4336739076923)</f>
        <v>325.4336739</v>
      </c>
      <c r="I5" s="35">
        <f>IFERROR(__xludf.DUMMYFUNCTION("IFERROR(PERCENTILE(INDEX(GOOGLEFINANCE(B5,""close"",TODAY()-365,TODAY()),0,2),0.05) * GOOGLEFINANCE(""CURRENCY:USDEUR""),""Error en datos"")"),309.62242388000004)</f>
        <v>309.6224239</v>
      </c>
      <c r="J5" s="35">
        <f>IFERROR(__xludf.DUMMYFUNCTION("AVERAGE(INDEX(GOOGLEFINANCE(B5,""price"",TODAY()-20,TODAY(),""DAILY""),0,2))+(2*STDEV(INDEX(GOOGLEFINANCE(B5,""price"",TODAY()-20,TODAY(),""DAILY""),0,2)))"),395.9088081421261)</f>
        <v>395.9088081</v>
      </c>
      <c r="K5" s="35">
        <f>IFERROR(__xludf.DUMMYFUNCTION("AVERAGE(INDEX(GOOGLEFINANCE(B5,""price"",TODAY()-20,TODAY(),""DAILY""),0,2))-(2*STDEV(INDEX(GOOGLEFINANCE(B5,""price"",TODAY()-20,TODAY(),""DAILY""),0,2)))"),364.8234995501816)</f>
        <v>364.8234996</v>
      </c>
      <c r="L5" s="35">
        <v>2778.0</v>
      </c>
      <c r="M5" s="35">
        <f t="shared" si="1"/>
        <v>0.4881667255</v>
      </c>
      <c r="N5" s="35">
        <v>-8.7</v>
      </c>
      <c r="O5" s="35">
        <f t="shared" si="2"/>
        <v>0.4057777778</v>
      </c>
      <c r="P5" s="35">
        <v>0.4</v>
      </c>
      <c r="Q5" s="35">
        <f t="shared" si="3"/>
        <v>0.1576506955</v>
      </c>
      <c r="R5" s="35" t="str">
        <f>IFERROR(__xludf.DUMMYFUNCTION("IF(B5="""", """", SPARKLINE(INDEX(GOOGLEFINANCE(B5, ""price"", TODAY()-1825, TODAY()), 0, 2)))"),"")</f>
        <v/>
      </c>
      <c r="S5" s="35">
        <f t="shared" si="4"/>
        <v>321.7810411</v>
      </c>
      <c r="T5" s="35">
        <f t="shared" si="5"/>
        <v>395.0151026</v>
      </c>
      <c r="U5" s="34" t="str">
        <f t="shared" si="6"/>
        <v>Compra</v>
      </c>
      <c r="V5" s="37">
        <f t="shared" si="7"/>
        <v>-0.03389276169</v>
      </c>
      <c r="W5" s="37">
        <f t="shared" si="8"/>
        <v>-0.2197592459</v>
      </c>
      <c r="X5" s="34">
        <f>IFERROR(__xludf.DUMMYFUNCTION("AJ5*GOOGLEFINANCE(""CURRENCY:USD/EUR"")"),310.874993)</f>
        <v>310.874993</v>
      </c>
      <c r="Y5" s="35">
        <f>IFERROR(__xludf.DUMMYFUNCTION("AI5*GOOGLEFINANCE(""CURRENCY:USD/EUR"")"),398.4347028240082)</f>
        <v>398.4347028</v>
      </c>
      <c r="Z5" s="38">
        <f t="shared" si="9"/>
        <v>0.2706557667</v>
      </c>
      <c r="AA5" s="38">
        <f t="shared" si="10"/>
        <v>0.2816556873</v>
      </c>
      <c r="AB5" s="38">
        <f t="shared" si="11"/>
        <v>0.133993396</v>
      </c>
      <c r="AC5" s="41">
        <v>280.0</v>
      </c>
      <c r="AD5" s="40">
        <f t="shared" si="12"/>
        <v>0.3165131086</v>
      </c>
      <c r="AE5" s="41">
        <v>484.0</v>
      </c>
      <c r="AF5" s="41">
        <f t="shared" si="13"/>
        <v>0.4206558225</v>
      </c>
      <c r="AG5" s="41">
        <v>660.0</v>
      </c>
      <c r="AH5" s="41">
        <f t="shared" si="14"/>
        <v>0.262831069</v>
      </c>
      <c r="AI5" s="41">
        <f t="shared" si="15"/>
        <v>465.689594</v>
      </c>
      <c r="AJ5" s="34">
        <f>IFERROR(__xludf.DUMMYFUNCTION("GOOGLEFINANCE(B5,""price"")"),363.35)</f>
        <v>363.35</v>
      </c>
      <c r="AK5" s="37">
        <f>AR5+BN5</f>
        <v>0.2658378419</v>
      </c>
      <c r="AL5" s="34">
        <v>384.97</v>
      </c>
      <c r="AM5" s="34">
        <f t="shared" si="16"/>
        <v>304.0715161</v>
      </c>
      <c r="AN5" s="34">
        <f t="shared" si="17"/>
        <v>376.0585221</v>
      </c>
      <c r="AO5" s="38">
        <f>IFERROR(__xludf.DUMMYFUNCTION("(GOOGLEFINANCE(B5, ""price"") - INDEX(GOOGLEFINANCE(B5, ""price"", DATE(2025,5,8)), 2, 2)) / INDEX(GOOGLEFINANCE(B5, ""price"", DATE(2025,5,8)), 2, 2)"),-0.053751399776035796)</f>
        <v>-0.05375139978</v>
      </c>
      <c r="AP5" s="37">
        <f t="shared" si="18"/>
        <v>0.2096776216</v>
      </c>
      <c r="AQ5" s="37">
        <f t="shared" si="19"/>
        <v>-0.05616022028</v>
      </c>
      <c r="AR5" s="37">
        <f t="shared" si="20"/>
        <v>0.2658378419</v>
      </c>
      <c r="AS5" s="34">
        <f>IFERROR(__xludf.DUMMYFUNCTION("IF(X5&lt;K5,1,IF(X5&gt;J5,-1,0)) + IF(X5&lt;F5,1,IF(X5&gt;G5,-1,0)) + IF(X5&lt;I5,1,IF(X5&gt;I5,-1,0)) + IF(X5&lt;H5,1,IF(X5&gt;H5,-1,0))"),1.0)</f>
        <v>1</v>
      </c>
      <c r="AT5" s="34" t="str">
        <f t="shared" si="21"/>
        <v>Hold</v>
      </c>
      <c r="AU5" s="35" t="str">
        <f t="shared" si="22"/>
        <v>compra</v>
      </c>
      <c r="AV5" s="35" t="str">
        <f t="shared" si="23"/>
        <v>venta</v>
      </c>
      <c r="AW5" s="38">
        <f t="shared" si="24"/>
        <v>0.2816556873</v>
      </c>
      <c r="AX5" s="38">
        <f t="shared" si="25"/>
        <v>-0.03631779196</v>
      </c>
      <c r="AY5" s="38">
        <f t="shared" si="26"/>
        <v>-0.03802704665</v>
      </c>
      <c r="AZ5" s="42">
        <f t="shared" si="27"/>
        <v>0.2445026387</v>
      </c>
      <c r="BA5" s="38">
        <f t="shared" si="28"/>
        <v>0.6304014147</v>
      </c>
      <c r="BB5" s="38">
        <f t="shared" si="29"/>
        <v>0.3695985853</v>
      </c>
      <c r="BC5" s="38">
        <f t="shared" si="30"/>
        <v>-0.02188492805</v>
      </c>
      <c r="BD5" s="38">
        <f t="shared" si="31"/>
        <v>0.4632652991</v>
      </c>
      <c r="BE5" s="38">
        <f t="shared" si="32"/>
        <v>0.5367347009</v>
      </c>
      <c r="BF5" s="38">
        <f t="shared" si="33"/>
        <v>0.5920333215</v>
      </c>
      <c r="BG5" s="37">
        <f t="shared" si="34"/>
        <v>0.2039310807</v>
      </c>
      <c r="BH5" s="43">
        <f t="shared" si="35"/>
        <v>0.08295201701</v>
      </c>
      <c r="BI5" s="44">
        <f t="shared" si="36"/>
        <v>0.5549128008</v>
      </c>
      <c r="BJ5" s="38">
        <f t="shared" si="37"/>
        <v>0.5701483934</v>
      </c>
      <c r="BK5" s="43">
        <f t="shared" si="38"/>
        <v>-0.1137568668</v>
      </c>
      <c r="BL5" s="47">
        <v>159.67</v>
      </c>
      <c r="BM5" s="46">
        <f t="shared" si="39"/>
        <v>0.05046067426</v>
      </c>
      <c r="BN5" s="38">
        <v>0.0</v>
      </c>
      <c r="BO5" s="47">
        <v>22.04</v>
      </c>
      <c r="BP5" s="47">
        <f t="shared" si="40"/>
        <v>0.03227938261</v>
      </c>
      <c r="BQ5" s="47">
        <v>15.16</v>
      </c>
      <c r="BR5" s="47">
        <f t="shared" si="41"/>
        <v>0.4225727616</v>
      </c>
      <c r="BS5" s="47">
        <v>0.366</v>
      </c>
      <c r="BT5" s="47">
        <f t="shared" si="42"/>
        <v>0.7168391345</v>
      </c>
      <c r="BU5" s="47">
        <v>0.5</v>
      </c>
      <c r="BV5" s="47">
        <f t="shared" si="43"/>
        <v>0.9752475248</v>
      </c>
      <c r="BW5" s="48">
        <f t="shared" si="44"/>
        <v>2.110625602</v>
      </c>
      <c r="BX5" s="49">
        <f t="shared" si="45"/>
        <v>1.026873585</v>
      </c>
      <c r="BY5" s="47">
        <f t="shared" si="46"/>
        <v>0.5367347009</v>
      </c>
      <c r="BZ5" s="50">
        <v>0.105</v>
      </c>
      <c r="CA5" s="50">
        <f t="shared" si="47"/>
        <v>0.1465020576</v>
      </c>
      <c r="CB5" s="50">
        <v>0.142</v>
      </c>
      <c r="CC5" s="50">
        <f t="shared" si="48"/>
        <v>0.223821188</v>
      </c>
      <c r="CD5" s="50">
        <v>0.447</v>
      </c>
      <c r="CE5" s="50">
        <f t="shared" si="49"/>
        <v>0.6965792981</v>
      </c>
      <c r="CF5" s="50">
        <f t="shared" si="50"/>
        <v>0.3556341812</v>
      </c>
      <c r="CG5" s="51">
        <v>0.181</v>
      </c>
      <c r="CH5" s="51">
        <f t="shared" si="51"/>
        <v>0.2337011033</v>
      </c>
      <c r="CI5" s="51">
        <v>0.136</v>
      </c>
      <c r="CJ5" s="51">
        <f t="shared" si="52"/>
        <v>0.2063694268</v>
      </c>
      <c r="CK5" s="51">
        <v>0.162</v>
      </c>
      <c r="CL5" s="51">
        <f t="shared" si="53"/>
        <v>0.3768595041</v>
      </c>
      <c r="CM5" s="51">
        <v>0.365</v>
      </c>
      <c r="CN5" s="51">
        <f t="shared" si="54"/>
        <v>0.2818590705</v>
      </c>
      <c r="CO5" s="51">
        <v>0.349</v>
      </c>
      <c r="CP5" s="51">
        <f t="shared" si="55"/>
        <v>0.7492038217</v>
      </c>
      <c r="CQ5" s="51">
        <f t="shared" si="56"/>
        <v>0.3695985853</v>
      </c>
      <c r="CR5" s="52">
        <f t="shared" si="57"/>
        <v>0.4206558225</v>
      </c>
      <c r="CS5" s="53">
        <f t="shared" si="58"/>
        <v>0.3849404811</v>
      </c>
      <c r="CT5" s="54">
        <f t="shared" si="59"/>
        <v>0.4757347431</v>
      </c>
      <c r="CU5" s="55">
        <f t="shared" si="60"/>
        <v>0.1528892879</v>
      </c>
      <c r="CV5" s="34">
        <f t="shared" si="61"/>
        <v>1.856728291</v>
      </c>
      <c r="CW5" s="34">
        <f t="shared" si="62"/>
        <v>0.6745099839</v>
      </c>
      <c r="CX5" s="35">
        <f t="shared" si="63"/>
        <v>0.2817142366</v>
      </c>
      <c r="CY5" s="38">
        <f>IFERROR(__xludf.DUMMYFUNCTION("(GOOGLEFINANCE(B5,""price"")/INDEX(GOOGLEFINANCE(B5,""price"",TODAY()-30),2,2))-1"),-0.09553680332561665)</f>
        <v>-0.09553680333</v>
      </c>
      <c r="CZ5" s="38">
        <f>IFERROR(__xludf.DUMMYFUNCTION("(GOOGLEFINANCE($B5,""price"")/INDEX(GOOGLEFINANCE($B5,""price"",TODAY()-180),2,2))-1"),-0.12924175613496924)</f>
        <v>-0.1292417561</v>
      </c>
      <c r="DA5" s="38">
        <f>IFERROR(__xludf.DUMMYFUNCTION("(GOOGLEFINANCE($B5,""price"")/INDEX(GOOGLEFINANCE($B5,""price"",TODAY()-365),2,2))-1"),-0.3577097806296512)</f>
        <v>-0.3577097806</v>
      </c>
      <c r="DB5" s="38">
        <f>IFERROR(__xludf.DUMMYFUNCTION("(GOOGLEFINANCE($B5,""price"")/INDEX(GOOGLEFINANCE($B5,""price"",TODAY()-365*5),2,2))-1"),-0.16087388282025816)</f>
        <v>-0.1608738828</v>
      </c>
      <c r="DC5" s="38">
        <f>IFERROR(__xludf.DUMMYFUNCTION("(INDEX(GOOGLEFINANCE(B5, ""price"", TODAY()-30, TODAY()), ROWS(GOOGLEFINANCE(B5, ""price"", TODAY()-30, TODAY())), 2) / INDEX(GOOGLEFINANCE(B5, ""price"", TODAY()-30, TODAY()), 2, 2)) - 1"),-0.09553680332561665)</f>
        <v>-0.09553680333</v>
      </c>
      <c r="DD5" s="38">
        <f>IFERROR(__xludf.DUMMYFUNCTION("(INDEX(GOOGLEFINANCE(B5, ""price"", TODAY()-7, TODAY()), ROWS(GOOGLEFINANCE(B5, ""price"", TODAY()-7, TODAY())), 2) / INDEX(GOOGLEFINANCE(B5, ""price"", TODAY()-7, TODAY()), 2, 2)) - 1"),-0.03602790969145464)</f>
        <v>-0.03602790969</v>
      </c>
    </row>
    <row r="6">
      <c r="A6" s="34" t="str">
        <f>IFERROR(__xludf.DUMMYFUNCTION("GOOGLEFINANCE(B6,""name"")"),"Autodesk Inc")</f>
        <v>Autodesk Inc</v>
      </c>
      <c r="B6" s="35" t="s">
        <v>99</v>
      </c>
      <c r="C6" s="35" t="s">
        <v>90</v>
      </c>
      <c r="D6" s="35" t="s">
        <v>100</v>
      </c>
      <c r="E6" s="57">
        <v>3.0</v>
      </c>
      <c r="F6" s="35">
        <f>IFERROR(__xludf.DUMMYFUNCTION("IFERROR(MIN(INDEX(GOOGLEFINANCE(B6,""close"",TODAY()-100,TODAY()),0,2)) * GOOGLEFINANCE(""CURRENCY:USDEUR""),""Error en datos"")"),204.3467272)</f>
        <v>204.3467272</v>
      </c>
      <c r="G6" s="35">
        <f>IFERROR(__xludf.DUMMYFUNCTION("IFERROR(MAX(INDEX(GOOGLEFINANCE(B6,""close"",TODAY()-100,TODAY()),0,2)) * GOOGLEFINANCE(""CURRENCY:USDEUR""),""Error en datos"")"),270.92796280000005)</f>
        <v>270.9279628</v>
      </c>
      <c r="H6" s="35">
        <f>IFERROR(__xludf.DUMMYFUNCTION("IFERROR(AVERAGE(INDEX(GOOGLEFINANCE(B6,""close"",TODAY()-20,TODAY()),0,2)) * GOOGLEFINANCE(""CURRENCY:USDEUR""),""Error en datos"")"),261.2052833076923)</f>
        <v>261.2052833</v>
      </c>
      <c r="I6" s="35">
        <f>IFERROR(__xludf.DUMMYFUNCTION("IFERROR(PERCENTILE(INDEX(GOOGLEFINANCE(B6,""close"",TODAY()-365,TODAY()),0,2),0.05) * GOOGLEFINANCE(""CURRENCY:USDEUR""),""Error en datos"")"),207.47986116)</f>
        <v>207.4798612</v>
      </c>
      <c r="J6" s="35">
        <f>IFERROR(__xludf.DUMMYFUNCTION("AVERAGE(INDEX(GOOGLEFINANCE(B6,""price"",TODAY()-20,TODAY(),""DAILY""),0,2))+(2*STDEV(INDEX(GOOGLEFINANCE(B6,""price"",TODAY()-20,TODAY(),""DAILY""),0,2)))"),326.9636479920882)</f>
        <v>326.963648</v>
      </c>
      <c r="K6" s="35">
        <f>IFERROR(__xludf.DUMMYFUNCTION("AVERAGE(INDEX(GOOGLEFINANCE(B6,""price"",TODAY()-20,TODAY(),""DAILY""),0,2))-(2*STDEV(INDEX(GOOGLEFINANCE(B6,""price"",TODAY()-20,TODAY(),""DAILY""),0,2)))"),283.6286597002194)</f>
        <v>283.6286597</v>
      </c>
      <c r="L6" s="35">
        <v>1263.0</v>
      </c>
      <c r="M6" s="35">
        <f t="shared" si="1"/>
        <v>0.2205934299</v>
      </c>
      <c r="N6" s="35">
        <v>7.69</v>
      </c>
      <c r="O6" s="35">
        <f t="shared" si="2"/>
        <v>0.4786222222</v>
      </c>
      <c r="P6" s="35">
        <v>1.86</v>
      </c>
      <c r="Q6" s="35">
        <f t="shared" si="3"/>
        <v>0.1858578053</v>
      </c>
      <c r="R6" s="35" t="str">
        <f>IFERROR(__xludf.DUMMYFUNCTION("IF(B6="""", """", SPARKLINE(INDEX(GOOGLEFINANCE(B6, ""price"", TODAY()-1825, TODAY()), 0, 2)))"),"")</f>
        <v/>
      </c>
      <c r="S6" s="35">
        <f t="shared" si="4"/>
        <v>231.818416</v>
      </c>
      <c r="T6" s="35">
        <f t="shared" si="5"/>
        <v>288.692898</v>
      </c>
      <c r="U6" s="34" t="str">
        <f t="shared" si="6"/>
        <v>Compra</v>
      </c>
      <c r="V6" s="37">
        <f t="shared" si="7"/>
        <v>0.03484477342</v>
      </c>
      <c r="W6" s="37">
        <f t="shared" si="8"/>
        <v>-0.1630821327</v>
      </c>
      <c r="X6" s="34">
        <f>IFERROR(__xludf.DUMMYFUNCTION("AJ6*GOOGLEFINANCE(""CURRENCY:USD/EUR"")"),239.89607619999998)</f>
        <v>239.8960762</v>
      </c>
      <c r="Y6" s="35">
        <f>IFERROR(__xludf.DUMMYFUNCTION("AI6*GOOGLEFINANCE(""CURRENCY:USD/EUR"")"),286.64231648849386)</f>
        <v>286.6423165</v>
      </c>
      <c r="Z6" s="38">
        <f t="shared" si="9"/>
        <v>0.2034081697</v>
      </c>
      <c r="AA6" s="38">
        <f t="shared" si="10"/>
        <v>0.1948603788</v>
      </c>
      <c r="AB6" s="38">
        <f t="shared" si="11"/>
        <v>0.0667391909</v>
      </c>
      <c r="AC6" s="41">
        <v>290.0</v>
      </c>
      <c r="AD6" s="40">
        <f t="shared" si="12"/>
        <v>0.3269833137</v>
      </c>
      <c r="AE6" s="41">
        <v>344.85</v>
      </c>
      <c r="AF6" s="41">
        <f t="shared" si="13"/>
        <v>0.4126013934</v>
      </c>
      <c r="AG6" s="41">
        <v>376.0</v>
      </c>
      <c r="AH6" s="41">
        <f t="shared" si="14"/>
        <v>0.2604152929</v>
      </c>
      <c r="AI6" s="41">
        <f t="shared" si="15"/>
        <v>335.0269016</v>
      </c>
      <c r="AJ6" s="34">
        <f>IFERROR(__xludf.DUMMYFUNCTION("GOOGLEFINANCE(B6,""price"")"),280.39)</f>
        <v>280.39</v>
      </c>
      <c r="AK6" s="37">
        <f t="shared" ref="AK6:AK8" si="64">AP6+BN6</f>
        <v>0.1823366093</v>
      </c>
      <c r="AL6" s="34">
        <v>283.36</v>
      </c>
      <c r="AM6" s="34">
        <f t="shared" si="16"/>
        <v>268.7155921</v>
      </c>
      <c r="AN6" s="34">
        <f t="shared" si="17"/>
        <v>283.6379133</v>
      </c>
      <c r="AO6" s="38">
        <f>IFERROR(__xludf.DUMMYFUNCTION("(GOOGLEFINANCE(B6, ""price"") - INDEX(GOOGLEFINANCE(B6, ""price"", DATE(2025,5,8)), 2, 2)) / INDEX(GOOGLEFINANCE(B6, ""price"", DATE(2025,5,8)), 2, 2)"),-0.03186934603963821)</f>
        <v>-0.03186934604</v>
      </c>
      <c r="AP6" s="37">
        <f t="shared" si="18"/>
        <v>0.1823366093</v>
      </c>
      <c r="AQ6" s="37">
        <f t="shared" si="19"/>
        <v>-0.01048136646</v>
      </c>
      <c r="AR6" s="37">
        <f t="shared" si="20"/>
        <v>0.1928179758</v>
      </c>
      <c r="AS6" s="34">
        <f>IFERROR(__xludf.DUMMYFUNCTION("IF(X6&lt;K6,1,IF(X6&gt;J6,-1,0)) + IF(X6&lt;F6,1,IF(X6&gt;G6,-1,0)) + IF(X6&lt;I6,1,IF(X6&gt;I6,-1,0)) + IF(X6&lt;H6,1,IF(X6&gt;H6,-1,0))"),1.0)</f>
        <v>1</v>
      </c>
      <c r="AT6" s="34" t="str">
        <f t="shared" si="21"/>
        <v>recompra</v>
      </c>
      <c r="AU6" s="35" t="str">
        <f t="shared" si="22"/>
        <v>hold</v>
      </c>
      <c r="AV6" s="35" t="str">
        <f t="shared" si="23"/>
        <v>hold</v>
      </c>
      <c r="AW6" s="38">
        <f t="shared" si="24"/>
        <v>0.1948603788</v>
      </c>
      <c r="AX6" s="38">
        <f t="shared" si="25"/>
        <v>0.1534076357</v>
      </c>
      <c r="AY6" s="38">
        <f t="shared" si="26"/>
        <v>0.1511885336</v>
      </c>
      <c r="AZ6" s="42">
        <f t="shared" si="27"/>
        <v>0.1632446677</v>
      </c>
      <c r="BA6" s="38">
        <f t="shared" si="28"/>
        <v>0.5610905006</v>
      </c>
      <c r="BB6" s="38">
        <f t="shared" si="29"/>
        <v>0.4389094994</v>
      </c>
      <c r="BC6" s="38">
        <f t="shared" si="30"/>
        <v>0.1201333359</v>
      </c>
      <c r="BD6" s="38">
        <f t="shared" si="31"/>
        <v>0.5628098441</v>
      </c>
      <c r="BE6" s="38">
        <f t="shared" si="32"/>
        <v>0.4371901559</v>
      </c>
      <c r="BF6" s="38">
        <f t="shared" si="33"/>
        <v>0.2784638302</v>
      </c>
      <c r="BG6" s="37">
        <f t="shared" si="34"/>
        <v>0.1271907524</v>
      </c>
      <c r="BH6" s="43">
        <f t="shared" si="35"/>
        <v>0.139189643</v>
      </c>
      <c r="BI6" s="44">
        <f t="shared" si="36"/>
        <v>0.4282210302</v>
      </c>
      <c r="BJ6" s="38">
        <f t="shared" si="37"/>
        <v>0.3985971661</v>
      </c>
      <c r="BK6" s="43">
        <f t="shared" si="38"/>
        <v>0.4099866336</v>
      </c>
      <c r="BL6" s="59">
        <v>60.36</v>
      </c>
      <c r="BM6" s="46">
        <f t="shared" si="39"/>
        <v>0.01905005899</v>
      </c>
      <c r="BN6" s="38">
        <v>0.0</v>
      </c>
      <c r="BO6" s="59">
        <v>6.13</v>
      </c>
      <c r="BP6" s="58">
        <f t="shared" si="40"/>
        <v>0.008914279001</v>
      </c>
      <c r="BQ6" s="59">
        <v>5.12</v>
      </c>
      <c r="BR6" s="47">
        <f t="shared" si="41"/>
        <v>0.1995112197</v>
      </c>
      <c r="BS6" s="60">
        <v>0.231</v>
      </c>
      <c r="BT6" s="47">
        <f t="shared" si="42"/>
        <v>0.5898400753</v>
      </c>
      <c r="BU6" s="59">
        <v>1.0</v>
      </c>
      <c r="BV6" s="47">
        <f t="shared" si="43"/>
        <v>0.9504950495</v>
      </c>
      <c r="BW6" s="48">
        <f t="shared" si="44"/>
        <v>1.229511518</v>
      </c>
      <c r="BX6" s="49">
        <f t="shared" si="45"/>
        <v>0.7172524174</v>
      </c>
      <c r="BY6" s="47">
        <f t="shared" si="46"/>
        <v>0.4371901559</v>
      </c>
      <c r="BZ6" s="60">
        <v>0.115</v>
      </c>
      <c r="CA6" s="50">
        <f t="shared" si="47"/>
        <v>0.1547325103</v>
      </c>
      <c r="CB6" s="60">
        <v>0.195</v>
      </c>
      <c r="CC6" s="50">
        <f t="shared" si="48"/>
        <v>0.2400489896</v>
      </c>
      <c r="CD6" s="60">
        <v>0.222</v>
      </c>
      <c r="CE6" s="50">
        <f t="shared" si="49"/>
        <v>0.6903320746</v>
      </c>
      <c r="CF6" s="50">
        <f t="shared" si="50"/>
        <v>0.3617045248</v>
      </c>
      <c r="CG6" s="60">
        <v>0.398</v>
      </c>
      <c r="CH6" s="51">
        <f t="shared" si="51"/>
        <v>0.3425275827</v>
      </c>
      <c r="CI6" s="60">
        <v>0.134</v>
      </c>
      <c r="CJ6" s="51">
        <f t="shared" si="52"/>
        <v>0.2038216561</v>
      </c>
      <c r="CK6" s="60">
        <v>0.257</v>
      </c>
      <c r="CL6" s="51">
        <f t="shared" si="53"/>
        <v>0.4553719008</v>
      </c>
      <c r="CM6" s="60">
        <v>0.942</v>
      </c>
      <c r="CN6" s="51">
        <f t="shared" si="54"/>
        <v>0.5702148926</v>
      </c>
      <c r="CO6" s="60">
        <v>0.19</v>
      </c>
      <c r="CP6" s="51">
        <f t="shared" si="55"/>
        <v>0.622611465</v>
      </c>
      <c r="CQ6" s="51">
        <f t="shared" si="56"/>
        <v>0.4389094994</v>
      </c>
      <c r="CR6" s="52">
        <f t="shared" si="57"/>
        <v>0.4126013934</v>
      </c>
      <c r="CS6" s="53">
        <f t="shared" si="58"/>
        <v>0.2764167218</v>
      </c>
      <c r="CT6" s="54">
        <f t="shared" si="59"/>
        <v>0.3424974913</v>
      </c>
      <c r="CU6" s="55">
        <f t="shared" si="60"/>
        <v>0.0845448241</v>
      </c>
      <c r="CV6" s="34">
        <f t="shared" si="61"/>
        <v>1.514202719</v>
      </c>
      <c r="CW6" s="34">
        <f t="shared" si="62"/>
        <v>0.5848513764</v>
      </c>
      <c r="CX6" s="35">
        <f t="shared" si="63"/>
        <v>0.3322400137</v>
      </c>
      <c r="CY6" s="38">
        <f>IFERROR(__xludf.DUMMYFUNCTION("(GOOGLEFINANCE(B6,""price"")/INDEX(GOOGLEFINANCE(B6,""price"",TODAY()-30),2,2))-1"),-0.06318075509522225)</f>
        <v>-0.0631807551</v>
      </c>
      <c r="CZ6" s="38">
        <f>IFERROR(__xludf.DUMMYFUNCTION("(GOOGLEFINANCE($B6,""price"")/INDEX(GOOGLEFINANCE($B6,""price"",TODAY()-180),2,2))-1"),-0.03626177218670523)</f>
        <v>-0.03626177219</v>
      </c>
      <c r="DA6" s="38">
        <f>IFERROR(__xludf.DUMMYFUNCTION("(GOOGLEFINANCE($B6,""price"")/INDEX(GOOGLEFINANCE($B6,""price"",TODAY()-365),2,2))-1"),0.10751668839119954)</f>
        <v>0.1075166884</v>
      </c>
      <c r="DB6" s="38">
        <f>IFERROR(__xludf.DUMMYFUNCTION("(GOOGLEFINANCE($B6,""price"")/INDEX(GOOGLEFINANCE($B6,""price"",TODAY()-365*5),2,2))-1"),0.19021139315731372)</f>
        <v>0.1902113932</v>
      </c>
      <c r="DC6" s="38">
        <f>IFERROR(__xludf.DUMMYFUNCTION("(INDEX(GOOGLEFINANCE(B6, ""price"", TODAY()-30, TODAY()), ROWS(GOOGLEFINANCE(B6, ""price"", TODAY()-30, TODAY())), 2) / INDEX(GOOGLEFINANCE(B6, ""price"", TODAY()-30, TODAY()), 2, 2)) - 1"),-0.06318075509522225)</f>
        <v>-0.0631807551</v>
      </c>
      <c r="DD6" s="38">
        <f>IFERROR(__xludf.DUMMYFUNCTION("(INDEX(GOOGLEFINANCE(B6, ""price"", TODAY()-7, TODAY()), ROWS(GOOGLEFINANCE(B6, ""price"", TODAY()-7, TODAY())), 2) / INDEX(GOOGLEFINANCE(B6, ""price"", TODAY()-7, TODAY()), 2, 2)) - 1"),-0.11074815261171556)</f>
        <v>-0.1107481526</v>
      </c>
    </row>
    <row r="7">
      <c r="A7" s="34" t="str">
        <f>IFERROR(__xludf.DUMMYFUNCTION("GOOGLEFINANCE(B7,""name"")"),"Amazon.com Inc")</f>
        <v>Amazon.com Inc</v>
      </c>
      <c r="B7" s="35" t="s">
        <v>101</v>
      </c>
      <c r="C7" s="35" t="s">
        <v>102</v>
      </c>
      <c r="D7" s="35" t="s">
        <v>91</v>
      </c>
      <c r="E7" s="36">
        <v>1.0</v>
      </c>
      <c r="F7" s="35">
        <f>IFERROR(__xludf.DUMMYFUNCTION("IFERROR(MIN(INDEX(GOOGLEFINANCE(B7,""close"",TODAY()-100,TODAY()),0,2)) * GOOGLEFINANCE(""CURRENCY:USDEUR""),""Error en datos"")"),143.15564559999999)</f>
        <v>143.1556456</v>
      </c>
      <c r="G7" s="35">
        <f>IFERROR(__xludf.DUMMYFUNCTION("IFERROR(MAX(INDEX(GOOGLEFINANCE(B7,""close"",TODAY()-100,TODAY()),0,2)) * GOOGLEFINANCE(""CURRENCY:USDEUR""),""Error en datos"")"),192.5226116)</f>
        <v>192.5226116</v>
      </c>
      <c r="H7" s="35">
        <f>IFERROR(__xludf.DUMMYFUNCTION("IFERROR(AVERAGE(INDEX(GOOGLEFINANCE(B7,""close"",TODAY()-20,TODAY()),0,2)) * GOOGLEFINANCE(""CURRENCY:USDEUR""),""Error en datos"")"),188.29407198461544)</f>
        <v>188.294072</v>
      </c>
      <c r="I7" s="35">
        <f>IFERROR(__xludf.DUMMYFUNCTION("IFERROR(PERCENTILE(INDEX(GOOGLEFINANCE(B7,""close"",TODAY()-365,TODAY()),0,2),0.05) * GOOGLEFINANCE(""CURRENCY:USDEUR""),""Error en datos"")"),146.43765048)</f>
        <v>146.4376505</v>
      </c>
      <c r="J7" s="35">
        <f>IFERROR(__xludf.DUMMYFUNCTION("AVERAGE(INDEX(GOOGLEFINANCE(B7,""price"",TODAY()-20,TODAY(),""DAILY""),0,2))+(2*STDEV(INDEX(GOOGLEFINANCE(B7,""price"",TODAY()-20,TODAY(),""DAILY""),0,2)))"),228.18051549407272)</f>
        <v>228.1805155</v>
      </c>
      <c r="K7" s="35">
        <f>IFERROR(__xludf.DUMMYFUNCTION("AVERAGE(INDEX(GOOGLEFINANCE(B7,""price"",TODAY()-20,TODAY(),""DAILY""),0,2))-(2*STDEV(INDEX(GOOGLEFINANCE(B7,""price"",TODAY()-20,TODAY(),""DAILY""),0,2)))"),211.974869121312)</f>
        <v>211.9748691</v>
      </c>
      <c r="L7" s="35">
        <v>5367.0</v>
      </c>
      <c r="M7" s="35">
        <f t="shared" si="1"/>
        <v>0.9454256446</v>
      </c>
      <c r="N7" s="35">
        <v>20.25</v>
      </c>
      <c r="O7" s="35">
        <f t="shared" si="2"/>
        <v>0.5344444444</v>
      </c>
      <c r="P7" s="35">
        <v>4.7</v>
      </c>
      <c r="Q7" s="35">
        <f t="shared" si="3"/>
        <v>0.2407264297</v>
      </c>
      <c r="R7" s="35" t="str">
        <f>IFERROR(__xludf.DUMMYFUNCTION("IF(B7="""", """", SPARKLINE(INDEX(GOOGLEFINANCE(B7, ""price"", TODAY()-1825, TODAY()), 0, 2)))"),"")</f>
        <v/>
      </c>
      <c r="S7" s="35">
        <f t="shared" si="4"/>
        <v>167.1893884</v>
      </c>
      <c r="T7" s="35">
        <f t="shared" si="5"/>
        <v>223.4555513</v>
      </c>
      <c r="U7" s="34" t="str">
        <f t="shared" si="6"/>
        <v/>
      </c>
      <c r="V7" s="37">
        <f t="shared" si="7"/>
        <v>0.1515241095</v>
      </c>
      <c r="W7" s="37">
        <f t="shared" si="8"/>
        <v>-0.1484177244</v>
      </c>
      <c r="X7" s="34">
        <f>IFERROR(__xludf.DUMMYFUNCTION("AJ7*GOOGLEFINANCE(""CURRENCY:USD/EUR"")"),192.5226116)</f>
        <v>192.5226116</v>
      </c>
      <c r="Y7" s="35">
        <f>IFERROR(__xludf.DUMMYFUNCTION("AI7*GOOGLEFINANCE(""CURRENCY:USD/EUR"")"),226.07634884790178)</f>
        <v>226.0763488</v>
      </c>
      <c r="Z7" s="38">
        <f t="shared" si="9"/>
        <v>0.1606717229</v>
      </c>
      <c r="AA7" s="38">
        <f t="shared" si="10"/>
        <v>0.1742846566</v>
      </c>
      <c r="AB7" s="38">
        <f t="shared" si="11"/>
        <v>0.07952002539</v>
      </c>
      <c r="AC7" s="41">
        <v>195.0</v>
      </c>
      <c r="AD7" s="40">
        <f t="shared" si="12"/>
        <v>0.1221284954</v>
      </c>
      <c r="AE7" s="41">
        <v>246.0</v>
      </c>
      <c r="AF7" s="41">
        <f t="shared" si="13"/>
        <v>0.4631920692</v>
      </c>
      <c r="AG7" s="41">
        <v>305.0</v>
      </c>
      <c r="AH7" s="41">
        <f t="shared" si="14"/>
        <v>0.4146794354</v>
      </c>
      <c r="AI7" s="41">
        <f t="shared" si="15"/>
        <v>264.2375334</v>
      </c>
      <c r="AJ7" s="34">
        <f>IFERROR(__xludf.DUMMYFUNCTION("GOOGLEFINANCE(B7,""price"")"),225.02)</f>
        <v>225.02</v>
      </c>
      <c r="AK7" s="37">
        <f t="shared" si="64"/>
        <v>0.4002306896</v>
      </c>
      <c r="AL7" s="34">
        <v>188.71</v>
      </c>
      <c r="AM7" s="34">
        <f t="shared" si="16"/>
        <v>182.4341728</v>
      </c>
      <c r="AN7" s="34">
        <f t="shared" si="17"/>
        <v>269.5760692</v>
      </c>
      <c r="AO7" s="38">
        <f>IFERROR(__xludf.DUMMYFUNCTION("(GOOGLEFINANCE(B7, ""price"") - INDEX(GOOGLEFINANCE(B7, ""price"", DATE(2025,5,8)), 2, 2)) / INDEX(GOOGLEFINANCE(B7, ""price"", DATE(2025,5,8)), 2, 2)"),0.17149104539775092)</f>
        <v>0.1714910454</v>
      </c>
      <c r="AP7" s="37">
        <f t="shared" si="18"/>
        <v>0.4002306896</v>
      </c>
      <c r="AQ7" s="37">
        <f t="shared" si="19"/>
        <v>0.1924116369</v>
      </c>
      <c r="AR7" s="37">
        <f t="shared" si="20"/>
        <v>0.2078190526</v>
      </c>
      <c r="AS7" s="34">
        <f>IFERROR(__xludf.DUMMYFUNCTION("IF(X7&lt;K7,1,IF(X7&gt;J7,-1,0)) + IF(X7&lt;F7,1,IF(X7&gt;G7,-1,0)) + IF(X7&lt;I7,1,IF(X7&gt;I7,-1,0)) + IF(X7&lt;H7,1,IF(X7&gt;H7,-1,0))"),-1.0)</f>
        <v>-1</v>
      </c>
      <c r="AT7" s="34" t="str">
        <f t="shared" si="21"/>
        <v>Hold</v>
      </c>
      <c r="AU7" s="35" t="str">
        <f t="shared" si="22"/>
        <v>hold</v>
      </c>
      <c r="AV7" s="35" t="str">
        <f t="shared" si="23"/>
        <v>hold</v>
      </c>
      <c r="AW7" s="38">
        <f t="shared" si="24"/>
        <v>0.1742846566</v>
      </c>
      <c r="AX7" s="38">
        <f t="shared" si="25"/>
        <v>0.1371624951</v>
      </c>
      <c r="AY7" s="38">
        <f t="shared" si="26"/>
        <v>0.1709426604</v>
      </c>
      <c r="AZ7" s="42">
        <f t="shared" si="27"/>
        <v>0.4362242761</v>
      </c>
      <c r="BA7" s="38">
        <f t="shared" si="28"/>
        <v>0.6425753881</v>
      </c>
      <c r="BB7" s="38">
        <f t="shared" si="29"/>
        <v>0.3574246119</v>
      </c>
      <c r="BC7" s="38">
        <f t="shared" si="30"/>
        <v>-0.05240131896</v>
      </c>
      <c r="BD7" s="38">
        <f t="shared" si="31"/>
        <v>0.3416684668</v>
      </c>
      <c r="BE7" s="38">
        <f t="shared" si="32"/>
        <v>0.6583315332</v>
      </c>
      <c r="BF7" s="38">
        <f t="shared" si="33"/>
        <v>0.2658499709</v>
      </c>
      <c r="BG7" s="37">
        <f t="shared" si="34"/>
        <v>0.7657242263</v>
      </c>
      <c r="BH7" s="43">
        <f t="shared" si="35"/>
        <v>0.4683334433</v>
      </c>
      <c r="BI7" s="44">
        <f t="shared" si="36"/>
        <v>0.5927499983</v>
      </c>
      <c r="BJ7" s="38">
        <f t="shared" si="37"/>
        <v>0.213448652</v>
      </c>
      <c r="BK7" s="43">
        <f t="shared" si="38"/>
        <v>0.5154300348</v>
      </c>
      <c r="BL7" s="35">
        <v>2003.41</v>
      </c>
      <c r="BM7" s="46">
        <f t="shared" si="39"/>
        <v>0.6336145138</v>
      </c>
      <c r="BN7" s="38">
        <v>0.0</v>
      </c>
      <c r="BO7" s="35">
        <v>650.31</v>
      </c>
      <c r="BP7" s="47">
        <f t="shared" si="40"/>
        <v>0.9549439737</v>
      </c>
      <c r="BQ7" s="35">
        <v>6.14</v>
      </c>
      <c r="BR7" s="47">
        <f t="shared" si="41"/>
        <v>0.2221728505</v>
      </c>
      <c r="BS7" s="38">
        <v>0.11</v>
      </c>
      <c r="BT7" s="47">
        <f t="shared" si="42"/>
        <v>0.4760112888</v>
      </c>
      <c r="BU7" s="35">
        <v>0.4</v>
      </c>
      <c r="BV7" s="47">
        <f t="shared" si="43"/>
        <v>0.9801980198</v>
      </c>
      <c r="BW7" s="48">
        <f t="shared" si="44"/>
        <v>1.176618089</v>
      </c>
      <c r="BX7" s="49">
        <f t="shared" si="45"/>
        <v>0.7171665533</v>
      </c>
      <c r="BY7" s="47">
        <f t="shared" si="46"/>
        <v>0.6583315332</v>
      </c>
      <c r="BZ7" s="38">
        <v>0.101</v>
      </c>
      <c r="CA7" s="50">
        <f t="shared" si="47"/>
        <v>0.1432098765</v>
      </c>
      <c r="CB7" s="38">
        <v>0.306</v>
      </c>
      <c r="CC7" s="50">
        <f t="shared" si="48"/>
        <v>0.2740355175</v>
      </c>
      <c r="CD7" s="38">
        <v>0.722</v>
      </c>
      <c r="CE7" s="50">
        <f t="shared" si="49"/>
        <v>0.7042147934</v>
      </c>
      <c r="CF7" s="50">
        <f t="shared" si="50"/>
        <v>0.3738200625</v>
      </c>
      <c r="CG7" s="38">
        <v>0.424</v>
      </c>
      <c r="CH7" s="51">
        <f t="shared" si="51"/>
        <v>0.3555667001</v>
      </c>
      <c r="CI7" s="38">
        <v>0.17</v>
      </c>
      <c r="CJ7" s="51">
        <f t="shared" si="52"/>
        <v>0.2496815287</v>
      </c>
      <c r="CK7" s="38">
        <v>0.283</v>
      </c>
      <c r="CL7" s="51">
        <f t="shared" si="53"/>
        <v>0.4768595041</v>
      </c>
      <c r="CM7" s="38">
        <v>0.173</v>
      </c>
      <c r="CN7" s="51">
        <f t="shared" si="54"/>
        <v>0.1859070465</v>
      </c>
      <c r="CO7" s="38">
        <v>0.06</v>
      </c>
      <c r="CP7" s="51">
        <f t="shared" si="55"/>
        <v>0.5191082803</v>
      </c>
      <c r="CQ7" s="51">
        <f t="shared" si="56"/>
        <v>0.3574246119</v>
      </c>
      <c r="CR7" s="52">
        <f t="shared" si="57"/>
        <v>0.4631920692</v>
      </c>
      <c r="CS7" s="53">
        <f t="shared" si="58"/>
        <v>0.6665055409</v>
      </c>
      <c r="CT7" s="54">
        <f t="shared" si="59"/>
        <v>0.4562652098</v>
      </c>
      <c r="CU7" s="55">
        <f t="shared" si="60"/>
        <v>0.1865761958</v>
      </c>
      <c r="CV7" s="34">
        <f t="shared" si="61"/>
        <v>0.9779281197</v>
      </c>
      <c r="CW7" s="34">
        <f t="shared" si="62"/>
        <v>0.4760780645</v>
      </c>
      <c r="CX7" s="35">
        <f t="shared" si="63"/>
        <v>0.3875854371</v>
      </c>
      <c r="CY7" s="38">
        <f>IFERROR(__xludf.DUMMYFUNCTION("(GOOGLEFINANCE(B7,""price"")/INDEX(GOOGLEFINANCE(B7,""price"",TODAY()-30),2,2))-1"),0.04127718648773726)</f>
        <v>0.04127718649</v>
      </c>
      <c r="CZ7" s="38">
        <f>IFERROR(__xludf.DUMMYFUNCTION("(GOOGLEFINANCE($B7,""price"")/INDEX(GOOGLEFINANCE($B7,""price"",TODAY()-180),2,2))-1"),0.0074770539511976875)</f>
        <v>0.007477053951</v>
      </c>
      <c r="DA7" s="38">
        <f>IFERROR(__xludf.DUMMYFUNCTION("(GOOGLEFINANCE($B7,""price"")/INDEX(GOOGLEFINANCE($B7,""price"",TODAY()-365),2,2))-1"),0.1676006641760066)</f>
        <v>0.1676006642</v>
      </c>
      <c r="DB7" s="38">
        <f>IFERROR(__xludf.DUMMYFUNCTION("(GOOGLEFINANCE($B7,""price"")/INDEX(GOOGLEFINANCE($B7,""price"",TODAY()-365*5),2,2))-1"),0.4957458122839671)</f>
        <v>0.4957458123</v>
      </c>
      <c r="DC7" s="38">
        <f>IFERROR(__xludf.DUMMYFUNCTION("(INDEX(GOOGLEFINANCE(B7, ""price"", TODAY()-30, TODAY()), ROWS(GOOGLEFINANCE(B7, ""price"", TODAY()-30, TODAY())), 2) / INDEX(GOOGLEFINANCE(B7, ""price"", TODAY()-30, TODAY()), 2, 2)) - 1"),0.04127718648773726)</f>
        <v>0.04127718649</v>
      </c>
      <c r="DD7" s="38">
        <f>IFERROR(__xludf.DUMMYFUNCTION("(INDEX(GOOGLEFINANCE(B7, ""price"", TODAY()-7, TODAY()), ROWS(GOOGLEFINANCE(B7, ""price"", TODAY()-7, TODAY())), 2) / INDEX(GOOGLEFINANCE(B7, ""price"", TODAY()-7, TODAY()), 2, 2)) - 1"),0.006936054056472907)</f>
        <v>0.006936054056</v>
      </c>
    </row>
    <row r="8">
      <c r="A8" s="61" t="str">
        <f>IFERROR(__xludf.DUMMYFUNCTION("GOOGLEFINANCE(B8,""name"")"),"Arista Networks Inc")</f>
        <v>Arista Networks Inc</v>
      </c>
      <c r="B8" s="35" t="s">
        <v>103</v>
      </c>
      <c r="C8" s="35" t="s">
        <v>90</v>
      </c>
      <c r="D8" s="35" t="s">
        <v>91</v>
      </c>
      <c r="E8" s="56">
        <v>2.0</v>
      </c>
      <c r="F8" s="35">
        <f>IFERROR(__xludf.DUMMYFUNCTION("IFERROR(MIN(INDEX(GOOGLEFINANCE(B8,""close"",TODAY()-100,TODAY()),0,2)) * GOOGLEFINANCE(""CURRENCY:USDEUR""),""Error en datos"")"),57.8970986)</f>
        <v>57.8970986</v>
      </c>
      <c r="G8" s="35">
        <f>IFERROR(__xludf.DUMMYFUNCTION("IFERROR(MAX(INDEX(GOOGLEFINANCE(B8,""close"",TODAY()-100,TODAY()),0,2)) * GOOGLEFINANCE(""CURRENCY:USDEUR""),""Error en datos"")"),92.8903206)</f>
        <v>92.8903206</v>
      </c>
      <c r="H8" s="35">
        <f>IFERROR(__xludf.DUMMYFUNCTION("IFERROR(AVERAGE(INDEX(GOOGLEFINANCE(B8,""close"",TODAY()-20,TODAY()),0,2)) * GOOGLEFINANCE(""CURRENCY:USDEUR""),""Error en datos"")"),87.08027426153846)</f>
        <v>87.08027426</v>
      </c>
      <c r="I8" s="35">
        <f>IFERROR(__xludf.DUMMYFUNCTION("IFERROR(PERCENTILE(INDEX(GOOGLEFINANCE(B8,""close"",TODAY()-365,TODAY()),0,2),0.05) * GOOGLEFINANCE(""CURRENCY:USDEUR""),""Error en datos"")"),63.543926600000006)</f>
        <v>63.5439266</v>
      </c>
      <c r="J8" s="35">
        <f>IFERROR(__xludf.DUMMYFUNCTION("AVERAGE(INDEX(GOOGLEFINANCE(B8,""price"",TODAY()-20,TODAY(),""DAILY""),0,2))+(2*STDEV(INDEX(GOOGLEFINANCE(B8,""price"",TODAY()-20,TODAY(),""DAILY""),0,2)))"),109.54487073658467)</f>
        <v>109.5448707</v>
      </c>
      <c r="K8" s="35">
        <f>IFERROR(__xludf.DUMMYFUNCTION("AVERAGE(INDEX(GOOGLEFINANCE(B8,""price"",TODAY()-20,TODAY(),""DAILY""),0,2))-(2*STDEV(INDEX(GOOGLEFINANCE(B8,""price"",TODAY()-20,TODAY(),""DAILY""),0,2)))"),94.01359080187686)</f>
        <v>94.0135908</v>
      </c>
      <c r="L8" s="35">
        <v>1545.0</v>
      </c>
      <c r="M8" s="35">
        <f t="shared" si="1"/>
        <v>0.2703991522</v>
      </c>
      <c r="N8" s="35">
        <v>27.8</v>
      </c>
      <c r="O8" s="35">
        <f t="shared" si="2"/>
        <v>0.568</v>
      </c>
      <c r="P8" s="35">
        <v>0.14</v>
      </c>
      <c r="Q8" s="35">
        <f t="shared" si="3"/>
        <v>0.1526275116</v>
      </c>
      <c r="R8" s="35" t="str">
        <f>IFERROR(__xludf.DUMMYFUNCTION("IF(B8="""", """", SPARKLINE(INDEX(GOOGLEFINANCE(B8, ""price"", TODAY()-1825, TODAY()), 0, 2)))"),"")</f>
        <v/>
      </c>
      <c r="S8" s="35">
        <f t="shared" si="4"/>
        <v>71.81820533</v>
      </c>
      <c r="T8" s="35">
        <f t="shared" si="5"/>
        <v>93.6012208</v>
      </c>
      <c r="U8" s="34" t="str">
        <f t="shared" si="6"/>
        <v/>
      </c>
      <c r="V8" s="37">
        <f t="shared" si="7"/>
        <v>0.2934091038</v>
      </c>
      <c r="W8" s="37">
        <f t="shared" si="8"/>
        <v>0.008822685638</v>
      </c>
      <c r="X8" s="34">
        <f>IFERROR(__xludf.DUMMYFUNCTION("AJ8*GOOGLEFINANCE(""CURRENCY:USD/EUR"")"),92.8903206)</f>
        <v>92.8903206</v>
      </c>
      <c r="Y8" s="35">
        <f>IFERROR(__xludf.DUMMYFUNCTION("AI8*GOOGLEFINANCE(""CURRENCY:USD/EUR"")"),92.07794582971614)</f>
        <v>92.07794583</v>
      </c>
      <c r="Z8" s="38">
        <f t="shared" si="9"/>
        <v>0.00765311389</v>
      </c>
      <c r="AA8" s="38">
        <f t="shared" si="10"/>
        <v>-0.008745526606</v>
      </c>
      <c r="AB8" s="38">
        <f t="shared" si="11"/>
        <v>-0.003160247615</v>
      </c>
      <c r="AC8" s="41">
        <v>87.0</v>
      </c>
      <c r="AD8" s="40">
        <f t="shared" si="12"/>
        <v>0.321719218</v>
      </c>
      <c r="AE8" s="41">
        <v>110.14</v>
      </c>
      <c r="AF8" s="41">
        <f t="shared" si="13"/>
        <v>0.4302908081</v>
      </c>
      <c r="AG8" s="41">
        <v>130.0</v>
      </c>
      <c r="AH8" s="41">
        <f t="shared" si="14"/>
        <v>0.2479899739</v>
      </c>
      <c r="AI8" s="41">
        <f t="shared" si="15"/>
        <v>107.6204982</v>
      </c>
      <c r="AJ8" s="34">
        <f>IFERROR(__xludf.DUMMYFUNCTION("GOOGLEFINANCE(B8,""price"")"),108.57)</f>
        <v>108.57</v>
      </c>
      <c r="AK8" s="37">
        <f t="shared" si="64"/>
        <v>0.244887197</v>
      </c>
      <c r="AL8" s="34">
        <v>86.45</v>
      </c>
      <c r="AM8" s="34">
        <f t="shared" si="16"/>
        <v>82.72394103</v>
      </c>
      <c r="AN8" s="34">
        <f t="shared" si="17"/>
        <v>115.6379708</v>
      </c>
      <c r="AO8" s="38">
        <f>IFERROR(__xludf.DUMMYFUNCTION("(GOOGLEFINANCE(B8, ""price"") - INDEX(GOOGLEFINANCE(B8, ""price"", DATE(2025,5,8)), 2, 2)) / INDEX(GOOGLEFINANCE(B8, ""price"", DATE(2025,5,8)), 2, 2)"),0.24407012719147472)</f>
        <v>0.2440701272</v>
      </c>
      <c r="AP8" s="37">
        <f t="shared" si="18"/>
        <v>0.244887197</v>
      </c>
      <c r="AQ8" s="37">
        <f t="shared" si="19"/>
        <v>0.2558704453</v>
      </c>
      <c r="AR8" s="37">
        <f t="shared" si="20"/>
        <v>-0.01098324839</v>
      </c>
      <c r="AS8" s="34">
        <f>IFERROR(__xludf.DUMMYFUNCTION("IF(X8&lt;K8,1,IF(X8&gt;J8,-1,0)) + IF(X8&lt;F8,1,IF(X8&gt;G8,-1,0)) + IF(X8&lt;I8,1,IF(X8&gt;I8,-1,0)) + IF(X8&lt;H8,1,IF(X8&gt;H8,-1,0))"),-1.0)</f>
        <v>-1</v>
      </c>
      <c r="AT8" s="34" t="str">
        <f t="shared" si="21"/>
        <v>venta</v>
      </c>
      <c r="AU8" s="35" t="str">
        <f t="shared" si="22"/>
        <v>venta</v>
      </c>
      <c r="AV8" s="35" t="str">
        <f t="shared" si="23"/>
        <v>hold</v>
      </c>
      <c r="AW8" s="38">
        <f t="shared" si="24"/>
        <v>-0.008745526606</v>
      </c>
      <c r="AX8" s="38">
        <f t="shared" si="25"/>
        <v>0.100556614</v>
      </c>
      <c r="AY8" s="38">
        <f t="shared" si="26"/>
        <v>0.09805759959</v>
      </c>
      <c r="AZ8" s="42">
        <f t="shared" si="27"/>
        <v>0.09838068974</v>
      </c>
      <c r="BA8" s="38">
        <f t="shared" si="28"/>
        <v>0.5813501215</v>
      </c>
      <c r="BB8" s="38">
        <f t="shared" si="29"/>
        <v>0.4186498785</v>
      </c>
      <c r="BC8" s="38">
        <f t="shared" si="30"/>
        <v>-0.1094449831</v>
      </c>
      <c r="BD8" s="38">
        <f t="shared" si="31"/>
        <v>0.5217165081</v>
      </c>
      <c r="BE8" s="38">
        <f t="shared" si="32"/>
        <v>0.4782834919</v>
      </c>
      <c r="BF8" s="38">
        <f t="shared" si="33"/>
        <v>0.1019499876</v>
      </c>
      <c r="BG8" s="37">
        <f t="shared" si="34"/>
        <v>0.2005088772</v>
      </c>
      <c r="BH8" s="43">
        <f t="shared" si="35"/>
        <v>0.1492832384</v>
      </c>
      <c r="BI8" s="44">
        <f t="shared" si="36"/>
        <v>0.4064118901</v>
      </c>
      <c r="BJ8" s="38">
        <f t="shared" si="37"/>
        <v>-0.007494995521</v>
      </c>
      <c r="BK8" s="43">
        <f t="shared" si="38"/>
        <v>0.3403029397</v>
      </c>
      <c r="BL8" s="47">
        <v>110.29</v>
      </c>
      <c r="BM8" s="46">
        <f t="shared" si="39"/>
        <v>0.03484234598</v>
      </c>
      <c r="BN8" s="38">
        <v>0.0</v>
      </c>
      <c r="BO8" s="47">
        <v>7.0</v>
      </c>
      <c r="BP8" s="58">
        <f t="shared" si="40"/>
        <v>0.01019194337</v>
      </c>
      <c r="BQ8" s="47">
        <v>2.23</v>
      </c>
      <c r="BR8" s="47">
        <f t="shared" si="41"/>
        <v>0.1353032659</v>
      </c>
      <c r="BS8" s="47">
        <v>0.42</v>
      </c>
      <c r="BT8" s="47">
        <f t="shared" si="42"/>
        <v>0.7676387582</v>
      </c>
      <c r="BU8" s="47">
        <v>0.0</v>
      </c>
      <c r="BV8" s="47">
        <f t="shared" si="43"/>
        <v>1</v>
      </c>
      <c r="BW8" s="48">
        <f t="shared" si="44"/>
        <v>1.156929614</v>
      </c>
      <c r="BX8" s="49">
        <f t="shared" si="45"/>
        <v>0.6635405418</v>
      </c>
      <c r="BY8" s="47">
        <f t="shared" si="46"/>
        <v>0.4782834919</v>
      </c>
      <c r="BZ8" s="50">
        <v>0.195</v>
      </c>
      <c r="CA8" s="50">
        <f t="shared" si="47"/>
        <v>0.2205761317</v>
      </c>
      <c r="CB8" s="50">
        <v>0.284</v>
      </c>
      <c r="CC8" s="50">
        <f t="shared" si="48"/>
        <v>0.2672994489</v>
      </c>
      <c r="CD8" s="50">
        <v>0.352</v>
      </c>
      <c r="CE8" s="50">
        <f t="shared" si="49"/>
        <v>0.6939415815</v>
      </c>
      <c r="CF8" s="50">
        <f t="shared" si="50"/>
        <v>0.393939054</v>
      </c>
      <c r="CG8" s="51">
        <v>0.274</v>
      </c>
      <c r="CH8" s="51">
        <f t="shared" si="51"/>
        <v>0.2803410231</v>
      </c>
      <c r="CI8" s="51">
        <v>0.238</v>
      </c>
      <c r="CJ8" s="51">
        <f t="shared" si="52"/>
        <v>0.3363057325</v>
      </c>
      <c r="CK8" s="51">
        <v>0.289</v>
      </c>
      <c r="CL8" s="51">
        <f t="shared" si="53"/>
        <v>0.4818181818</v>
      </c>
      <c r="CM8" s="51">
        <v>0.294</v>
      </c>
      <c r="CN8" s="51">
        <f t="shared" si="54"/>
        <v>0.2463768116</v>
      </c>
      <c r="CO8" s="51">
        <v>0.348</v>
      </c>
      <c r="CP8" s="51">
        <f t="shared" si="55"/>
        <v>0.7484076433</v>
      </c>
      <c r="CQ8" s="51">
        <f t="shared" si="56"/>
        <v>0.4186498785</v>
      </c>
      <c r="CR8" s="52">
        <f t="shared" si="57"/>
        <v>0.4302908081</v>
      </c>
      <c r="CS8" s="53">
        <f t="shared" si="58"/>
        <v>0.315356454</v>
      </c>
      <c r="CT8" s="54">
        <f t="shared" si="59"/>
        <v>0.3613558974</v>
      </c>
      <c r="CU8" s="55">
        <f t="shared" si="60"/>
        <v>0.08517768257</v>
      </c>
      <c r="CV8" s="34">
        <f t="shared" si="61"/>
        <v>0.4765880413</v>
      </c>
      <c r="CW8" s="34">
        <f t="shared" si="62"/>
        <v>0.3342924144</v>
      </c>
      <c r="CX8" s="35">
        <f t="shared" si="63"/>
        <v>0.3603137558</v>
      </c>
      <c r="CY8" s="38">
        <f>IFERROR(__xludf.DUMMYFUNCTION("(GOOGLEFINANCE(B8,""price"")/INDEX(GOOGLEFINANCE(B8,""price"",TODAY()-30),2,2))-1"),0.14176043748028166)</f>
        <v>0.1417604375</v>
      </c>
      <c r="CZ8" s="38">
        <f>IFERROR(__xludf.DUMMYFUNCTION("(GOOGLEFINANCE($B8,""price"")/INDEX(GOOGLEFINANCE($B8,""price"",TODAY()-180),2,2))-1"),-0.0648578811369509)</f>
        <v>-0.06485788114</v>
      </c>
      <c r="DA8" s="38">
        <f>IFERROR(__xludf.DUMMYFUNCTION("(GOOGLEFINANCE($B8,""price"")/INDEX(GOOGLEFINANCE($B8,""price"",TODAY()-365),2,2))-1"),0.20486072577960268)</f>
        <v>0.2048607258</v>
      </c>
      <c r="DB8" s="38">
        <f>IFERROR(__xludf.DUMMYFUNCTION("(GOOGLEFINANCE($B8,""price"")/INDEX(GOOGLEFINANCE($B8,""price"",TODAY()-365*5),2,2))-1"),7.072118959107806)</f>
        <v>7.072118959</v>
      </c>
      <c r="DC8" s="38">
        <f>IFERROR(__xludf.DUMMYFUNCTION("(INDEX(GOOGLEFINANCE(B8, ""price"", TODAY()-30, TODAY()), ROWS(GOOGLEFINANCE(B8, ""price"", TODAY()-30, TODAY())), 2) / INDEX(GOOGLEFINANCE(B8, ""price"", TODAY()-30, TODAY()), 2, 2)) - 1"),0.14176043748028166)</f>
        <v>0.1417604375</v>
      </c>
      <c r="DD8" s="38">
        <f>IFERROR(__xludf.DUMMYFUNCTION("(INDEX(GOOGLEFINANCE(B8, ""price"", TODAY()-7, TODAY()), ROWS(GOOGLEFINANCE(B8, ""price"", TODAY()-7, TODAY())), 2) / INDEX(GOOGLEFINANCE(B8, ""price"", TODAY()-7, TODAY()), 2, 2)) - 1"),0.06997142012417457)</f>
        <v>0.06997142012</v>
      </c>
    </row>
    <row r="9">
      <c r="A9" s="34" t="str">
        <f>IFERROR(__xludf.DUMMYFUNCTION("GOOGLEFINANCE(B9,""name"")"),"Amphenol Corp")</f>
        <v>Amphenol Corp</v>
      </c>
      <c r="B9" s="35" t="s">
        <v>104</v>
      </c>
      <c r="C9" s="35" t="s">
        <v>90</v>
      </c>
      <c r="D9" s="35" t="s">
        <v>105</v>
      </c>
      <c r="E9" s="62">
        <v>5.0</v>
      </c>
      <c r="F9" s="35">
        <f>IFERROR(__xludf.DUMMYFUNCTION("IFERROR(MIN(INDEX(GOOGLEFINANCE(B9,""close"",TODAY()-100,TODAY()),0,2)) * GOOGLEFINANCE(""CURRENCY:USDEUR""),""Error en datos"")"),51.394690600000004)</f>
        <v>51.3946906</v>
      </c>
      <c r="G9" s="35">
        <f>IFERROR(__xludf.DUMMYFUNCTION("IFERROR(MAX(INDEX(GOOGLEFINANCE(B9,""close"",TODAY()-100,TODAY()),0,2)) * GOOGLEFINANCE(""CURRENCY:USDEUR""),""Error en datos"")"),85.09598679999999)</f>
        <v>85.0959868</v>
      </c>
      <c r="H9" s="35">
        <f>IFERROR(__xludf.DUMMYFUNCTION("IFERROR(AVERAGE(INDEX(GOOGLEFINANCE(B9,""close"",TODAY()-20,TODAY()),0,2)) * GOOGLEFINANCE(""CURRENCY:USDEUR""),""Error en datos"")"),83.7698378)</f>
        <v>83.7698378</v>
      </c>
      <c r="I9" s="35">
        <f>IFERROR(__xludf.DUMMYFUNCTION("IFERROR(PERCENTILE(INDEX(GOOGLEFINANCE(B9,""close"",TODAY()-365,TODAY()),0,2),0.05) * GOOGLEFINANCE(""CURRENCY:USDEUR""),""Error en datos"")"),52.775596719999996)</f>
        <v>52.77559672</v>
      </c>
      <c r="J9" s="35">
        <f>IFERROR(__xludf.DUMMYFUNCTION("AVERAGE(INDEX(GOOGLEFINANCE(B9,""price"",TODAY()-20,TODAY(),""DAILY""),0,2))+(2*STDEV(INDEX(GOOGLEFINANCE(B9,""price"",TODAY()-20,TODAY(),""DAILY""),0,2)))"),99.87209072165382)</f>
        <v>99.87209072</v>
      </c>
      <c r="K9" s="35">
        <f>IFERROR(__xludf.DUMMYFUNCTION("AVERAGE(INDEX(GOOGLEFINANCE(B9,""price"",TODAY()-20,TODAY(),""DAILY""),0,2))-(2*STDEV(INDEX(GOOGLEFINANCE(B9,""price"",TODAY()-20,TODAY(),""DAILY""),0,2)))"),95.94790927834617)</f>
        <v>95.94790928</v>
      </c>
      <c r="L9" s="35">
        <v>1375.0</v>
      </c>
      <c r="M9" s="35">
        <f t="shared" si="1"/>
        <v>0.240374426</v>
      </c>
      <c r="N9" s="35">
        <v>-10.5</v>
      </c>
      <c r="O9" s="35">
        <f t="shared" si="2"/>
        <v>0.3977777778</v>
      </c>
      <c r="P9" s="35">
        <v>2.36</v>
      </c>
      <c r="Q9" s="35">
        <f t="shared" si="3"/>
        <v>0.1955177743</v>
      </c>
      <c r="R9" s="35" t="str">
        <f>IFERROR(__xludf.DUMMYFUNCTION("IF(B9="""", """", SPARKLINE(INDEX(GOOGLEFINANCE(B9, ""price"", TODAY()-1825, TODAY()), 0, 2)))"),"")</f>
        <v/>
      </c>
      <c r="S9" s="35">
        <f t="shared" si="4"/>
        <v>66.70606553</v>
      </c>
      <c r="T9" s="35">
        <f t="shared" si="5"/>
        <v>81.0014569</v>
      </c>
      <c r="U9" s="34" t="str">
        <f t="shared" si="6"/>
        <v>Venta</v>
      </c>
      <c r="V9" s="37">
        <f t="shared" si="7"/>
        <v>0.2667076093</v>
      </c>
      <c r="W9" s="37">
        <f t="shared" si="8"/>
        <v>0.07359309633</v>
      </c>
      <c r="X9" s="34">
        <f>IFERROR(__xludf.DUMMYFUNCTION("AJ9*GOOGLEFINANCE(""CURRENCY:USD/EUR"")"),84.4970808)</f>
        <v>84.4970808</v>
      </c>
      <c r="Y9" s="35">
        <f>IFERROR(__xludf.DUMMYFUNCTION("AI9*GOOGLEFINANCE(""CURRENCY:USD/EUR"")"),78.70494052993496)</f>
        <v>78.70494053</v>
      </c>
      <c r="Z9" s="38">
        <f t="shared" si="9"/>
        <v>-0.04136975935</v>
      </c>
      <c r="AA9" s="38">
        <f t="shared" si="10"/>
        <v>-0.06054840682</v>
      </c>
      <c r="AB9" s="38">
        <f t="shared" si="11"/>
        <v>-0.01327242921</v>
      </c>
      <c r="AC9" s="41">
        <v>70.0</v>
      </c>
      <c r="AD9" s="40">
        <f t="shared" si="12"/>
        <v>0.3230381412</v>
      </c>
      <c r="AE9" s="41">
        <v>97.4</v>
      </c>
      <c r="AF9" s="41">
        <f t="shared" si="13"/>
        <v>0.4038345245</v>
      </c>
      <c r="AG9" s="41">
        <v>110.0</v>
      </c>
      <c r="AH9" s="41">
        <f t="shared" si="14"/>
        <v>0.2731273343</v>
      </c>
      <c r="AI9" s="41">
        <f t="shared" si="15"/>
        <v>91.99015934</v>
      </c>
      <c r="AJ9" s="34">
        <f>IFERROR(__xludf.DUMMYFUNCTION("GOOGLEFINANCE(B9,""price"")"),98.76)</f>
        <v>98.76</v>
      </c>
      <c r="AK9" s="37">
        <f>AR9+BN9</f>
        <v>-0.07574369938</v>
      </c>
      <c r="AL9" s="34">
        <v>80.84</v>
      </c>
      <c r="AM9" s="34">
        <f t="shared" si="16"/>
        <v>68.00268566</v>
      </c>
      <c r="AN9" s="34">
        <f t="shared" si="17"/>
        <v>96.15165669</v>
      </c>
      <c r="AO9" s="38">
        <f>IFERROR(__xludf.DUMMYFUNCTION("(GOOGLEFINANCE(B9, ""price"") - INDEX(GOOGLEFINANCE(B9, ""price"", DATE(2025,5,8)), 2, 2)) / INDEX(GOOGLEFINANCE(B9, ""price"", DATE(2025,5,8)), 2, 2)"),0.22561429635145205)</f>
        <v>0.2256142964</v>
      </c>
      <c r="AP9" s="37">
        <f t="shared" si="18"/>
        <v>0.13792874</v>
      </c>
      <c r="AQ9" s="37">
        <f t="shared" si="19"/>
        <v>0.2216724394</v>
      </c>
      <c r="AR9" s="37">
        <f t="shared" si="20"/>
        <v>-0.08374369938</v>
      </c>
      <c r="AS9" s="34">
        <f>IFERROR(__xludf.DUMMYFUNCTION("IF(X9&lt;K9,1,IF(X9&gt;J9,-1,0)) + IF(X9&lt;F9,1,IF(X9&gt;G9,-1,0)) + IF(X9&lt;I9,1,IF(X9&gt;I9,-1,0)) + IF(X9&lt;H9,1,IF(X9&gt;H9,-1,0))"),-1.0)</f>
        <v>-1</v>
      </c>
      <c r="AT9" s="34" t="str">
        <f t="shared" si="21"/>
        <v>venta</v>
      </c>
      <c r="AU9" s="35" t="str">
        <f t="shared" si="22"/>
        <v>venta</v>
      </c>
      <c r="AV9" s="35" t="str">
        <f t="shared" si="23"/>
        <v>hold</v>
      </c>
      <c r="AW9" s="38">
        <f t="shared" si="24"/>
        <v>-0.06854840682</v>
      </c>
      <c r="AX9" s="38">
        <f t="shared" si="25"/>
        <v>0.1697042835</v>
      </c>
      <c r="AY9" s="38">
        <f t="shared" si="26"/>
        <v>0.1740890156</v>
      </c>
      <c r="AZ9" s="42">
        <f t="shared" si="27"/>
        <v>-0.01500369953</v>
      </c>
      <c r="BA9" s="38">
        <f t="shared" si="28"/>
        <v>0.653963954</v>
      </c>
      <c r="BB9" s="38">
        <f t="shared" si="29"/>
        <v>0.346036046</v>
      </c>
      <c r="BC9" s="38">
        <f t="shared" si="30"/>
        <v>-0.1952066863</v>
      </c>
      <c r="BD9" s="38">
        <f t="shared" si="31"/>
        <v>0.5740645699</v>
      </c>
      <c r="BE9" s="38">
        <f t="shared" si="32"/>
        <v>0.4259354301</v>
      </c>
      <c r="BF9" s="38">
        <f t="shared" si="33"/>
        <v>0.0405709439</v>
      </c>
      <c r="BG9" s="37">
        <f t="shared" si="34"/>
        <v>0.04731047215</v>
      </c>
      <c r="BH9" s="43">
        <f t="shared" si="35"/>
        <v>0.1106997439</v>
      </c>
      <c r="BI9" s="44">
        <f t="shared" si="36"/>
        <v>0.3275962368</v>
      </c>
      <c r="BJ9" s="38">
        <f t="shared" si="37"/>
        <v>-0.1546357424</v>
      </c>
      <c r="BK9" s="43">
        <f t="shared" si="38"/>
        <v>0.1457760524</v>
      </c>
      <c r="BL9" s="59">
        <v>97.78</v>
      </c>
      <c r="BM9" s="46">
        <f t="shared" si="39"/>
        <v>0.03088557629</v>
      </c>
      <c r="BN9" s="38">
        <v>0.008</v>
      </c>
      <c r="BO9" s="59">
        <v>16.78</v>
      </c>
      <c r="BP9" s="58">
        <f t="shared" si="40"/>
        <v>0.02455465319</v>
      </c>
      <c r="BQ9" s="59">
        <v>2.06</v>
      </c>
      <c r="BR9" s="47">
        <f t="shared" si="41"/>
        <v>0.1315263275</v>
      </c>
      <c r="BS9" s="60">
        <v>0.223</v>
      </c>
      <c r="BT9" s="47">
        <f t="shared" si="42"/>
        <v>0.5823142051</v>
      </c>
      <c r="BU9" s="59">
        <v>0.7</v>
      </c>
      <c r="BV9" s="47">
        <f t="shared" si="43"/>
        <v>0.9653465347</v>
      </c>
      <c r="BW9" s="48">
        <f t="shared" si="44"/>
        <v>1.016097433</v>
      </c>
      <c r="BX9" s="49">
        <f t="shared" si="45"/>
        <v>0.5444927297</v>
      </c>
      <c r="BY9" s="47">
        <f t="shared" si="46"/>
        <v>0.4259354301</v>
      </c>
      <c r="BZ9" s="60">
        <v>0.307</v>
      </c>
      <c r="CA9" s="50">
        <f t="shared" si="47"/>
        <v>0.3127572016</v>
      </c>
      <c r="CB9" s="60">
        <v>0.438</v>
      </c>
      <c r="CC9" s="50">
        <f t="shared" si="48"/>
        <v>0.314451929</v>
      </c>
      <c r="CD9" s="60">
        <v>0.26</v>
      </c>
      <c r="CE9" s="50">
        <f t="shared" si="49"/>
        <v>0.6913871613</v>
      </c>
      <c r="CF9" s="50">
        <f t="shared" si="50"/>
        <v>0.4395320973</v>
      </c>
      <c r="CG9" s="60">
        <v>0.175</v>
      </c>
      <c r="CH9" s="51">
        <f t="shared" si="51"/>
        <v>0.2306920762</v>
      </c>
      <c r="CI9" s="60">
        <v>0.156</v>
      </c>
      <c r="CJ9" s="51">
        <f t="shared" si="52"/>
        <v>0.2318471338</v>
      </c>
      <c r="CK9" s="60">
        <v>0.19</v>
      </c>
      <c r="CL9" s="51">
        <f t="shared" si="53"/>
        <v>0.4</v>
      </c>
      <c r="CM9" s="60">
        <v>0.269</v>
      </c>
      <c r="CN9" s="51">
        <f t="shared" si="54"/>
        <v>0.2338830585</v>
      </c>
      <c r="CO9" s="60">
        <v>0.204</v>
      </c>
      <c r="CP9" s="51">
        <f t="shared" si="55"/>
        <v>0.6337579618</v>
      </c>
      <c r="CQ9" s="51">
        <f t="shared" si="56"/>
        <v>0.346036046</v>
      </c>
      <c r="CR9" s="52">
        <f t="shared" si="57"/>
        <v>0.4038345245</v>
      </c>
      <c r="CS9" s="53">
        <f t="shared" si="58"/>
        <v>0.268511101</v>
      </c>
      <c r="CT9" s="54">
        <f t="shared" si="59"/>
        <v>0.2192036076</v>
      </c>
      <c r="CU9" s="55">
        <f t="shared" si="60"/>
        <v>-0.03300654301</v>
      </c>
      <c r="CV9" s="34">
        <f t="shared" si="61"/>
        <v>1.80164601</v>
      </c>
      <c r="CW9" s="34">
        <f t="shared" si="62"/>
        <v>0.6523287648</v>
      </c>
      <c r="CX9" s="35">
        <f t="shared" si="63"/>
        <v>0.2966477761</v>
      </c>
      <c r="CY9" s="38">
        <f>IFERROR(__xludf.DUMMYFUNCTION("(GOOGLEFINANCE(B9,""price"")/INDEX(GOOGLEFINANCE(B9,""price"",TODAY()-30),2,2))-1"),0.05761405011779841)</f>
        <v>0.05761405012</v>
      </c>
      <c r="CZ9" s="38">
        <f>IFERROR(__xludf.DUMMYFUNCTION("(GOOGLEFINANCE($B9,""price"")/INDEX(GOOGLEFINANCE($B9,""price"",TODAY()-180),2,2))-1"),0.3919661733615223)</f>
        <v>0.3919661734</v>
      </c>
      <c r="DA9" s="38">
        <f>IFERROR(__xludf.DUMMYFUNCTION("(GOOGLEFINANCE($B9,""price"")/INDEX(GOOGLEFINANCE($B9,""price"",TODAY()-365),2,2))-1"),0.4167264381007032)</f>
        <v>0.4167264381</v>
      </c>
      <c r="DB9" s="38">
        <f>IFERROR(__xludf.DUMMYFUNCTION("(GOOGLEFINANCE($B9,""price"")/INDEX(GOOGLEFINANCE($B9,""price"",TODAY()-365*5),2,2))-1"),2.9330943847072883)</f>
        <v>2.933094385</v>
      </c>
      <c r="DC9" s="38">
        <f>IFERROR(__xludf.DUMMYFUNCTION("(INDEX(GOOGLEFINANCE(B9, ""price"", TODAY()-30, TODAY()), ROWS(GOOGLEFINANCE(B9, ""price"", TODAY()-30, TODAY())), 2) / INDEX(GOOGLEFINANCE(B9, ""price"", TODAY()-30, TODAY()), 2, 2)) - 1"),0.05761405011779841)</f>
        <v>0.05761405012</v>
      </c>
      <c r="DD9" s="38">
        <f>IFERROR(__xludf.DUMMYFUNCTION("(INDEX(GOOGLEFINANCE(B9, ""price"", TODAY()-7, TODAY()), ROWS(GOOGLEFINANCE(B9, ""price"", TODAY()-7, TODAY())), 2) / INDEX(GOOGLEFINANCE(B9, ""price"", TODAY()-7, TODAY()), 2, 2)) - 1"),0.002130898021309058)</f>
        <v>0.002130898021</v>
      </c>
    </row>
    <row r="10">
      <c r="A10" s="34" t="str">
        <f>IFERROR(__xludf.DUMMYFUNCTION("GOOGLEFINANCE(B10,""name"")"),"Broadcom Inc")</f>
        <v>Broadcom Inc</v>
      </c>
      <c r="B10" s="35" t="s">
        <v>106</v>
      </c>
      <c r="C10" s="35" t="s">
        <v>90</v>
      </c>
      <c r="D10" s="35" t="s">
        <v>107</v>
      </c>
      <c r="E10" s="56">
        <v>2.0</v>
      </c>
      <c r="F10" s="35">
        <f>IFERROR(__xludf.DUMMYFUNCTION("IFERROR(MIN(INDEX(GOOGLEFINANCE(B10,""close"",TODAY()-100,TODAY()),0,2)) * GOOGLEFINANCE(""CURRENCY:USDEUR""),""Error en datos"")"),131.87910119999998)</f>
        <v>131.8791012</v>
      </c>
      <c r="G10" s="35">
        <f>IFERROR(__xludf.DUMMYFUNCTION("IFERROR(MAX(INDEX(GOOGLEFINANCE(B10,""close"",TODAY()-100,TODAY()),0,2)) * GOOGLEFINANCE(""CURRENCY:USDEUR""),""Error en datos"")"),237.76568199999997)</f>
        <v>237.765682</v>
      </c>
      <c r="H10" s="35">
        <f>IFERROR(__xludf.DUMMYFUNCTION("IFERROR(AVERAGE(INDEX(GOOGLEFINANCE(B10,""close"",TODAY()-20,TODAY()),0,2)) * GOOGLEFINANCE(""CURRENCY:USDEUR""),""Error en datos"")"),232.13004235384616)</f>
        <v>232.1300424</v>
      </c>
      <c r="I10" s="35">
        <f>IFERROR(__xludf.DUMMYFUNCTION("IFERROR(PERCENTILE(INDEX(GOOGLEFINANCE(B10,""close"",TODAY()-365,TODAY()),0,2),0.05) * GOOGLEFINANCE(""CURRENCY:USDEUR""),""Error en datos"")"),127.37532808)</f>
        <v>127.3753281</v>
      </c>
      <c r="J10" s="35">
        <f>IFERROR(__xludf.DUMMYFUNCTION("AVERAGE(INDEX(GOOGLEFINANCE(B10,""price"",TODAY()-20,TODAY(),""DAILY""),0,2))+(2*STDEV(INDEX(GOOGLEFINANCE(B10,""price"",TODAY()-20,TODAY(),""DAILY""),0,2)))"),280.6827421060504)</f>
        <v>280.6827421</v>
      </c>
      <c r="K10" s="35">
        <f>IFERROR(__xludf.DUMMYFUNCTION("AVERAGE(INDEX(GOOGLEFINANCE(B10,""price"",TODAY()-20,TODAY(),""DAILY""),0,2))-(2*STDEV(INDEX(GOOGLEFINANCE(B10,""price"",TODAY()-20,TODAY(),""DAILY""),0,2)))"),261.9434117401035)</f>
        <v>261.9434117</v>
      </c>
      <c r="L10" s="35">
        <v>3793.0</v>
      </c>
      <c r="M10" s="35">
        <f t="shared" si="1"/>
        <v>0.6674320028</v>
      </c>
      <c r="N10" s="35">
        <v>35.0</v>
      </c>
      <c r="O10" s="35">
        <f t="shared" si="2"/>
        <v>0.6</v>
      </c>
      <c r="P10" s="35">
        <v>3.44</v>
      </c>
      <c r="Q10" s="35">
        <f t="shared" si="3"/>
        <v>0.2163833076</v>
      </c>
      <c r="R10" s="35" t="str">
        <f>IFERROR(__xludf.DUMMYFUNCTION("IF(B10="""", """", SPARKLINE(INDEX(GOOGLEFINANCE(B10, ""price"", TODAY()-1825, TODAY()), 0, 2)))"),"")</f>
        <v/>
      </c>
      <c r="S10" s="35">
        <f t="shared" si="4"/>
        <v>173.7326137</v>
      </c>
      <c r="T10" s="35">
        <f t="shared" si="5"/>
        <v>264.0016016</v>
      </c>
      <c r="U10" s="34" t="str">
        <f t="shared" si="6"/>
        <v/>
      </c>
      <c r="V10" s="37">
        <f t="shared" si="7"/>
        <v>0.3512376026</v>
      </c>
      <c r="W10" s="37">
        <f t="shared" si="8"/>
        <v>-0.1139921951</v>
      </c>
      <c r="X10" s="34">
        <f>IFERROR(__xludf.DUMMYFUNCTION("AJ10*GOOGLEFINANCE(""CURRENCY:USD/EUR"")"),234.7540404)</f>
        <v>234.7540404</v>
      </c>
      <c r="Y10" s="35">
        <f>IFERROR(__xludf.DUMMYFUNCTION("AI10*GOOGLEFINANCE(""CURRENCY:USD/EUR"")"),264.95707951406314)</f>
        <v>264.9570795</v>
      </c>
      <c r="Z10" s="38">
        <f t="shared" si="9"/>
        <v>0.1245881057</v>
      </c>
      <c r="AA10" s="38">
        <f t="shared" si="10"/>
        <v>0.1406582291</v>
      </c>
      <c r="AB10" s="38">
        <f t="shared" si="11"/>
        <v>0.06506963792</v>
      </c>
      <c r="AC10" s="41">
        <v>210.0</v>
      </c>
      <c r="AD10" s="40">
        <f t="shared" si="12"/>
        <v>0.2318173623</v>
      </c>
      <c r="AE10" s="41">
        <v>295.6</v>
      </c>
      <c r="AF10" s="41">
        <f t="shared" si="13"/>
        <v>0.4432323396</v>
      </c>
      <c r="AG10" s="41">
        <v>400.0</v>
      </c>
      <c r="AH10" s="41">
        <f t="shared" si="14"/>
        <v>0.3249502981</v>
      </c>
      <c r="AI10" s="41">
        <f t="shared" si="15"/>
        <v>309.6812449</v>
      </c>
      <c r="AJ10" s="34">
        <f>IFERROR(__xludf.DUMMYFUNCTION("GOOGLEFINANCE(B10,""price"")"),274.38)</f>
        <v>274.38</v>
      </c>
      <c r="AK10" s="37">
        <f>AP10+BN10</f>
        <v>0.5240416235</v>
      </c>
      <c r="AL10" s="34">
        <v>204.81</v>
      </c>
      <c r="AM10" s="34">
        <f t="shared" si="16"/>
        <v>209.1705021</v>
      </c>
      <c r="AN10" s="34">
        <f t="shared" si="17"/>
        <v>354.9578804</v>
      </c>
      <c r="AO10" s="38">
        <f>IFERROR(__xludf.DUMMYFUNCTION("(GOOGLEFINANCE(B10, ""price"") - INDEX(GOOGLEFINANCE(B10, ""price"", DATE(2025,5,8)), 2, 2)) / INDEX(GOOGLEFINANCE(B10, ""price"", DATE(2025,5,8)), 2, 2)"),0.32059488857871676)</f>
        <v>0.3205948886</v>
      </c>
      <c r="AP10" s="37">
        <f t="shared" si="18"/>
        <v>0.5120416235</v>
      </c>
      <c r="AQ10" s="37">
        <f t="shared" si="19"/>
        <v>0.3396806797</v>
      </c>
      <c r="AR10" s="37">
        <f t="shared" si="20"/>
        <v>0.1723609438</v>
      </c>
      <c r="AS10" s="34">
        <f>IFERROR(__xludf.DUMMYFUNCTION("IF(X10&lt;K10,1,IF(X10&gt;J10,-1,0)) + IF(X10&lt;F10,1,IF(X10&gt;G10,-1,0)) + IF(X10&lt;I10,1,IF(X10&gt;I10,-1,0)) + IF(X10&lt;H10,1,IF(X10&gt;H10,-1,0))"),-1.0)</f>
        <v>-1</v>
      </c>
      <c r="AT10" s="34" t="str">
        <f t="shared" si="21"/>
        <v>Hold</v>
      </c>
      <c r="AU10" s="35" t="str">
        <f t="shared" si="22"/>
        <v>hold</v>
      </c>
      <c r="AV10" s="35" t="str">
        <f t="shared" si="23"/>
        <v>hold</v>
      </c>
      <c r="AW10" s="38">
        <f t="shared" si="24"/>
        <v>0.1286582291</v>
      </c>
      <c r="AX10" s="38">
        <f t="shared" si="25"/>
        <v>0.3367655651</v>
      </c>
      <c r="AY10" s="38">
        <f t="shared" si="26"/>
        <v>0.3646441303</v>
      </c>
      <c r="AZ10" s="42">
        <f t="shared" si="27"/>
        <v>0.2074906599</v>
      </c>
      <c r="BA10" s="38">
        <f t="shared" si="28"/>
        <v>0.5972194236</v>
      </c>
      <c r="BB10" s="38">
        <f t="shared" si="29"/>
        <v>0.4027805764</v>
      </c>
      <c r="BC10" s="38">
        <f t="shared" si="30"/>
        <v>-0.1089801832</v>
      </c>
      <c r="BD10" s="38">
        <f t="shared" si="31"/>
        <v>0.5336476096</v>
      </c>
      <c r="BE10" s="38">
        <f t="shared" si="32"/>
        <v>0.4663523904</v>
      </c>
      <c r="BF10" s="38">
        <f t="shared" si="33"/>
        <v>0.2547823805</v>
      </c>
      <c r="BG10" s="37">
        <f t="shared" si="34"/>
        <v>0.3420802212</v>
      </c>
      <c r="BH10" s="43">
        <f t="shared" si="35"/>
        <v>0.3533621758</v>
      </c>
      <c r="BI10" s="44">
        <f t="shared" si="36"/>
        <v>0.5317658269</v>
      </c>
      <c r="BJ10" s="38">
        <f t="shared" si="37"/>
        <v>0.1458021973</v>
      </c>
      <c r="BK10" s="43">
        <f t="shared" si="38"/>
        <v>1.015691472</v>
      </c>
      <c r="BL10" s="59">
        <v>963.01</v>
      </c>
      <c r="BM10" s="46">
        <f t="shared" si="39"/>
        <v>0.304547913</v>
      </c>
      <c r="BN10" s="38">
        <v>0.012</v>
      </c>
      <c r="BO10" s="59">
        <v>54.53</v>
      </c>
      <c r="BP10" s="47">
        <f t="shared" si="40"/>
        <v>0.07999353825</v>
      </c>
      <c r="BQ10" s="59">
        <v>2.09</v>
      </c>
      <c r="BR10" s="47">
        <f t="shared" si="41"/>
        <v>0.132192846</v>
      </c>
      <c r="BS10" s="60">
        <v>0.351</v>
      </c>
      <c r="BT10" s="47">
        <f t="shared" si="42"/>
        <v>0.7027281279</v>
      </c>
      <c r="BU10" s="59">
        <v>1.0</v>
      </c>
      <c r="BV10" s="47">
        <f t="shared" si="43"/>
        <v>0.9504950495</v>
      </c>
      <c r="BW10" s="48">
        <f t="shared" si="44"/>
        <v>0.9124932203</v>
      </c>
      <c r="BX10" s="49">
        <f t="shared" si="45"/>
        <v>0.7101694781</v>
      </c>
      <c r="BY10" s="47">
        <f t="shared" si="46"/>
        <v>0.4663523904</v>
      </c>
      <c r="BZ10" s="60">
        <v>0.403</v>
      </c>
      <c r="CA10" s="50">
        <f t="shared" si="47"/>
        <v>0.3917695473</v>
      </c>
      <c r="CB10" s="60">
        <v>0.429</v>
      </c>
      <c r="CC10" s="50">
        <f t="shared" si="48"/>
        <v>0.3116962645</v>
      </c>
      <c r="CD10" s="60">
        <v>-0.214</v>
      </c>
      <c r="CE10" s="50">
        <f t="shared" si="49"/>
        <v>0.6782263438</v>
      </c>
      <c r="CF10" s="50">
        <f t="shared" si="50"/>
        <v>0.4605640519</v>
      </c>
      <c r="CG10" s="60">
        <v>0.282</v>
      </c>
      <c r="CH10" s="51">
        <f t="shared" si="51"/>
        <v>0.2843530592</v>
      </c>
      <c r="CI10" s="60">
        <v>0.192</v>
      </c>
      <c r="CJ10" s="51">
        <f t="shared" si="52"/>
        <v>0.2777070064</v>
      </c>
      <c r="CK10" s="60">
        <v>0.236</v>
      </c>
      <c r="CL10" s="51">
        <f t="shared" si="53"/>
        <v>0.4380165289</v>
      </c>
      <c r="CM10" s="60">
        <v>0.356</v>
      </c>
      <c r="CN10" s="51">
        <f t="shared" si="54"/>
        <v>0.2773613193</v>
      </c>
      <c r="CO10" s="60">
        <v>0.333</v>
      </c>
      <c r="CP10" s="51">
        <f t="shared" si="55"/>
        <v>0.7364649682</v>
      </c>
      <c r="CQ10" s="51">
        <f t="shared" si="56"/>
        <v>0.4027805764</v>
      </c>
      <c r="CR10" s="52">
        <f t="shared" si="57"/>
        <v>0.4432323396</v>
      </c>
      <c r="CS10" s="53">
        <f t="shared" si="58"/>
        <v>0.5378118283</v>
      </c>
      <c r="CT10" s="54">
        <f t="shared" si="59"/>
        <v>0.4626081128</v>
      </c>
      <c r="CU10" s="55">
        <f t="shared" si="60"/>
        <v>0.2555350517</v>
      </c>
      <c r="CV10" s="34">
        <f t="shared" si="61"/>
        <v>1.164091498</v>
      </c>
      <c r="CW10" s="34">
        <f t="shared" si="62"/>
        <v>0.5126390443</v>
      </c>
      <c r="CX10" s="35">
        <f t="shared" si="63"/>
        <v>0.4081916538</v>
      </c>
      <c r="CY10" s="38">
        <f>IFERROR(__xludf.DUMMYFUNCTION("(GOOGLEFINANCE(B10,""price"")/INDEX(GOOGLEFINANCE(B10,""price"",TODAY()-30),2,2))-1"),0.08837762792542647)</f>
        <v>0.08837762793</v>
      </c>
      <c r="CZ10" s="38">
        <f>IFERROR(__xludf.DUMMYFUNCTION("(GOOGLEFINANCE($B10,""price"")/INDEX(GOOGLEFINANCE($B10,""price"",TODAY()-180),2,2))-1"),0.20342105263157895)</f>
        <v>0.2034210526</v>
      </c>
      <c r="DA10" s="38">
        <f>IFERROR(__xludf.DUMMYFUNCTION("(GOOGLEFINANCE($B10,""price"")/INDEX(GOOGLEFINANCE($B10,""price"",TODAY()-365),2,2))-1"),0.6006300315015751)</f>
        <v>0.6006300315</v>
      </c>
      <c r="DB10" s="38">
        <f>IFERROR(__xludf.DUMMYFUNCTION("(GOOGLEFINANCE($B10,""price"")/INDEX(GOOGLEFINANCE($B10,""price"",TODAY()-365*5),2,2))-1"),7.743785850860421)</f>
        <v>7.743785851</v>
      </c>
      <c r="DC10" s="38">
        <f>IFERROR(__xludf.DUMMYFUNCTION("(INDEX(GOOGLEFINANCE(B10, ""price"", TODAY()-30, TODAY()), ROWS(GOOGLEFINANCE(B10, ""price"", TODAY()-30, TODAY())), 2) / INDEX(GOOGLEFINANCE(B10, ""price"", TODAY()-30, TODAY()), 2, 2)) - 1"),0.08837762792542647)</f>
        <v>0.08837762793</v>
      </c>
      <c r="DD10" s="38">
        <f>IFERROR(__xludf.DUMMYFUNCTION("(INDEX(GOOGLEFINANCE(B10, ""price"", TODAY()-7, TODAY()), ROWS(GOOGLEFINANCE(B10, ""price"", TODAY()-7, TODAY())), 2) / INDEX(GOOGLEFINANCE(B10, ""price"", TODAY()-7, TODAY()), 2, 2)) - 1"),7.294478080093203E-4)</f>
        <v>0.000729447808</v>
      </c>
    </row>
    <row r="11">
      <c r="A11" s="34" t="str">
        <f>IFERROR(__xludf.DUMMYFUNCTION("GOOGLEFINANCE(B11,""name"")"),"BHP Group Ltd")</f>
        <v>BHP Group Ltd</v>
      </c>
      <c r="B11" s="45" t="s">
        <v>108</v>
      </c>
      <c r="C11" s="45" t="s">
        <v>109</v>
      </c>
      <c r="D11" s="35" t="s">
        <v>94</v>
      </c>
      <c r="E11" s="62">
        <v>5.0</v>
      </c>
      <c r="F11" s="35">
        <f>IFERROR(__xludf.DUMMYFUNCTION("IFERROR(MIN(INDEX(GOOGLEFINANCE(B11,""close"",TODAY()-100,TODAY()),0,2)) * GOOGLEFINANCE(""CURRENCY:USDEUR""),""Error en datos"")"),34.411427599999996)</f>
        <v>34.4114276</v>
      </c>
      <c r="G11" s="35">
        <f>IFERROR(__xludf.DUMMYFUNCTION("IFERROR(MAX(INDEX(GOOGLEFINANCE(B11,""close"",TODAY()-100,TODAY()),0,2)) * GOOGLEFINANCE(""CURRENCY:USDEUR""),""Error en datos"")"),44.5586064)</f>
        <v>44.5586064</v>
      </c>
      <c r="H11" s="35">
        <f>IFERROR(__xludf.DUMMYFUNCTION("IFERROR(AVERAGE(INDEX(GOOGLEFINANCE(B11,""close"",TODAY()-20,TODAY()),0,2)) * GOOGLEFINANCE(""CURRENCY:USDEUR""),""Error en datos"")"),42.1833846923077)</f>
        <v>42.18338469</v>
      </c>
      <c r="I11" s="35">
        <f>IFERROR(__xludf.DUMMYFUNCTION("IFERROR(PERCENTILE(INDEX(GOOGLEFINANCE(B11,""close"",TODAY()-365,TODAY()),0,2),0.05) * GOOGLEFINANCE(""CURRENCY:USDEUR""),""Error en datos"")"),40.020610080000004)</f>
        <v>40.02061008</v>
      </c>
      <c r="J11" s="35">
        <f>IFERROR(__xludf.DUMMYFUNCTION("AVERAGE(INDEX(GOOGLEFINANCE(B11,""price"",TODAY()-20,TODAY(),""DAILY""),0,2))+(2*STDEV(INDEX(GOOGLEFINANCE(B11,""price"",TODAY()-20,TODAY(),""DAILY""),0,2)))"),52.470974595211075)</f>
        <v>52.4709746</v>
      </c>
      <c r="K11" s="35">
        <f>IFERROR(__xludf.DUMMYFUNCTION("AVERAGE(INDEX(GOOGLEFINANCE(B11,""price"",TODAY()-20,TODAY(),""DAILY""),0,2))-(2*STDEV(INDEX(GOOGLEFINANCE(B11,""price"",TODAY()-20,TODAY(),""DAILY""),0,2)))"),46.13671771248124)</f>
        <v>46.13671771</v>
      </c>
      <c r="L11" s="45">
        <v>632.0</v>
      </c>
      <c r="M11" s="35">
        <f t="shared" si="1"/>
        <v>0.1091487107</v>
      </c>
      <c r="N11" s="45">
        <v>-66.67</v>
      </c>
      <c r="O11" s="35">
        <f t="shared" si="2"/>
        <v>0.1481333333</v>
      </c>
      <c r="P11" s="45">
        <v>-4.7</v>
      </c>
      <c r="Q11" s="35">
        <f t="shared" si="3"/>
        <v>0.05911901082</v>
      </c>
      <c r="R11" s="35" t="str">
        <f>IFERROR(__xludf.DUMMYFUNCTION("IF(B11="""", """", SPARKLINE(INDEX(GOOGLEFINANCE(B11, ""price"", TODAY()-1825, TODAY()), 0, 2)))"),"")</f>
        <v/>
      </c>
      <c r="S11" s="35">
        <f t="shared" si="4"/>
        <v>40.18958513</v>
      </c>
      <c r="T11" s="35">
        <f t="shared" si="5"/>
        <v>45.4979894</v>
      </c>
      <c r="U11" s="34" t="str">
        <f t="shared" si="6"/>
        <v/>
      </c>
      <c r="V11" s="37">
        <f t="shared" si="7"/>
        <v>0.1087102854</v>
      </c>
      <c r="W11" s="37">
        <f t="shared" si="8"/>
        <v>-0.007484698944</v>
      </c>
      <c r="X11" s="34">
        <f>IFERROR(__xludf.DUMMYFUNCTION("AJ11*GOOGLEFINANCE(""CURRENCY:USD/EUR"")"),44.5586064)</f>
        <v>44.5586064</v>
      </c>
      <c r="Y11" s="35">
        <f>IFERROR(__xludf.DUMMYFUNCTION("AI11*GOOGLEFINANCE(""CURRENCY:USD/EUR"")"),44.8946291836321)</f>
        <v>44.89462918</v>
      </c>
      <c r="Z11" s="38">
        <f t="shared" si="9"/>
        <v>0.02108196549</v>
      </c>
      <c r="AA11" s="38">
        <f t="shared" si="10"/>
        <v>0.04954114212</v>
      </c>
      <c r="AB11" s="38">
        <f t="shared" si="11"/>
        <v>0.01366324312</v>
      </c>
      <c r="AC11" s="41">
        <v>49.0</v>
      </c>
      <c r="AD11" s="40">
        <f t="shared" si="12"/>
        <v>0.3204772583</v>
      </c>
      <c r="AE11" s="41">
        <v>52.5</v>
      </c>
      <c r="AF11" s="41">
        <f t="shared" si="13"/>
        <v>0.3668332886</v>
      </c>
      <c r="AG11" s="41">
        <v>56.0</v>
      </c>
      <c r="AH11" s="41">
        <f t="shared" si="14"/>
        <v>0.3126894531</v>
      </c>
      <c r="AI11" s="41">
        <f t="shared" si="15"/>
        <v>52.47274268</v>
      </c>
      <c r="AJ11" s="34">
        <f>IFERROR(__xludf.DUMMYFUNCTION("GOOGLEFINANCE(B11,""price"")"),52.08)</f>
        <v>52.08</v>
      </c>
      <c r="AK11" s="37">
        <f>AR11+BN11</f>
        <v>0.0500695024</v>
      </c>
      <c r="AL11" s="34">
        <v>48.67</v>
      </c>
      <c r="AM11" s="34">
        <f t="shared" si="16"/>
        <v>42.85954812</v>
      </c>
      <c r="AN11" s="34">
        <f t="shared" si="17"/>
        <v>48.04011276</v>
      </c>
      <c r="AO11" s="38">
        <f>IFERROR(__xludf.DUMMYFUNCTION("(GOOGLEFINANCE(B11, ""price"") - INDEX(GOOGLEFINANCE(B11, ""price"", DATE(2025,5,9)), 2, 2)) / INDEX(GOOGLEFINANCE(B11, ""price"", DATE(2025,5,8)), 2, 2)"),0.07079094872327167)</f>
        <v>0.07079094872</v>
      </c>
      <c r="AP11" s="37">
        <f t="shared" si="18"/>
        <v>0.07813319667</v>
      </c>
      <c r="AQ11" s="37">
        <f t="shared" si="19"/>
        <v>0.07006369427</v>
      </c>
      <c r="AR11" s="37">
        <f t="shared" si="20"/>
        <v>0.008069502398</v>
      </c>
      <c r="AS11" s="34">
        <f>IFERROR(__xludf.DUMMYFUNCTION("IF(X11&lt;K11,1,IF(X11&gt;J11,-1,0)) + IF(X11&lt;F11,1,IF(X11&gt;G11,-1,0)) + IF(X11&lt;I11,1,IF(X11&gt;I11,-1,0)) + IF(X11&lt;H11,1,IF(X11&gt;H11,-1,0))"),-1.0)</f>
        <v>-1</v>
      </c>
      <c r="AT11" s="34" t="str">
        <f t="shared" si="21"/>
        <v>Hold</v>
      </c>
      <c r="AU11" s="35" t="str">
        <f t="shared" si="22"/>
        <v>hold</v>
      </c>
      <c r="AV11" s="35" t="str">
        <f t="shared" si="23"/>
        <v>venta</v>
      </c>
      <c r="AW11" s="38">
        <f t="shared" si="24"/>
        <v>0.007541142122</v>
      </c>
      <c r="AX11" s="38">
        <f t="shared" si="25"/>
        <v>-0.0528014746</v>
      </c>
      <c r="AY11" s="38">
        <f t="shared" si="26"/>
        <v>-0.04965079749</v>
      </c>
      <c r="AZ11" s="42">
        <f t="shared" si="27"/>
        <v>0.03147583689</v>
      </c>
      <c r="BA11" s="38">
        <f t="shared" si="28"/>
        <v>0.6873872971</v>
      </c>
      <c r="BB11" s="38">
        <f t="shared" si="29"/>
        <v>0.3126127029</v>
      </c>
      <c r="BC11" s="38">
        <f t="shared" si="30"/>
        <v>-0.03813086674</v>
      </c>
      <c r="BD11" s="38">
        <f t="shared" si="31"/>
        <v>0.5157166154</v>
      </c>
      <c r="BE11" s="38">
        <f t="shared" si="32"/>
        <v>0.4842833846</v>
      </c>
      <c r="BF11" s="38">
        <f t="shared" si="33"/>
        <v>0.04061044252</v>
      </c>
      <c r="BG11" s="37">
        <f t="shared" si="34"/>
        <v>0.06171188588</v>
      </c>
      <c r="BH11" s="43">
        <f t="shared" si="35"/>
        <v>0.006030544199</v>
      </c>
      <c r="BI11" s="44">
        <f t="shared" si="36"/>
        <v>0.3560386664</v>
      </c>
      <c r="BJ11" s="38">
        <f t="shared" si="37"/>
        <v>0.002479575773</v>
      </c>
      <c r="BK11" s="43">
        <f t="shared" si="38"/>
        <v>-0.09490410144</v>
      </c>
      <c r="BL11" s="45">
        <v>122.07</v>
      </c>
      <c r="BM11" s="46">
        <f t="shared" si="39"/>
        <v>0.03856822502</v>
      </c>
      <c r="BN11" s="38">
        <v>0.042</v>
      </c>
      <c r="BO11" s="45">
        <v>53.97</v>
      </c>
      <c r="BP11" s="47">
        <f t="shared" si="40"/>
        <v>0.0791711336</v>
      </c>
      <c r="BQ11" s="63">
        <v>2.24</v>
      </c>
      <c r="BR11" s="47">
        <f t="shared" si="41"/>
        <v>0.1355254388</v>
      </c>
      <c r="BS11" s="38">
        <v>0.393</v>
      </c>
      <c r="BT11" s="47">
        <f t="shared" si="42"/>
        <v>0.7422389464</v>
      </c>
      <c r="BU11" s="45">
        <v>0.4</v>
      </c>
      <c r="BV11" s="47">
        <f t="shared" si="43"/>
        <v>0.9801980198</v>
      </c>
      <c r="BW11" s="48">
        <f t="shared" si="44"/>
        <v>1.459545628</v>
      </c>
      <c r="BX11" s="49">
        <f t="shared" si="45"/>
        <v>0.7060467886</v>
      </c>
      <c r="BY11" s="47">
        <f t="shared" si="46"/>
        <v>0.4842833846</v>
      </c>
      <c r="BZ11" s="38">
        <v>-0.026</v>
      </c>
      <c r="CA11" s="50">
        <f t="shared" si="47"/>
        <v>0.03868312757</v>
      </c>
      <c r="CB11" s="38">
        <v>-0.024</v>
      </c>
      <c r="CC11" s="50">
        <f t="shared" si="48"/>
        <v>0.1729944887</v>
      </c>
      <c r="CD11" s="38">
        <v>0.539</v>
      </c>
      <c r="CE11" s="50">
        <f t="shared" si="49"/>
        <v>0.6991337183</v>
      </c>
      <c r="CF11" s="50">
        <f t="shared" si="50"/>
        <v>0.3036037782</v>
      </c>
      <c r="CG11" s="60">
        <v>0.038</v>
      </c>
      <c r="CH11" s="51">
        <f t="shared" si="51"/>
        <v>0.1619859579</v>
      </c>
      <c r="CI11" s="60">
        <v>0.033</v>
      </c>
      <c r="CJ11" s="51">
        <f t="shared" si="52"/>
        <v>0.07515923567</v>
      </c>
      <c r="CK11" s="60">
        <v>0.018</v>
      </c>
      <c r="CL11" s="51">
        <f t="shared" si="53"/>
        <v>0.2578512397</v>
      </c>
      <c r="CM11" s="60">
        <v>0.31</v>
      </c>
      <c r="CN11" s="51">
        <f t="shared" si="54"/>
        <v>0.2543728136</v>
      </c>
      <c r="CO11" s="38">
        <v>0.43</v>
      </c>
      <c r="CP11" s="51">
        <f t="shared" si="55"/>
        <v>0.8136942675</v>
      </c>
      <c r="CQ11" s="51">
        <f t="shared" si="56"/>
        <v>0.3126127029</v>
      </c>
      <c r="CR11" s="52">
        <f t="shared" si="57"/>
        <v>0.3668332886</v>
      </c>
      <c r="CS11" s="53">
        <f t="shared" si="58"/>
        <v>0.1063874414</v>
      </c>
      <c r="CT11" s="54">
        <f t="shared" si="59"/>
        <v>0.2757958847</v>
      </c>
      <c r="CU11" s="55">
        <f t="shared" si="60"/>
        <v>0.01497092559</v>
      </c>
      <c r="CV11" s="34">
        <f t="shared" si="61"/>
        <v>0.5551729511</v>
      </c>
      <c r="CW11" s="34">
        <f t="shared" si="62"/>
        <v>0.3222098821</v>
      </c>
      <c r="CX11" s="35">
        <f t="shared" si="63"/>
        <v>0.1036261721</v>
      </c>
      <c r="CY11" s="38">
        <f>IFERROR(__xludf.DUMMYFUNCTION("(GOOGLEFINANCE(B11,""price"")/INDEX(GOOGLEFINANCE(B11,""price"",TODAY()-30),2,2))-1"),0.06503067484662584)</f>
        <v>0.06503067485</v>
      </c>
      <c r="CZ11" s="38">
        <f>IFERROR(__xludf.DUMMYFUNCTION("(GOOGLEFINANCE($B11,""price"")/INDEX(GOOGLEFINANCE($B11,""price"",TODAY()-180),2,2))-1"),0.045573178076691256)</f>
        <v>0.04557317808</v>
      </c>
      <c r="DA11" s="38">
        <f>IFERROR(__xludf.DUMMYFUNCTION("(GOOGLEFINANCE($B11,""price"")/INDEX(GOOGLEFINANCE($B11,""price"",TODAY()-365),2,2))-1"),-0.10684273709483805)</f>
        <v>-0.1068427371</v>
      </c>
      <c r="DB11" s="38">
        <f>IFERROR(__xludf.DUMMYFUNCTION("(GOOGLEFINANCE($B11,""price"")/INDEX(GOOGLEFINANCE($B11,""price"",TODAY()-365*5),2,2))-1"),0.10012674271229383)</f>
        <v>0.1001267427</v>
      </c>
      <c r="DC11" s="38">
        <f>IFERROR(__xludf.DUMMYFUNCTION("(INDEX(GOOGLEFINANCE(B11, ""price"", TODAY()-30, TODAY()), ROWS(GOOGLEFINANCE(B11, ""price"", TODAY()-30, TODAY())), 2) / INDEX(GOOGLEFINANCE(B11, ""price"", TODAY()-30, TODAY()), 2, 2)) - 1"),0.06503067484662584)</f>
        <v>0.06503067485</v>
      </c>
      <c r="DD11" s="38">
        <f>IFERROR(__xludf.DUMMYFUNCTION("(INDEX(GOOGLEFINANCE(B11, ""price"", TODAY()-7, TODAY()), ROWS(GOOGLEFINANCE(B11, ""price"", TODAY()-7, TODAY())), 2) / INDEX(GOOGLEFINANCE(B11, ""price"", TODAY()-7, TODAY()), 2, 2)) - 1"),0.05446446649119241)</f>
        <v>0.05446446649</v>
      </c>
    </row>
    <row r="12">
      <c r="A12" s="34" t="str">
        <f>IFERROR(__xludf.DUMMYFUNCTION("GOOGLEFINANCE(B12,""name"")"),"BlackRock Inc")</f>
        <v>BlackRock Inc</v>
      </c>
      <c r="B12" s="35" t="s">
        <v>110</v>
      </c>
      <c r="C12" s="35" t="s">
        <v>111</v>
      </c>
      <c r="D12" s="35" t="s">
        <v>91</v>
      </c>
      <c r="E12" s="57">
        <v>3.0</v>
      </c>
      <c r="F12" s="35">
        <f>IFERROR(__xludf.DUMMYFUNCTION("IFERROR(MIN(INDEX(GOOGLEFINANCE(B12,""close"",TODAY()-100,TODAY()),0,2)) * GOOGLEFINANCE(""CURRENCY:USDEUR""),""Error en datos"")"),697.9137176)</f>
        <v>697.9137176</v>
      </c>
      <c r="G12" s="35">
        <f>IFERROR(__xludf.DUMMYFUNCTION("IFERROR(MAX(INDEX(GOOGLEFINANCE(B12,""close"",TODAY()-100,TODAY()),0,2)) * GOOGLEFINANCE(""CURRENCY:USDEUR""),""Error en datos"")"),944.6030989999999)</f>
        <v>944.603099</v>
      </c>
      <c r="H12" s="35">
        <f>IFERROR(__xludf.DUMMYFUNCTION("IFERROR(AVERAGE(INDEX(GOOGLEFINANCE(B12,""close"",TODAY()-20,TODAY()),0,2)) * GOOGLEFINANCE(""CURRENCY:USDEUR""),""Error en datos"")"),908.4502370307692)</f>
        <v>908.450237</v>
      </c>
      <c r="I12" s="35">
        <f>IFERROR(__xludf.DUMMYFUNCTION("IFERROR(PERCENTILE(INDEX(GOOGLEFINANCE(B12,""close"",TODAY()-365,TODAY()),0,2),0.05) * GOOGLEFINANCE(""CURRENCY:USDEUR""),""Error en datos"")"),720.26360615)</f>
        <v>720.2636062</v>
      </c>
      <c r="J12" s="35">
        <f>IFERROR(__xludf.DUMMYFUNCTION("AVERAGE(INDEX(GOOGLEFINANCE(B12,""price"",TODAY()-20,TODAY(),""DAILY""),0,2))+(2*STDEV(INDEX(GOOGLEFINANCE(B12,""price"",TODAY()-20,TODAY(),""DAILY""),0,2)))"),1123.6480284488296)</f>
        <v>1123.648028</v>
      </c>
      <c r="K12" s="35">
        <f>IFERROR(__xludf.DUMMYFUNCTION("AVERAGE(INDEX(GOOGLEFINANCE(B12,""price"",TODAY()-20,TODAY(),""DAILY""),0,2))-(2*STDEV(INDEX(GOOGLEFINANCE(B12,""price"",TODAY()-20,TODAY(),""DAILY""),0,2)))"),999.941202320401)</f>
        <v>999.9412023</v>
      </c>
      <c r="L12" s="35">
        <v>2013.0</v>
      </c>
      <c r="M12" s="35">
        <f t="shared" si="1"/>
        <v>0.3530554574</v>
      </c>
      <c r="N12" s="35">
        <v>28.6</v>
      </c>
      <c r="O12" s="35">
        <f t="shared" si="2"/>
        <v>0.5715555556</v>
      </c>
      <c r="P12" s="35">
        <v>5.15</v>
      </c>
      <c r="Q12" s="35">
        <f t="shared" si="3"/>
        <v>0.2494204019</v>
      </c>
      <c r="R12" s="35" t="str">
        <f>IFERROR(__xludf.DUMMYFUNCTION("IF(B12="""", """", SPARKLINE(INDEX(GOOGLEFINANCE(B12, ""price"", TODAY()-1825, TODAY()), 0, 2)))"),"")</f>
        <v/>
      </c>
      <c r="S12" s="35">
        <f t="shared" si="4"/>
        <v>806.0395087</v>
      </c>
      <c r="T12" s="35">
        <f t="shared" si="5"/>
        <v>937.1706632</v>
      </c>
      <c r="U12" s="34" t="str">
        <f t="shared" si="6"/>
        <v/>
      </c>
      <c r="V12" s="37">
        <f t="shared" si="7"/>
        <v>0.1693485754</v>
      </c>
      <c r="W12" s="37">
        <f t="shared" si="8"/>
        <v>0.0269797519</v>
      </c>
      <c r="X12" s="34">
        <f>IFERROR(__xludf.DUMMYFUNCTION("AJ12*GOOGLEFINANCE(""CURRENCY:USD/EUR"")"),942.5411512000001)</f>
        <v>942.5411512</v>
      </c>
      <c r="Y12" s="35">
        <f>IFERROR(__xludf.DUMMYFUNCTION("AI12*GOOGLEFINANCE(""CURRENCY:USD/EUR"")"),917.7796830550212)</f>
        <v>917.7796831</v>
      </c>
      <c r="Z12" s="38">
        <f t="shared" si="9"/>
        <v>-0.00569788176</v>
      </c>
      <c r="AA12" s="38">
        <f t="shared" si="10"/>
        <v>-0.003270967706</v>
      </c>
      <c r="AB12" s="38">
        <f t="shared" si="11"/>
        <v>-0.001117222734</v>
      </c>
      <c r="AC12" s="41">
        <v>959.0</v>
      </c>
      <c r="AD12" s="40">
        <f t="shared" si="12"/>
        <v>0.3183739395</v>
      </c>
      <c r="AE12" s="41">
        <v>1089.0</v>
      </c>
      <c r="AF12" s="41">
        <f t="shared" si="13"/>
        <v>0.4556128779</v>
      </c>
      <c r="AG12" s="41">
        <v>1200.0</v>
      </c>
      <c r="AH12" s="41">
        <f t="shared" si="14"/>
        <v>0.2260131826</v>
      </c>
      <c r="AI12" s="41">
        <f t="shared" si="15"/>
        <v>1072.698851</v>
      </c>
      <c r="AJ12" s="34">
        <f>IFERROR(__xludf.DUMMYFUNCTION("GOOGLEFINANCE(B12,""price"")"),1101.64)</f>
        <v>1101.64</v>
      </c>
      <c r="AK12" s="37">
        <f>AP12+BN12</f>
        <v>0.1885209387</v>
      </c>
      <c r="AL12" s="34">
        <v>920.36</v>
      </c>
      <c r="AM12" s="34">
        <f t="shared" si="16"/>
        <v>855.3961282</v>
      </c>
      <c r="AN12" s="34">
        <f t="shared" si="17"/>
        <v>1098.551447</v>
      </c>
      <c r="AO12" s="38">
        <f>IFERROR(__xludf.DUMMYFUNCTION("(GOOGLEFINANCE(B12, ""price"") - INDEX(GOOGLEFINANCE(B12, ""price"", DATE(2025,5,8)), 2, 2)) / INDEX(GOOGLEFINANCE(B12, ""price"", DATE(2025,5,8)), 2, 2)"),0.18629393521709178)</f>
        <v>0.1862939352</v>
      </c>
      <c r="AP12" s="37">
        <f t="shared" si="18"/>
        <v>0.1655209387</v>
      </c>
      <c r="AQ12" s="37">
        <f t="shared" si="19"/>
        <v>0.1969664045</v>
      </c>
      <c r="AR12" s="37">
        <f t="shared" si="20"/>
        <v>-0.03144546576</v>
      </c>
      <c r="AS12" s="34">
        <f>IFERROR(__xludf.DUMMYFUNCTION("IF(X12&lt;K12,1,IF(X12&gt;J12,-1,0)) + IF(X12&lt;F12,1,IF(X12&gt;G12,-1,0)) + IF(X12&lt;I12,1,IF(X12&gt;I12,-1,0)) + IF(X12&lt;H12,1,IF(X12&gt;H12,-1,0))"),-1.0)</f>
        <v>-1</v>
      </c>
      <c r="AT12" s="34" t="str">
        <f t="shared" si="21"/>
        <v>venta</v>
      </c>
      <c r="AU12" s="35" t="str">
        <f t="shared" si="22"/>
        <v>venta</v>
      </c>
      <c r="AV12" s="35" t="str">
        <f t="shared" si="23"/>
        <v>hold</v>
      </c>
      <c r="AW12" s="38">
        <f t="shared" si="24"/>
        <v>-0.02627096771</v>
      </c>
      <c r="AX12" s="38">
        <f t="shared" si="25"/>
        <v>0.1606009161</v>
      </c>
      <c r="AY12" s="38">
        <f t="shared" si="26"/>
        <v>0.1561801572</v>
      </c>
      <c r="AZ12" s="42">
        <f t="shared" si="27"/>
        <v>0.06796568961</v>
      </c>
      <c r="BA12" s="38">
        <f t="shared" si="28"/>
        <v>0.6862685306</v>
      </c>
      <c r="BB12" s="38">
        <f t="shared" si="29"/>
        <v>0.3137314694</v>
      </c>
      <c r="BC12" s="38">
        <f t="shared" si="30"/>
        <v>-0.09245752603</v>
      </c>
      <c r="BD12" s="38">
        <f t="shared" si="31"/>
        <v>0.3144779241</v>
      </c>
      <c r="BE12" s="38">
        <f t="shared" si="32"/>
        <v>0.6855220759</v>
      </c>
      <c r="BF12" s="38">
        <f t="shared" si="33"/>
        <v>0.05759862607</v>
      </c>
      <c r="BG12" s="37">
        <f t="shared" si="34"/>
        <v>0.1533608292</v>
      </c>
      <c r="BH12" s="43">
        <f t="shared" si="35"/>
        <v>0.1547704932</v>
      </c>
      <c r="BI12" s="44">
        <f t="shared" si="36"/>
        <v>0.3871294362</v>
      </c>
      <c r="BJ12" s="38">
        <f t="shared" si="37"/>
        <v>-0.03485889996</v>
      </c>
      <c r="BK12" s="43">
        <f t="shared" si="38"/>
        <v>0.4346946949</v>
      </c>
      <c r="BL12" s="47">
        <v>142.02</v>
      </c>
      <c r="BM12" s="46">
        <f t="shared" si="39"/>
        <v>0.04487818147</v>
      </c>
      <c r="BN12" s="38">
        <v>0.023</v>
      </c>
      <c r="BO12" s="47">
        <v>20.96</v>
      </c>
      <c r="BP12" s="47">
        <f t="shared" si="40"/>
        <v>0.03069331649</v>
      </c>
      <c r="BQ12" s="47">
        <v>41.15</v>
      </c>
      <c r="BR12" s="47">
        <f t="shared" si="41"/>
        <v>1</v>
      </c>
      <c r="BS12" s="47">
        <v>0.376</v>
      </c>
      <c r="BT12" s="47">
        <f t="shared" si="42"/>
        <v>0.7262464722</v>
      </c>
      <c r="BU12" s="47">
        <v>0.3</v>
      </c>
      <c r="BV12" s="47">
        <f t="shared" si="43"/>
        <v>0.9851485149</v>
      </c>
      <c r="BW12" s="48">
        <f t="shared" si="44"/>
        <v>1.021629411</v>
      </c>
      <c r="BX12" s="49">
        <f t="shared" si="45"/>
        <v>0.6194883792</v>
      </c>
      <c r="BY12" s="47">
        <f t="shared" si="46"/>
        <v>0.6855220759</v>
      </c>
      <c r="BZ12" s="50">
        <v>0.142</v>
      </c>
      <c r="CA12" s="50">
        <f t="shared" si="47"/>
        <v>0.1769547325</v>
      </c>
      <c r="CB12" s="50">
        <v>0.196</v>
      </c>
      <c r="CC12" s="50">
        <f t="shared" si="48"/>
        <v>0.2403551745</v>
      </c>
      <c r="CD12" s="50">
        <v>0.046</v>
      </c>
      <c r="CE12" s="50">
        <f t="shared" si="49"/>
        <v>0.6854453576</v>
      </c>
      <c r="CF12" s="50">
        <f t="shared" si="50"/>
        <v>0.3675850882</v>
      </c>
      <c r="CG12" s="51">
        <v>0.088</v>
      </c>
      <c r="CH12" s="51">
        <f t="shared" si="51"/>
        <v>0.1870611836</v>
      </c>
      <c r="CI12" s="51">
        <v>0.071</v>
      </c>
      <c r="CJ12" s="51">
        <f t="shared" si="52"/>
        <v>0.123566879</v>
      </c>
      <c r="CK12" s="51">
        <v>0.095</v>
      </c>
      <c r="CL12" s="51">
        <f t="shared" si="53"/>
        <v>0.3214876033</v>
      </c>
      <c r="CM12" s="51">
        <v>0.144</v>
      </c>
      <c r="CN12" s="51">
        <f t="shared" si="54"/>
        <v>0.1714142929</v>
      </c>
      <c r="CO12" s="51">
        <v>0.369</v>
      </c>
      <c r="CP12" s="51">
        <f t="shared" si="55"/>
        <v>0.7651273885</v>
      </c>
      <c r="CQ12" s="51">
        <f t="shared" si="56"/>
        <v>0.3137314694</v>
      </c>
      <c r="CR12" s="52">
        <f t="shared" si="57"/>
        <v>0.4556128779</v>
      </c>
      <c r="CS12" s="53">
        <f t="shared" si="58"/>
        <v>0.3817717181</v>
      </c>
      <c r="CT12" s="54">
        <f t="shared" si="59"/>
        <v>0.3415572498</v>
      </c>
      <c r="CU12" s="55">
        <f t="shared" si="60"/>
        <v>0.0692668351</v>
      </c>
      <c r="CV12" s="34">
        <f t="shared" si="61"/>
        <v>0.6619252666</v>
      </c>
      <c r="CW12" s="34">
        <f t="shared" si="62"/>
        <v>0.3932877556</v>
      </c>
      <c r="CX12" s="35">
        <f t="shared" si="63"/>
        <v>0.4104879787</v>
      </c>
      <c r="CY12" s="38">
        <f>IFERROR(__xludf.DUMMYFUNCTION("(GOOGLEFINANCE(B12,""price"")/INDEX(GOOGLEFINANCE(B12,""price"",TODAY()-30),2,2))-1"),0.12171876590978514)</f>
        <v>0.1217187659</v>
      </c>
      <c r="CZ12" s="38">
        <f>IFERROR(__xludf.DUMMYFUNCTION("(GOOGLEFINANCE($B12,""price"")/INDEX(GOOGLEFINANCE($B12,""price"",TODAY()-180),2,2))-1"),0.08730926390177474)</f>
        <v>0.0873092639</v>
      </c>
      <c r="DA12" s="38">
        <f>IFERROR(__xludf.DUMMYFUNCTION("(GOOGLEFINANCE($B12,""price"")/INDEX(GOOGLEFINANCE($B12,""price"",TODAY()-365),2,2))-1"),0.33863128220083616)</f>
        <v>0.3386312822</v>
      </c>
      <c r="DB12" s="38">
        <f>IFERROR(__xludf.DUMMYFUNCTION("(GOOGLEFINANCE($B12,""price"")/INDEX(GOOGLEFINANCE($B12,""price"",TODAY()-365*5),2,2))-1"),0.9374945039483635)</f>
        <v>0.9374945039</v>
      </c>
      <c r="DC12" s="38">
        <f>IFERROR(__xludf.DUMMYFUNCTION("(INDEX(GOOGLEFINANCE(B12, ""price"", TODAY()-30, TODAY()), ROWS(GOOGLEFINANCE(B12, ""price"", TODAY()-30, TODAY())), 2) / INDEX(GOOGLEFINANCE(B12, ""price"", TODAY()-30, TODAY()), 2, 2)) - 1"),0.12171876590978514)</f>
        <v>0.1217187659</v>
      </c>
      <c r="DD12" s="38">
        <f>IFERROR(__xludf.DUMMYFUNCTION("(INDEX(GOOGLEFINANCE(B12, ""price"", TODAY()-7, TODAY()), ROWS(GOOGLEFINANCE(B12, ""price"", TODAY()-7, TODAY())), 2) / INDEX(GOOGLEFINANCE(B12, ""price"", TODAY()-7, TODAY()), 2, 2)) - 1"),0.023857542496538153)</f>
        <v>0.0238575425</v>
      </c>
    </row>
    <row r="13">
      <c r="A13" s="34" t="str">
        <f>IFERROR(__xludf.DUMMYFUNCTION("GOOGLEFINANCE(B13,""name"")"),"Badger Meter Inc")</f>
        <v>Badger Meter Inc</v>
      </c>
      <c r="B13" s="35" t="s">
        <v>112</v>
      </c>
      <c r="C13" s="35" t="s">
        <v>96</v>
      </c>
      <c r="D13" s="35" t="s">
        <v>105</v>
      </c>
      <c r="E13" s="62">
        <v>5.0</v>
      </c>
      <c r="F13" s="35">
        <f>IFERROR(__xludf.DUMMYFUNCTION("IFERROR(MIN(INDEX(GOOGLEFINANCE(B13,""close"",TODAY()-100,TODAY()),0,2)) * GOOGLEFINANCE(""CURRENCY:USDEUR""),""Error en datos"")"),146.0646176)</f>
        <v>146.0646176</v>
      </c>
      <c r="G13" s="35">
        <f>IFERROR(__xludf.DUMMYFUNCTION("IFERROR(MAX(INDEX(GOOGLEFINANCE(B13,""close"",TODAY()-100,TODAY()),0,2)) * GOOGLEFINANCE(""CURRENCY:USDEUR""),""Error en datos"")"),217.4627686)</f>
        <v>217.4627686</v>
      </c>
      <c r="H13" s="35">
        <f>IFERROR(__xludf.DUMMYFUNCTION("IFERROR(AVERAGE(INDEX(GOOGLEFINANCE(B13,""close"",TODAY()-20,TODAY()),0,2)) * GOOGLEFINANCE(""CURRENCY:USDEUR""),""Error en datos"")"),207.1201226769231)</f>
        <v>207.1201227</v>
      </c>
      <c r="I13" s="35">
        <f>IFERROR(__xludf.DUMMYFUNCTION("IFERROR(PERCENTILE(INDEX(GOOGLEFINANCE(B13,""close"",TODAY()-365,TODAY()),0,2),0.05) * GOOGLEFINANCE(""CURRENCY:USDEUR""),""Error en datos"")"),162.01605112000001)</f>
        <v>162.0160511</v>
      </c>
      <c r="J13" s="35">
        <f>IFERROR(__xludf.DUMMYFUNCTION("AVERAGE(INDEX(GOOGLEFINANCE(B13,""price"",TODAY()-20,TODAY(),""DAILY""),0,2))+(2*STDEV(INDEX(GOOGLEFINANCE(B13,""price"",TODAY()-20,TODAY(),""DAILY""),0,2)))"),248.4959848972742)</f>
        <v>248.4959849</v>
      </c>
      <c r="K13" s="35">
        <f>IFERROR(__xludf.DUMMYFUNCTION("AVERAGE(INDEX(GOOGLEFINANCE(B13,""price"",TODAY()-20,TODAY(),""DAILY""),0,2))-(2*STDEV(INDEX(GOOGLEFINANCE(B13,""price"",TODAY()-20,TODAY(),""DAILY""),0,2)))"),235.66709202580276)</f>
        <v>235.667092</v>
      </c>
      <c r="L13" s="35">
        <v>480.0</v>
      </c>
      <c r="M13" s="35">
        <f t="shared" si="1"/>
        <v>0.08230307312</v>
      </c>
      <c r="N13" s="35">
        <v>0.0</v>
      </c>
      <c r="O13" s="35">
        <f t="shared" si="2"/>
        <v>0.4444444444</v>
      </c>
      <c r="P13" s="35">
        <v>4.0</v>
      </c>
      <c r="Q13" s="35">
        <f t="shared" si="3"/>
        <v>0.227202473</v>
      </c>
      <c r="R13" s="35" t="str">
        <f>IFERROR(__xludf.DUMMYFUNCTION("IF(B13="""", """", SPARKLINE(INDEX(GOOGLEFINANCE(B13, ""price"", TODAY()-1825, TODAY()), 0, 2)))"),"")</f>
        <v/>
      </c>
      <c r="S13" s="35">
        <f t="shared" si="4"/>
        <v>181.2492536</v>
      </c>
      <c r="T13" s="35">
        <f t="shared" si="5"/>
        <v>214.2979975</v>
      </c>
      <c r="U13" s="34" t="str">
        <f t="shared" si="6"/>
        <v/>
      </c>
      <c r="V13" s="37">
        <f t="shared" si="7"/>
        <v>0.1282373403</v>
      </c>
      <c r="W13" s="37">
        <f t="shared" si="8"/>
        <v>-0.02882549472</v>
      </c>
      <c r="X13" s="34">
        <f>IFERROR(__xludf.DUMMYFUNCTION("AJ13*GOOGLEFINANCE(""CURRENCY:USD/EUR"")"),204.49217579999998)</f>
        <v>204.4921758</v>
      </c>
      <c r="Y13" s="35">
        <f>IFERROR(__xludf.DUMMYFUNCTION("AI13*GOOGLEFINANCE(""CURRENCY:USD/EUR"")"),210.56172159332752)</f>
        <v>210.5617216</v>
      </c>
      <c r="Z13" s="38">
        <f t="shared" si="9"/>
        <v>0.04795206278</v>
      </c>
      <c r="AA13" s="38">
        <f t="shared" si="10"/>
        <v>0.03568106613</v>
      </c>
      <c r="AB13" s="38">
        <f t="shared" si="11"/>
        <v>0.009526009464</v>
      </c>
      <c r="AC13" s="39">
        <v>216.0</v>
      </c>
      <c r="AD13" s="40">
        <f t="shared" si="12"/>
        <v>0.3326459329</v>
      </c>
      <c r="AE13" s="39">
        <v>243.75</v>
      </c>
      <c r="AF13" s="41">
        <f t="shared" si="13"/>
        <v>0.3795280732</v>
      </c>
      <c r="AG13" s="39">
        <v>284.0</v>
      </c>
      <c r="AH13" s="41">
        <f t="shared" si="14"/>
        <v>0.2878259939</v>
      </c>
      <c r="AI13" s="41">
        <f t="shared" si="15"/>
        <v>246.1040716</v>
      </c>
      <c r="AJ13" s="34">
        <f>IFERROR(__xludf.DUMMYFUNCTION("GOOGLEFINANCE(B13,""price"")"),239.01)</f>
        <v>239.01</v>
      </c>
      <c r="AK13" s="37">
        <f>AR13+BN13</f>
        <v>0.03740776383</v>
      </c>
      <c r="AL13" s="34">
        <v>225.87</v>
      </c>
      <c r="AM13" s="34">
        <f t="shared" si="16"/>
        <v>192.7041319</v>
      </c>
      <c r="AN13" s="34">
        <f t="shared" si="17"/>
        <v>222.8111616</v>
      </c>
      <c r="AO13" s="38">
        <f>IFERROR(__xludf.DUMMYFUNCTION("(GOOGLEFINANCE(B13, ""price"") - INDEX(GOOGLEFINANCE(B13, ""price"", DATE(2025,5,8)), 2, 2)) / INDEX(GOOGLEFINANCE(B13, ""price"", DATE(2025,5,8)), 2, 2)"),0.04252813399633604)</f>
        <v>0.042528134</v>
      </c>
      <c r="AP13" s="37">
        <f t="shared" si="18"/>
        <v>0.08958282028</v>
      </c>
      <c r="AQ13" s="37">
        <f t="shared" si="19"/>
        <v>0.05817505645</v>
      </c>
      <c r="AR13" s="37">
        <f t="shared" si="20"/>
        <v>0.03140776383</v>
      </c>
      <c r="AS13" s="34">
        <f>IFERROR(__xludf.DUMMYFUNCTION("IF(X13&lt;K13,1,IF(X13&gt;J13,-1,0)) + IF(X13&lt;F13,1,IF(X13&gt;G13,-1,0)) + IF(X13&lt;I13,1,IF(X13&gt;I13,-1,0)) + IF(X13&lt;H13,1,IF(X13&gt;H13,-1,0))"),1.0)</f>
        <v>1</v>
      </c>
      <c r="AT13" s="34" t="str">
        <f t="shared" si="21"/>
        <v>Hold</v>
      </c>
      <c r="AU13" s="35" t="str">
        <f t="shared" si="22"/>
        <v>hold</v>
      </c>
      <c r="AV13" s="35" t="str">
        <f t="shared" si="23"/>
        <v>hold</v>
      </c>
      <c r="AW13" s="38">
        <f t="shared" si="24"/>
        <v>0.02968106613</v>
      </c>
      <c r="AX13" s="38">
        <f t="shared" si="25"/>
        <v>0.1175262963</v>
      </c>
      <c r="AY13" s="38">
        <f t="shared" si="26"/>
        <v>0.1239383924</v>
      </c>
      <c r="AZ13" s="42">
        <f t="shared" si="27"/>
        <v>0.03830295728</v>
      </c>
      <c r="BA13" s="38">
        <f t="shared" si="28"/>
        <v>0.66730953</v>
      </c>
      <c r="BB13" s="38">
        <f t="shared" si="29"/>
        <v>0.33269047</v>
      </c>
      <c r="BC13" s="38">
        <f t="shared" si="30"/>
        <v>-0.0576454519</v>
      </c>
      <c r="BD13" s="38">
        <f t="shared" si="31"/>
        <v>0.5752605624</v>
      </c>
      <c r="BE13" s="38">
        <f t="shared" si="32"/>
        <v>0.4247394376</v>
      </c>
      <c r="BF13" s="38">
        <f t="shared" si="33"/>
        <v>0.09135919987</v>
      </c>
      <c r="BG13" s="37">
        <f t="shared" si="34"/>
        <v>0.05974904057</v>
      </c>
      <c r="BH13" s="43">
        <f t="shared" si="35"/>
        <v>0.09184371648</v>
      </c>
      <c r="BI13" s="44">
        <f t="shared" si="36"/>
        <v>0.3541092254</v>
      </c>
      <c r="BJ13" s="38">
        <f t="shared" si="37"/>
        <v>0.03371374798</v>
      </c>
      <c r="BK13" s="43">
        <f t="shared" si="38"/>
        <v>0.1979580306</v>
      </c>
      <c r="BL13" s="45">
        <v>6.65</v>
      </c>
      <c r="BM13" s="46">
        <f t="shared" si="39"/>
        <v>0.002062201305</v>
      </c>
      <c r="BN13" s="38">
        <v>0.006</v>
      </c>
      <c r="BO13" s="45">
        <v>0.85</v>
      </c>
      <c r="BP13" s="47">
        <f t="shared" si="40"/>
        <v>0.001160177992</v>
      </c>
      <c r="BQ13" s="45">
        <v>4.54</v>
      </c>
      <c r="BR13" s="47">
        <f t="shared" si="41"/>
        <v>0.1866251944</v>
      </c>
      <c r="BS13" s="38">
        <v>0.2</v>
      </c>
      <c r="BT13" s="47">
        <f t="shared" si="42"/>
        <v>0.5606773283</v>
      </c>
      <c r="BU13" s="45">
        <v>1.0</v>
      </c>
      <c r="BV13" s="47">
        <f t="shared" si="43"/>
        <v>0.9504950495</v>
      </c>
      <c r="BW13" s="48">
        <f t="shared" si="44"/>
        <v>1.133770453</v>
      </c>
      <c r="BX13" s="49">
        <f t="shared" si="45"/>
        <v>0.6163747343</v>
      </c>
      <c r="BY13" s="47">
        <f t="shared" si="46"/>
        <v>0.4247394376</v>
      </c>
      <c r="BZ13" s="38">
        <v>0.151</v>
      </c>
      <c r="CA13" s="50">
        <f t="shared" si="47"/>
        <v>0.1843621399</v>
      </c>
      <c r="CB13" s="38">
        <v>0.281</v>
      </c>
      <c r="CC13" s="50">
        <f t="shared" si="48"/>
        <v>0.2663808941</v>
      </c>
      <c r="CD13" s="38">
        <v>0.308</v>
      </c>
      <c r="CE13" s="50">
        <f t="shared" si="49"/>
        <v>0.6927199023</v>
      </c>
      <c r="CF13" s="50">
        <f t="shared" si="50"/>
        <v>0.3811543121</v>
      </c>
      <c r="CG13" s="38">
        <v>0.224</v>
      </c>
      <c r="CH13" s="51">
        <f t="shared" si="51"/>
        <v>0.2552657974</v>
      </c>
      <c r="CI13" s="38">
        <v>0.148</v>
      </c>
      <c r="CJ13" s="51">
        <f t="shared" si="52"/>
        <v>0.221656051</v>
      </c>
      <c r="CK13" s="38">
        <v>0.183</v>
      </c>
      <c r="CL13" s="51">
        <f t="shared" si="53"/>
        <v>0.394214876</v>
      </c>
      <c r="CM13" s="38">
        <v>0.182</v>
      </c>
      <c r="CN13" s="51">
        <f t="shared" si="54"/>
        <v>0.1904047976</v>
      </c>
      <c r="CO13" s="38">
        <v>0.164</v>
      </c>
      <c r="CP13" s="51">
        <f t="shared" si="55"/>
        <v>0.601910828</v>
      </c>
      <c r="CQ13" s="51">
        <f t="shared" si="56"/>
        <v>0.33269047</v>
      </c>
      <c r="CR13" s="52">
        <f t="shared" si="57"/>
        <v>0.3795280732</v>
      </c>
      <c r="CS13" s="53">
        <f t="shared" si="58"/>
        <v>0.2090632659</v>
      </c>
      <c r="CT13" s="54">
        <f t="shared" si="59"/>
        <v>0.2669765928</v>
      </c>
      <c r="CU13" s="55">
        <f t="shared" si="60"/>
        <v>0.01687614357</v>
      </c>
      <c r="CV13" s="34">
        <f t="shared" si="61"/>
        <v>1.782158551</v>
      </c>
      <c r="CW13" s="34">
        <f t="shared" si="62"/>
        <v>0.6353036743</v>
      </c>
      <c r="CX13" s="35">
        <f t="shared" si="63"/>
        <v>0.3358234587</v>
      </c>
      <c r="CY13" s="38">
        <f>IFERROR(__xludf.DUMMYFUNCTION("(GOOGLEFINANCE(B13,""price"")/INDEX(GOOGLEFINANCE(B13,""price"",TODAY()-30),2,2))-1"),-0.018237831176832975)</f>
        <v>-0.01823783118</v>
      </c>
      <c r="CZ13" s="38">
        <f>IFERROR(__xludf.DUMMYFUNCTION("(GOOGLEFINANCE($B13,""price"")/INDEX(GOOGLEFINANCE($B13,""price"",TODAY()-180),2,2))-1"),0.11786165286936989)</f>
        <v>0.1178616529</v>
      </c>
      <c r="DA13" s="38">
        <f>IFERROR(__xludf.DUMMYFUNCTION("(GOOGLEFINANCE($B13,""price"")/INDEX(GOOGLEFINANCE($B13,""price"",TODAY()-365),2,2))-1"),0.21819571865443432)</f>
        <v>0.2181957187</v>
      </c>
      <c r="DB13" s="38">
        <f>IFERROR(__xludf.DUMMYFUNCTION("(GOOGLEFINANCE($B13,""price"")/INDEX(GOOGLEFINANCE($B13,""price"",TODAY()-365*5),2,2))-1"),2.679907621247113)</f>
        <v>2.679907621</v>
      </c>
      <c r="DC13" s="38">
        <f>IFERROR(__xludf.DUMMYFUNCTION("(INDEX(GOOGLEFINANCE(B13, ""price"", TODAY()-30, TODAY()), ROWS(GOOGLEFINANCE(B13, ""price"", TODAY()-30, TODAY())), 2) / INDEX(GOOGLEFINANCE(B13, ""price"", TODAY()-30, TODAY()), 2, 2)) - 1"),-0.018237831176832975)</f>
        <v>-0.01823783118</v>
      </c>
      <c r="DD13" s="38">
        <f>IFERROR(__xludf.DUMMYFUNCTION("(INDEX(GOOGLEFINANCE(B13, ""price"", TODAY()-7, TODAY()), ROWS(GOOGLEFINANCE(B13, ""price"", TODAY()-7, TODAY())), 2) / INDEX(GOOGLEFINANCE(B13, ""price"", TODAY()-7, TODAY()), 2, 2)) - 1"),-0.0020875955074944885)</f>
        <v>-0.002087595507</v>
      </c>
    </row>
    <row r="14">
      <c r="A14" s="34" t="str">
        <f>IFERROR(__xludf.DUMMYFUNCTION("GOOGLEFINANCE(B14,""name"")"),"Boyd Gaming Corp")</f>
        <v>Boyd Gaming Corp</v>
      </c>
      <c r="B14" s="35" t="s">
        <v>113</v>
      </c>
      <c r="C14" s="35" t="s">
        <v>114</v>
      </c>
      <c r="D14" s="35" t="s">
        <v>105</v>
      </c>
      <c r="E14" s="57">
        <v>3.0</v>
      </c>
      <c r="F14" s="35">
        <f>IFERROR(__xludf.DUMMYFUNCTION("IFERROR(MIN(INDEX(GOOGLEFINANCE(B14,""close"",TODAY()-100,TODAY()),0,2)) * GOOGLEFINANCE(""CURRENCY:USDEUR""),""Error en datos"")"),52.019264)</f>
        <v>52.019264</v>
      </c>
      <c r="G14" s="35">
        <f>IFERROR(__xludf.DUMMYFUNCTION("IFERROR(MAX(INDEX(GOOGLEFINANCE(B14,""close"",TODAY()-100,TODAY()),0,2)) * GOOGLEFINANCE(""CURRENCY:USDEUR""),""Error en datos"")"),73.0408646)</f>
        <v>73.0408646</v>
      </c>
      <c r="H14" s="35">
        <f>IFERROR(__xludf.DUMMYFUNCTION("IFERROR(AVERAGE(INDEX(GOOGLEFINANCE(B14,""close"",TODAY()-20,TODAY()),0,2)) * GOOGLEFINANCE(""CURRENCY:USDEUR""),""Error en datos"")"),69.01250876666667)</f>
        <v>69.01250877</v>
      </c>
      <c r="I14" s="35">
        <f>IFERROR(__xludf.DUMMYFUNCTION("IFERROR(PERCENTILE(INDEX(GOOGLEFINANCE(B14,""close"",TODAY()-365,TODAY()),0,2),0.05) * GOOGLEFINANCE(""CURRENCY:USDEUR""),""Error en datos"")"),49.53038178)</f>
        <v>49.53038178</v>
      </c>
      <c r="J14" s="35">
        <f>IFERROR(__xludf.DUMMYFUNCTION("AVERAGE(INDEX(GOOGLEFINANCE(B14,""price"",TODAY()-20,TODAY(),""DAILY""),0,2))+(2*STDEV(INDEX(GOOGLEFINANCE(B14,""price"",TODAY()-20,TODAY(),""DAILY""),0,2)))"),85.32190336243718)</f>
        <v>85.32190336</v>
      </c>
      <c r="K14" s="35">
        <f>IFERROR(__xludf.DUMMYFUNCTION("AVERAGE(INDEX(GOOGLEFINANCE(B14,""price"",TODAY()-20,TODAY(),""DAILY""),0,2))-(2*STDEV(INDEX(GOOGLEFINANCE(B14,""price"",TODAY()-20,TODAY(),""DAILY""),0,2)))"),76.00142997089617)</f>
        <v>76.00142997</v>
      </c>
      <c r="L14" s="35">
        <v>14.0</v>
      </c>
      <c r="M14" s="35">
        <f t="shared" si="1"/>
        <v>0</v>
      </c>
      <c r="N14" s="35">
        <v>0.0</v>
      </c>
      <c r="O14" s="35">
        <f t="shared" si="2"/>
        <v>0.4444444444</v>
      </c>
      <c r="P14" s="35">
        <v>-6.0</v>
      </c>
      <c r="Q14" s="35">
        <f t="shared" si="3"/>
        <v>0.03400309119</v>
      </c>
      <c r="R14" s="35" t="str">
        <f>IFERROR(__xludf.DUMMYFUNCTION("IF(B14="""", """", SPARKLINE(INDEX(GOOGLEFINANCE(B14, ""price"", TODAY()-1825, TODAY()), 0, 2)))"),"")</f>
        <v/>
      </c>
      <c r="S14" s="35">
        <f t="shared" si="4"/>
        <v>59.18369192</v>
      </c>
      <c r="T14" s="35">
        <f t="shared" si="5"/>
        <v>69.80696068</v>
      </c>
      <c r="U14" s="34" t="str">
        <f t="shared" si="6"/>
        <v/>
      </c>
      <c r="V14" s="37">
        <f t="shared" si="7"/>
        <v>0.1515926194</v>
      </c>
      <c r="W14" s="37">
        <f t="shared" si="8"/>
        <v>0.003288973302</v>
      </c>
      <c r="X14" s="34">
        <f>IFERROR(__xludf.DUMMYFUNCTION("AJ14*GOOGLEFINANCE(""CURRENCY:USD/EUR"")"),68.1555028)</f>
        <v>68.1555028</v>
      </c>
      <c r="Y14" s="35">
        <f>IFERROR(__xludf.DUMMYFUNCTION("AI14*GOOGLEFINANCE(""CURRENCY:USD/EUR"")"),67.93207601560404)</f>
        <v>67.93207602</v>
      </c>
      <c r="Z14" s="38">
        <f t="shared" si="9"/>
        <v>0.02423073426</v>
      </c>
      <c r="AA14" s="38">
        <f t="shared" si="10"/>
        <v>0.006721808582</v>
      </c>
      <c r="AB14" s="38">
        <f t="shared" si="11"/>
        <v>0.001789286525</v>
      </c>
      <c r="AC14" s="41">
        <v>73.0</v>
      </c>
      <c r="AD14" s="40">
        <f t="shared" si="12"/>
        <v>0.3327450366</v>
      </c>
      <c r="AE14" s="41">
        <v>80.0</v>
      </c>
      <c r="AF14" s="41">
        <f t="shared" si="13"/>
        <v>0.379242542</v>
      </c>
      <c r="AG14" s="41">
        <v>86.0</v>
      </c>
      <c r="AH14" s="41">
        <f t="shared" si="14"/>
        <v>0.2880124214</v>
      </c>
      <c r="AI14" s="41">
        <f t="shared" si="15"/>
        <v>79.39885927</v>
      </c>
      <c r="AJ14" s="34">
        <f>IFERROR(__xludf.DUMMYFUNCTION("GOOGLEFINANCE(B14,""price"")"),79.66)</f>
        <v>79.66</v>
      </c>
      <c r="AK14" s="37">
        <f>AP14+BN14</f>
        <v>0.1297131473</v>
      </c>
      <c r="AL14" s="34">
        <v>70.91</v>
      </c>
      <c r="AM14" s="34">
        <f t="shared" si="16"/>
        <v>64.7594915</v>
      </c>
      <c r="AN14" s="34">
        <f t="shared" si="17"/>
        <v>76.31461254</v>
      </c>
      <c r="AO14" s="38">
        <f>IFERROR(__xludf.DUMMYFUNCTION("(GOOGLEFINANCE(B14, ""price"") - INDEX(GOOGLEFINANCE(B14, ""price"", DATE(2025,5,8)), 2, 2)) / INDEX(GOOGLEFINANCE(B14, ""price"", DATE(2025,5,8)), 2, 2)"),0.11303618834707285)</f>
        <v>0.1130361883</v>
      </c>
      <c r="AP14" s="37">
        <f t="shared" si="18"/>
        <v>0.1197131473</v>
      </c>
      <c r="AQ14" s="37">
        <f t="shared" si="19"/>
        <v>0.1233958539</v>
      </c>
      <c r="AR14" s="37">
        <f t="shared" si="20"/>
        <v>-0.003682706648</v>
      </c>
      <c r="AS14" s="34">
        <f>IFERROR(__xludf.DUMMYFUNCTION("IF(X14&lt;K14,1,IF(X14&gt;J14,-1,0)) + IF(X14&lt;F14,1,IF(X14&gt;G14,-1,0)) + IF(X14&lt;I14,1,IF(X14&gt;I14,-1,0)) + IF(X14&lt;H14,1,IF(X14&gt;H14,-1,0))"),1.0)</f>
        <v>1</v>
      </c>
      <c r="AT14" s="34" t="str">
        <f t="shared" si="21"/>
        <v>venta</v>
      </c>
      <c r="AU14" s="35" t="str">
        <f t="shared" si="22"/>
        <v>venta</v>
      </c>
      <c r="AV14" s="35" t="str">
        <f t="shared" si="23"/>
        <v>hold</v>
      </c>
      <c r="AW14" s="38">
        <f t="shared" si="24"/>
        <v>-0.003278191418</v>
      </c>
      <c r="AX14" s="38">
        <f t="shared" si="25"/>
        <v>0.1866788496</v>
      </c>
      <c r="AY14" s="38">
        <f t="shared" si="26"/>
        <v>0.1884163443</v>
      </c>
      <c r="AZ14" s="42">
        <f t="shared" si="27"/>
        <v>0.05556780995</v>
      </c>
      <c r="BA14" s="38">
        <f t="shared" si="28"/>
        <v>0.6156072067</v>
      </c>
      <c r="BB14" s="38">
        <f t="shared" si="29"/>
        <v>0.3843927933</v>
      </c>
      <c r="BC14" s="38">
        <f t="shared" si="30"/>
        <v>-0.04982739703</v>
      </c>
      <c r="BD14" s="38">
        <f t="shared" si="31"/>
        <v>0.5744443896</v>
      </c>
      <c r="BE14" s="38">
        <f t="shared" si="32"/>
        <v>0.4255556104</v>
      </c>
      <c r="BF14" s="38">
        <f t="shared" si="33"/>
        <v>0.03632103518</v>
      </c>
      <c r="BG14" s="37">
        <f t="shared" si="34"/>
        <v>0.1178888008</v>
      </c>
      <c r="BH14" s="43">
        <f t="shared" si="35"/>
        <v>0.1531525726</v>
      </c>
      <c r="BI14" s="44">
        <f t="shared" si="36"/>
        <v>0.374596254</v>
      </c>
      <c r="BJ14" s="38">
        <f t="shared" si="37"/>
        <v>-0.01350636185</v>
      </c>
      <c r="BK14" s="43">
        <f t="shared" si="38"/>
        <v>0.4599966303</v>
      </c>
      <c r="BL14" s="47">
        <v>5.71</v>
      </c>
      <c r="BM14" s="46">
        <f t="shared" si="39"/>
        <v>0.001764890074</v>
      </c>
      <c r="BN14" s="38">
        <v>0.01</v>
      </c>
      <c r="BO14" s="47">
        <v>3.96</v>
      </c>
      <c r="BP14" s="58">
        <f t="shared" si="40"/>
        <v>0.005727460972</v>
      </c>
      <c r="BQ14" s="47">
        <v>6.13</v>
      </c>
      <c r="BR14" s="47">
        <f t="shared" si="41"/>
        <v>0.2219506776</v>
      </c>
      <c r="BS14" s="47">
        <v>0.24</v>
      </c>
      <c r="BT14" s="47">
        <f t="shared" si="42"/>
        <v>0.5983066792</v>
      </c>
      <c r="BU14" s="47">
        <v>2.5</v>
      </c>
      <c r="BV14" s="47">
        <f t="shared" si="43"/>
        <v>0.8762376238</v>
      </c>
      <c r="BW14" s="48">
        <f t="shared" si="44"/>
        <v>0.9620815556</v>
      </c>
      <c r="BX14" s="49">
        <f t="shared" si="45"/>
        <v>0.5960399354</v>
      </c>
      <c r="BY14" s="47">
        <f t="shared" si="46"/>
        <v>0.4255556104</v>
      </c>
      <c r="BZ14" s="50">
        <v>0.061</v>
      </c>
      <c r="CA14" s="50">
        <f t="shared" si="47"/>
        <v>0.1102880658</v>
      </c>
      <c r="CB14" s="50">
        <v>0.019</v>
      </c>
      <c r="CC14" s="50">
        <f t="shared" si="48"/>
        <v>0.1861604409</v>
      </c>
      <c r="CD14" s="50">
        <v>0.098</v>
      </c>
      <c r="CE14" s="50">
        <f t="shared" si="49"/>
        <v>0.6868891604</v>
      </c>
      <c r="CF14" s="50">
        <f t="shared" si="50"/>
        <v>0.3277792224</v>
      </c>
      <c r="CG14" s="51">
        <v>0.807</v>
      </c>
      <c r="CH14" s="51">
        <f t="shared" si="51"/>
        <v>0.5476429288</v>
      </c>
      <c r="CI14" s="51">
        <v>0.045</v>
      </c>
      <c r="CJ14" s="51">
        <f t="shared" si="52"/>
        <v>0.09044585987</v>
      </c>
      <c r="CK14" s="51">
        <v>0.128</v>
      </c>
      <c r="CL14" s="51">
        <f t="shared" si="53"/>
        <v>0.3487603306</v>
      </c>
      <c r="CM14" s="51">
        <v>0.361</v>
      </c>
      <c r="CN14" s="51">
        <f t="shared" si="54"/>
        <v>0.27986007</v>
      </c>
      <c r="CO14" s="51">
        <v>0.231</v>
      </c>
      <c r="CP14" s="51">
        <f t="shared" si="55"/>
        <v>0.6552547771</v>
      </c>
      <c r="CQ14" s="51">
        <f t="shared" si="56"/>
        <v>0.3843927933</v>
      </c>
      <c r="CR14" s="52">
        <f t="shared" si="57"/>
        <v>0.379242542</v>
      </c>
      <c r="CS14" s="53">
        <f t="shared" si="58"/>
        <v>0.1196118839</v>
      </c>
      <c r="CT14" s="54">
        <f t="shared" si="59"/>
        <v>0.2661912346</v>
      </c>
      <c r="CU14" s="55">
        <f t="shared" si="60"/>
        <v>0.04698021542</v>
      </c>
      <c r="CV14" s="34">
        <f t="shared" si="61"/>
        <v>1.074233627</v>
      </c>
      <c r="CW14" s="34">
        <f t="shared" si="62"/>
        <v>0.4581796778</v>
      </c>
      <c r="CX14" s="35">
        <f t="shared" si="63"/>
        <v>0.2392237678</v>
      </c>
      <c r="CY14" s="38">
        <f>IFERROR(__xludf.DUMMYFUNCTION("(GOOGLEFINANCE(B14,""price"")/INDEX(GOOGLEFINANCE(B14,""price"",TODAY()-30),2,2))-1"),0.06568561872909684)</f>
        <v>0.06568561873</v>
      </c>
      <c r="CZ14" s="38">
        <f>IFERROR(__xludf.DUMMYFUNCTION("(GOOGLEFINANCE($B14,""price"")/INDEX(GOOGLEFINANCE($B14,""price"",TODAY()-180),2,2))-1"),0.08277830637488104)</f>
        <v>0.08277830637</v>
      </c>
      <c r="DA14" s="38">
        <f>IFERROR(__xludf.DUMMYFUNCTION("(GOOGLEFINANCE($B14,""price"")/INDEX(GOOGLEFINANCE($B14,""price"",TODAY()-365),2,2))-1"),0.3801108801108801)</f>
        <v>0.3801108801</v>
      </c>
      <c r="DB14" s="38">
        <f>IFERROR(__xludf.DUMMYFUNCTION("(GOOGLEFINANCE($B14,""price"")/INDEX(GOOGLEFINANCE($B14,""price"",TODAY()-365*5),2,2))-1"),2.6474358974358974)</f>
        <v>2.647435897</v>
      </c>
      <c r="DC14" s="38">
        <f>IFERROR(__xludf.DUMMYFUNCTION("(INDEX(GOOGLEFINANCE(B14, ""price"", TODAY()-30, TODAY()), ROWS(GOOGLEFINANCE(B14, ""price"", TODAY()-30, TODAY())), 2) / INDEX(GOOGLEFINANCE(B14, ""price"", TODAY()-30, TODAY()), 2, 2)) - 1"),0.05860465116279068)</f>
        <v>0.05860465116</v>
      </c>
      <c r="DD14" s="38">
        <f>IFERROR(__xludf.DUMMYFUNCTION("(INDEX(GOOGLEFINANCE(B14, ""price"", TODAY()-7, TODAY()), ROWS(GOOGLEFINANCE(B14, ""price"", TODAY()-7, TODAY())), 2) / INDEX(GOOGLEFINANCE(B14, ""price"", TODAY()-7, TODAY()), 2, 2)) - 1"),-0.014474823704070272)</f>
        <v>-0.0144748237</v>
      </c>
    </row>
    <row r="15">
      <c r="A15" s="50" t="str">
        <f>IFERROR(__xludf.DUMMYFUNCTION("GOOGLEFINANCE(B15,""name"")"),"Camtek Ltd")</f>
        <v>Camtek Ltd</v>
      </c>
      <c r="B15" s="45" t="s">
        <v>115</v>
      </c>
      <c r="C15" s="45" t="s">
        <v>90</v>
      </c>
      <c r="D15" s="35" t="s">
        <v>105</v>
      </c>
      <c r="E15" s="36">
        <v>1.0</v>
      </c>
      <c r="F15" s="35">
        <f>IFERROR(__xludf.DUMMYFUNCTION("IFERROR(MIN(INDEX(GOOGLEFINANCE(B15,""close"",TODAY()-100,TODAY()),0,2)) * GOOGLEFINANCE(""CURRENCY:USDEUR""),""Error en datos"")"),44.7639456)</f>
        <v>44.7639456</v>
      </c>
      <c r="G15" s="35">
        <f>IFERROR(__xludf.DUMMYFUNCTION("IFERROR(MAX(INDEX(GOOGLEFINANCE(B15,""close"",TODAY()-100,TODAY()),0,2)) * GOOGLEFINANCE(""CURRENCY:USDEUR""),""Error en datos"")"),77.12198120000001)</f>
        <v>77.1219812</v>
      </c>
      <c r="H15" s="35">
        <f>IFERROR(__xludf.DUMMYFUNCTION("IFERROR(AVERAGE(INDEX(GOOGLEFINANCE(B15,""close"",TODAY()-20,TODAY()),0,2)) * GOOGLEFINANCE(""CURRENCY:USDEUR""),""Error en datos"")"),73.81483543076925)</f>
        <v>73.81483543</v>
      </c>
      <c r="I15" s="35">
        <f>IFERROR(__xludf.DUMMYFUNCTION("IFERROR(PERCENTILE(INDEX(GOOGLEFINANCE(B15,""close"",TODAY()-365,TODAY()),0,2),0.05) * GOOGLEFINANCE(""CURRENCY:USDEUR""),""Error en datos"")"),51.48709324)</f>
        <v>51.48709324</v>
      </c>
      <c r="J15" s="35">
        <f>IFERROR(__xludf.DUMMYFUNCTION("AVERAGE(INDEX(GOOGLEFINANCE(B15,""price"",TODAY()-20,TODAY(),""DAILY""),0,2))+(2*STDEV(INDEX(GOOGLEFINANCE(B15,""price"",TODAY()-20,TODAY(),""DAILY""),0,2)))"),92.69811191628004)</f>
        <v>92.69811192</v>
      </c>
      <c r="K15" s="35">
        <f>IFERROR(__xludf.DUMMYFUNCTION("AVERAGE(INDEX(GOOGLEFINANCE(B15,""price"",TODAY()-20,TODAY(),""DAILY""),0,2))-(2*STDEV(INDEX(GOOGLEFINANCE(B15,""price"",TODAY()-20,TODAY(),""DAILY""),0,2)))"),79.85111885295076)</f>
        <v>79.85111885</v>
      </c>
      <c r="L15" s="35">
        <v>168.0</v>
      </c>
      <c r="M15" s="35">
        <f t="shared" si="1"/>
        <v>0.02719886966</v>
      </c>
      <c r="N15" s="35">
        <v>0.0</v>
      </c>
      <c r="O15" s="35">
        <f t="shared" si="2"/>
        <v>0.4444444444</v>
      </c>
      <c r="P15" s="35">
        <v>7.2</v>
      </c>
      <c r="Q15" s="35">
        <f t="shared" si="3"/>
        <v>0.2890262751</v>
      </c>
      <c r="R15" s="35" t="str">
        <f>IFERROR(__xludf.DUMMYFUNCTION("IF(B15="""", """", SPARKLINE(INDEX(GOOGLEFINANCE(B15, ""price"", TODAY()-1825, TODAY()), 0, 2)))"),"")</f>
        <v/>
      </c>
      <c r="S15" s="35">
        <f t="shared" si="4"/>
        <v>58.70071923</v>
      </c>
      <c r="T15" s="35">
        <f t="shared" si="5"/>
        <v>77.93215584</v>
      </c>
      <c r="U15" s="34" t="str">
        <f t="shared" si="6"/>
        <v/>
      </c>
      <c r="V15" s="37">
        <f t="shared" si="7"/>
        <v>0.3030309169</v>
      </c>
      <c r="W15" s="37">
        <f t="shared" si="8"/>
        <v>-0.000623567109</v>
      </c>
      <c r="X15" s="34">
        <f>IFERROR(__xludf.DUMMYFUNCTION("AJ15*GOOGLEFINANCE(""CURRENCY:USD/EUR"")"),76.48885200000001)</f>
        <v>76.488852</v>
      </c>
      <c r="Y15" s="35">
        <f>IFERROR(__xludf.DUMMYFUNCTION("AI15*GOOGLEFINANCE(""CURRENCY:USD/EUR"")"),76.53657769248065)</f>
        <v>76.53657769</v>
      </c>
      <c r="Z15" s="38">
        <f t="shared" si="9"/>
        <v>0.01886946658</v>
      </c>
      <c r="AA15" s="38">
        <f t="shared" si="10"/>
        <v>0.02062395619</v>
      </c>
      <c r="AB15" s="38">
        <f t="shared" si="11"/>
        <v>0.008079410481</v>
      </c>
      <c r="AC15" s="41">
        <v>80.0</v>
      </c>
      <c r="AD15" s="40">
        <f t="shared" si="12"/>
        <v>0.3330349678</v>
      </c>
      <c r="AE15" s="41">
        <v>89.0</v>
      </c>
      <c r="AF15" s="41">
        <f t="shared" si="13"/>
        <v>0.4511465076</v>
      </c>
      <c r="AG15" s="41">
        <v>105.0</v>
      </c>
      <c r="AH15" s="41">
        <f t="shared" si="14"/>
        <v>0.2158185246</v>
      </c>
      <c r="AI15" s="41">
        <f t="shared" si="15"/>
        <v>89.45578168</v>
      </c>
      <c r="AJ15" s="34">
        <f>IFERROR(__xludf.DUMMYFUNCTION("GOOGLEFINANCE(B15,""price"")"),89.4)</f>
        <v>89.4</v>
      </c>
      <c r="AK15" s="37">
        <f t="shared" ref="AK15:AK17" si="65">AR15+BN15</f>
        <v>0.02084492098</v>
      </c>
      <c r="AL15" s="35">
        <v>66.02</v>
      </c>
      <c r="AM15" s="34">
        <f t="shared" si="16"/>
        <v>71.8744213</v>
      </c>
      <c r="AN15" s="34">
        <f t="shared" si="17"/>
        <v>103.6408671</v>
      </c>
      <c r="AO15" s="38">
        <f>IFERROR(__xludf.DUMMYFUNCTION("(GOOGLEFINANCE(B15, ""price"") - INDEX(GOOGLEFINANCE(B15, ""price"", DATE(2025,5,9)), 2, 2)) / INDEX(GOOGLEFINANCE(B15, ""price"", DATE(2025,5,8)), 2, 2)"),0.33101348412353215)</f>
        <v>0.3310134841</v>
      </c>
      <c r="AP15" s="37">
        <f t="shared" si="18"/>
        <v>0.3549800316</v>
      </c>
      <c r="AQ15" s="37">
        <f t="shared" si="19"/>
        <v>0.3541351106</v>
      </c>
      <c r="AR15" s="37">
        <f t="shared" si="20"/>
        <v>0.000844920981</v>
      </c>
      <c r="AS15" s="34">
        <f>IFERROR(__xludf.DUMMYFUNCTION("IF(X15&lt;K15,1,IF(X15&gt;J15,-1,0)) + IF(X15&lt;F15,1,IF(X15&gt;G15,-1,0)) + IF(X15&lt;I15,1,IF(X15&gt;I15,-1,0)) + IF(X15&lt;H15,1,IF(X15&gt;H15,-1,0))"),-1.0)</f>
        <v>-1</v>
      </c>
      <c r="AT15" s="34" t="str">
        <f t="shared" si="21"/>
        <v>Hold</v>
      </c>
      <c r="AU15" s="35" t="str">
        <f t="shared" si="22"/>
        <v>venta</v>
      </c>
      <c r="AV15" s="35" t="str">
        <f t="shared" si="23"/>
        <v>venta</v>
      </c>
      <c r="AW15" s="38">
        <f t="shared" si="24"/>
        <v>0.0006239561875</v>
      </c>
      <c r="AX15" s="38">
        <f t="shared" si="25"/>
        <v>-0.1563767732</v>
      </c>
      <c r="AY15" s="38">
        <f t="shared" si="26"/>
        <v>-0.1594535874</v>
      </c>
      <c r="AZ15" s="42">
        <f t="shared" si="27"/>
        <v>0.1142789556</v>
      </c>
      <c r="BA15" s="38">
        <f t="shared" si="28"/>
        <v>0.5548151476</v>
      </c>
      <c r="BB15" s="38">
        <f t="shared" si="29"/>
        <v>0.4451848524</v>
      </c>
      <c r="BC15" s="38">
        <f t="shared" si="30"/>
        <v>-0.06032814685</v>
      </c>
      <c r="BD15" s="38">
        <f t="shared" si="31"/>
        <v>0.5621769703</v>
      </c>
      <c r="BE15" s="38">
        <f t="shared" si="32"/>
        <v>0.4378230297</v>
      </c>
      <c r="BF15" s="38">
        <f t="shared" si="33"/>
        <v>0.07388331627</v>
      </c>
      <c r="BG15" s="37">
        <f t="shared" si="34"/>
        <v>0.2217803264</v>
      </c>
      <c r="BH15" s="43">
        <f t="shared" si="35"/>
        <v>0.0311633695</v>
      </c>
      <c r="BI15" s="44">
        <f t="shared" si="36"/>
        <v>0.5109322642</v>
      </c>
      <c r="BJ15" s="38">
        <f t="shared" si="37"/>
        <v>0.01355516943</v>
      </c>
      <c r="BK15" s="43">
        <f t="shared" si="38"/>
        <v>-0.3590143569</v>
      </c>
      <c r="BL15" s="63">
        <v>2.96</v>
      </c>
      <c r="BM15" s="46">
        <f t="shared" si="39"/>
        <v>0.0008950965787</v>
      </c>
      <c r="BN15" s="60">
        <v>0.02</v>
      </c>
      <c r="BO15" s="63">
        <v>0.45</v>
      </c>
      <c r="BP15" s="47">
        <f t="shared" si="40"/>
        <v>0.0005727460972</v>
      </c>
      <c r="BQ15" s="63">
        <v>2.61</v>
      </c>
      <c r="BR15" s="47">
        <f t="shared" si="41"/>
        <v>0.1437458343</v>
      </c>
      <c r="BS15" s="60">
        <v>0.265</v>
      </c>
      <c r="BT15" s="47">
        <f t="shared" si="42"/>
        <v>0.6218250235</v>
      </c>
      <c r="BU15" s="63">
        <v>0.3</v>
      </c>
      <c r="BV15" s="47">
        <f t="shared" si="43"/>
        <v>0.9851485149</v>
      </c>
      <c r="BW15" s="48">
        <f t="shared" si="44"/>
        <v>2.160909496</v>
      </c>
      <c r="BX15" s="49">
        <f t="shared" si="45"/>
        <v>0.9907011588</v>
      </c>
      <c r="BY15" s="47">
        <f t="shared" si="46"/>
        <v>0.4378230297</v>
      </c>
      <c r="BZ15" s="60">
        <v>0.326</v>
      </c>
      <c r="CA15" s="50">
        <f t="shared" si="47"/>
        <v>0.3283950617</v>
      </c>
      <c r="CB15" s="60">
        <v>0.671</v>
      </c>
      <c r="CC15" s="50">
        <f t="shared" si="48"/>
        <v>0.385793019</v>
      </c>
      <c r="CD15" s="60">
        <v>0.466</v>
      </c>
      <c r="CE15" s="50">
        <f t="shared" si="49"/>
        <v>0.6971068414</v>
      </c>
      <c r="CF15" s="50">
        <f t="shared" si="50"/>
        <v>0.4704316407</v>
      </c>
      <c r="CG15" s="60">
        <v>0.403</v>
      </c>
      <c r="CH15" s="51">
        <f t="shared" si="51"/>
        <v>0.3450351053</v>
      </c>
      <c r="CI15" s="60">
        <v>0.282</v>
      </c>
      <c r="CJ15" s="51">
        <f t="shared" si="52"/>
        <v>0.3923566879</v>
      </c>
      <c r="CK15" s="60">
        <v>0.468</v>
      </c>
      <c r="CL15" s="51">
        <f t="shared" si="53"/>
        <v>0.6297520661</v>
      </c>
      <c r="CM15" s="60">
        <v>0.221</v>
      </c>
      <c r="CN15" s="51">
        <f t="shared" si="54"/>
        <v>0.2098950525</v>
      </c>
      <c r="CO15" s="60">
        <v>0.223</v>
      </c>
      <c r="CP15" s="51">
        <f t="shared" si="55"/>
        <v>0.6488853503</v>
      </c>
      <c r="CQ15" s="51">
        <f t="shared" si="56"/>
        <v>0.4451848524</v>
      </c>
      <c r="CR15" s="52">
        <f t="shared" si="57"/>
        <v>0.4511465076</v>
      </c>
      <c r="CS15" s="53">
        <f t="shared" si="58"/>
        <v>0.1969671147</v>
      </c>
      <c r="CT15" s="54">
        <f t="shared" si="59"/>
        <v>0.3917488191</v>
      </c>
      <c r="CU15" s="55">
        <f t="shared" si="60"/>
        <v>0.007983352569</v>
      </c>
      <c r="CV15" s="34">
        <f t="shared" si="61"/>
        <v>0.5946149304</v>
      </c>
      <c r="CW15" s="34">
        <f t="shared" si="62"/>
        <v>0.3742269864</v>
      </c>
      <c r="CX15" s="35">
        <f t="shared" si="63"/>
        <v>0.3667353598</v>
      </c>
      <c r="CY15" s="38">
        <f>IFERROR(__xludf.DUMMYFUNCTION("(GOOGLEFINANCE(B15,""price"")/INDEX(GOOGLEFINANCE(B15,""price"",TODAY()-30),2,2))-1"),0.1861483348812525)</f>
        <v>0.1861483349</v>
      </c>
      <c r="CZ15" s="38">
        <f>IFERROR(__xludf.DUMMYFUNCTION("(GOOGLEFINANCE($B15,""price"")/INDEX(GOOGLEFINANCE($B15,""price"",TODAY()-180),2,2))-1"),-0.04364569961489084)</f>
        <v>-0.04364569961</v>
      </c>
      <c r="DA15" s="38">
        <f>IFERROR(__xludf.DUMMYFUNCTION("(GOOGLEFINANCE($B15,""price"")/INDEX(GOOGLEFINANCE($B15,""price"",TODAY()-365),2,2))-1"),-0.31953113107017805)</f>
        <v>-0.3195311311</v>
      </c>
      <c r="DB15" s="38">
        <f>IFERROR(__xludf.DUMMYFUNCTION("(GOOGLEFINANCE($B15,""price"")/INDEX(GOOGLEFINANCE($B15,""price"",TODAY()-365*5),2,2))-1"),5.6916167664670665)</f>
        <v>5.691616766</v>
      </c>
      <c r="DC15" s="38">
        <f>IFERROR(__xludf.DUMMYFUNCTION("(INDEX(GOOGLEFINANCE(B15, ""price"", TODAY()-30, TODAY()), ROWS(GOOGLEFINANCE(B15, ""price"", TODAY()-30, TODAY())), 2) / INDEX(GOOGLEFINANCE(B15, ""price"", TODAY()-30, TODAY()), 2, 2)) - 1"),0.1861483348812525)</f>
        <v>0.1861483349</v>
      </c>
      <c r="DD15" s="38">
        <f>IFERROR(__xludf.DUMMYFUNCTION("(INDEX(GOOGLEFINANCE(B15, ""price"", TODAY()-7, TODAY()), ROWS(GOOGLEFINANCE(B15, ""price"", TODAY()-7, TODAY())), 2) / INDEX(GOOGLEFINANCE(B15, ""price"", TODAY()-7, TODAY()), 2, 2)) - 1"),0.004494382022471877)</f>
        <v>0.004494382022</v>
      </c>
    </row>
    <row r="16">
      <c r="A16" s="34" t="str">
        <f>IFERROR(__xludf.DUMMYFUNCTION("GOOGLEFINANCE(B16,""name"")"),"Caterpillar Inc")</f>
        <v>Caterpillar Inc</v>
      </c>
      <c r="B16" s="45" t="s">
        <v>116</v>
      </c>
      <c r="C16" s="45" t="s">
        <v>96</v>
      </c>
      <c r="D16" s="35" t="s">
        <v>105</v>
      </c>
      <c r="E16" s="62">
        <v>5.0</v>
      </c>
      <c r="F16" s="35">
        <f>IFERROR(__xludf.DUMMYFUNCTION("IFERROR(MIN(INDEX(GOOGLEFINANCE(B16,""close"",TODAY()-100,TODAY()),0,2)) * GOOGLEFINANCE(""CURRENCY:USDEUR""),""Error en datos"")"),234.3775852)</f>
        <v>234.3775852</v>
      </c>
      <c r="G16" s="35">
        <f>IFERROR(__xludf.DUMMYFUNCTION("IFERROR(MAX(INDEX(GOOGLEFINANCE(B16,""close"",TODAY()-100,TODAY()),0,2)) * GOOGLEFINANCE(""CURRENCY:USDEUR""),""Error en datos"")"),349.3589814)</f>
        <v>349.3589814</v>
      </c>
      <c r="H16" s="35">
        <f>IFERROR(__xludf.DUMMYFUNCTION("IFERROR(AVERAGE(INDEX(GOOGLEFINANCE(B16,""close"",TODAY()-20,TODAY()),0,2)) * GOOGLEFINANCE(""CURRENCY:USDEUR""),""Error en datos"")"),334.9161328615385)</f>
        <v>334.9161329</v>
      </c>
      <c r="I16" s="35">
        <f>IFERROR(__xludf.DUMMYFUNCTION("IFERROR(PERCENTILE(INDEX(GOOGLEFINANCE(B16,""close"",TODAY()-365,TODAY()),0,2),0.05) * GOOGLEFINANCE(""CURRENCY:USDEUR""),""Error en datos"")"),259.1637378)</f>
        <v>259.1637378</v>
      </c>
      <c r="J16" s="35">
        <f>IFERROR(__xludf.DUMMYFUNCTION("AVERAGE(INDEX(GOOGLEFINANCE(B16,""price"",TODAY()-20,TODAY(),""DAILY""),0,2))+(2*STDEV(INDEX(GOOGLEFINANCE(B16,""price"",TODAY()-20,TODAY(),""DAILY""),0,2)))"),414.46805417029185)</f>
        <v>414.4680542</v>
      </c>
      <c r="K16" s="35">
        <f>IFERROR(__xludf.DUMMYFUNCTION("AVERAGE(INDEX(GOOGLEFINANCE(B16,""price"",TODAY()-20,TODAY(),""DAILY""),0,2))-(2*STDEV(INDEX(GOOGLEFINANCE(B16,""price"",TODAY()-20,TODAY(),""DAILY""),0,2)))"),368.4304073681697)</f>
        <v>368.4304074</v>
      </c>
      <c r="L16" s="45">
        <v>2912.0</v>
      </c>
      <c r="M16" s="35">
        <f t="shared" si="1"/>
        <v>0.5118332745</v>
      </c>
      <c r="N16" s="45">
        <v>-50.0</v>
      </c>
      <c r="O16" s="35">
        <f t="shared" si="2"/>
        <v>0.2222222222</v>
      </c>
      <c r="P16" s="45">
        <v>1.17</v>
      </c>
      <c r="Q16" s="35">
        <f t="shared" si="3"/>
        <v>0.1725270479</v>
      </c>
      <c r="R16" s="35" t="str">
        <f>IFERROR(__xludf.DUMMYFUNCTION("IF(B16="""", """", SPARKLINE(INDEX(GOOGLEFINANCE(B16, ""price"", TODAY()-1825, TODAY()), 0, 2)))"),"")</f>
        <v/>
      </c>
      <c r="S16" s="35">
        <f t="shared" si="4"/>
        <v>287.3239101</v>
      </c>
      <c r="T16" s="35">
        <f t="shared" si="5"/>
        <v>325.2315587</v>
      </c>
      <c r="U16" s="34" t="str">
        <f t="shared" si="6"/>
        <v>Venta</v>
      </c>
      <c r="V16" s="37">
        <f t="shared" si="7"/>
        <v>0.2087300129</v>
      </c>
      <c r="W16" s="37">
        <f t="shared" si="8"/>
        <v>0.1064108982</v>
      </c>
      <c r="X16" s="34">
        <f>IFERROR(__xludf.DUMMYFUNCTION("AJ16*GOOGLEFINANCE(""CURRENCY:USD/EUR"")"),347.2970336)</f>
        <v>347.2970336</v>
      </c>
      <c r="Y16" s="35">
        <f>IFERROR(__xludf.DUMMYFUNCTION("AI16*GOOGLEFINANCE(""CURRENCY:USD/EUR"")"),313.8951669410359)</f>
        <v>313.8951669</v>
      </c>
      <c r="Z16" s="38">
        <f t="shared" si="9"/>
        <v>-0.06353487855</v>
      </c>
      <c r="AA16" s="38">
        <f t="shared" si="10"/>
        <v>-0.07917665407</v>
      </c>
      <c r="AB16" s="38">
        <f t="shared" si="11"/>
        <v>-0.01641884285</v>
      </c>
      <c r="AC16" s="41">
        <v>283.0</v>
      </c>
      <c r="AD16" s="40">
        <f t="shared" si="12"/>
        <v>0.3172015633</v>
      </c>
      <c r="AE16" s="41">
        <v>373.46</v>
      </c>
      <c r="AF16" s="41">
        <f t="shared" si="13"/>
        <v>0.3736842908</v>
      </c>
      <c r="AG16" s="41">
        <v>445.0</v>
      </c>
      <c r="AH16" s="41">
        <f t="shared" si="14"/>
        <v>0.3091141459</v>
      </c>
      <c r="AI16" s="41">
        <f t="shared" si="15"/>
        <v>366.8799726</v>
      </c>
      <c r="AJ16" s="34">
        <f>IFERROR(__xludf.DUMMYFUNCTION("GOOGLEFINANCE(B16,""price"")"),405.92)</f>
        <v>405.92</v>
      </c>
      <c r="AK16" s="37">
        <f t="shared" si="65"/>
        <v>-0.1028944396</v>
      </c>
      <c r="AL16" s="34">
        <v>325.62</v>
      </c>
      <c r="AM16" s="34">
        <f t="shared" si="16"/>
        <v>266.4433095</v>
      </c>
      <c r="AN16" s="34">
        <f t="shared" si="17"/>
        <v>391.3037472</v>
      </c>
      <c r="AO16" s="38">
        <f>IFERROR(__xludf.DUMMYFUNCTION("(GOOGLEFINANCE(B16, ""price"") - INDEX(GOOGLEFINANCE(B16, ""price"", DATE(2025,5,9)), 2, 2)) / INDEX(GOOGLEFINANCE(B16, ""price"", DATE(2025,5,8)), 2, 2)"),0.24764841942945262)</f>
        <v>0.2476484194</v>
      </c>
      <c r="AP16" s="37">
        <f t="shared" si="18"/>
        <v>0.1267120342</v>
      </c>
      <c r="AQ16" s="37">
        <f t="shared" si="19"/>
        <v>0.2466064738</v>
      </c>
      <c r="AR16" s="37">
        <f t="shared" si="20"/>
        <v>-0.1198944396</v>
      </c>
      <c r="AS16" s="34">
        <f>IFERROR(__xludf.DUMMYFUNCTION("IF(X16&lt;K16,1,IF(X16&gt;J16,-1,0)) + IF(X16&lt;F16,1,IF(X16&gt;G16,-1,0)) + IF(X16&lt;I16,1,IF(X16&gt;I16,-1,0)) + IF(X16&lt;H16,1,IF(X16&gt;H16,-1,0))"),-1.0)</f>
        <v>-1</v>
      </c>
      <c r="AT16" s="34" t="str">
        <f t="shared" si="21"/>
        <v>venta</v>
      </c>
      <c r="AU16" s="35" t="str">
        <f t="shared" si="22"/>
        <v>venta</v>
      </c>
      <c r="AV16" s="35" t="str">
        <f t="shared" si="23"/>
        <v>hold</v>
      </c>
      <c r="AW16" s="38">
        <f t="shared" si="24"/>
        <v>-0.09617665407</v>
      </c>
      <c r="AX16" s="38">
        <f t="shared" si="25"/>
        <v>0.03180786389</v>
      </c>
      <c r="AY16" s="38">
        <f t="shared" si="26"/>
        <v>0.03889145722</v>
      </c>
      <c r="AZ16" s="42">
        <f t="shared" si="27"/>
        <v>-0.03301346004</v>
      </c>
      <c r="BA16" s="38">
        <f t="shared" si="28"/>
        <v>0.6858462618</v>
      </c>
      <c r="BB16" s="38">
        <f t="shared" si="29"/>
        <v>0.3141537382</v>
      </c>
      <c r="BC16" s="38">
        <f t="shared" si="30"/>
        <v>-0.2328085653</v>
      </c>
      <c r="BD16" s="38">
        <f t="shared" si="31"/>
        <v>0.4774935814</v>
      </c>
      <c r="BE16" s="38">
        <f t="shared" si="32"/>
        <v>0.5225064186</v>
      </c>
      <c r="BF16" s="38">
        <f t="shared" si="33"/>
        <v>0.01212088389</v>
      </c>
      <c r="BG16" s="37">
        <f t="shared" si="34"/>
        <v>0.04431692066</v>
      </c>
      <c r="BH16" s="43">
        <f t="shared" si="35"/>
        <v>0.04160418894</v>
      </c>
      <c r="BI16" s="44">
        <f t="shared" si="36"/>
        <v>0.2741014031</v>
      </c>
      <c r="BJ16" s="38">
        <f t="shared" si="37"/>
        <v>-0.2206876815</v>
      </c>
      <c r="BK16" s="43">
        <f t="shared" si="38"/>
        <v>-0.1617434364</v>
      </c>
      <c r="BL16" s="45">
        <v>153.14</v>
      </c>
      <c r="BM16" s="46">
        <f t="shared" si="39"/>
        <v>0.04839531007</v>
      </c>
      <c r="BN16" s="38">
        <v>0.017</v>
      </c>
      <c r="BO16" s="45">
        <v>63.26</v>
      </c>
      <c r="BP16" s="47">
        <f t="shared" si="40"/>
        <v>0.09281423935</v>
      </c>
      <c r="BQ16" s="45">
        <v>20.51</v>
      </c>
      <c r="BR16" s="47">
        <f t="shared" si="41"/>
        <v>0.5414352366</v>
      </c>
      <c r="BS16" s="38">
        <v>0.199</v>
      </c>
      <c r="BT16" s="47">
        <f t="shared" si="42"/>
        <v>0.5597365945</v>
      </c>
      <c r="BU16" s="45">
        <v>2.1</v>
      </c>
      <c r="BV16" s="47">
        <f t="shared" si="43"/>
        <v>0.896039604</v>
      </c>
      <c r="BW16" s="48">
        <f t="shared" si="44"/>
        <v>1.094068953</v>
      </c>
      <c r="BX16" s="49">
        <f t="shared" si="45"/>
        <v>0.5065986172</v>
      </c>
      <c r="BY16" s="47">
        <f t="shared" si="46"/>
        <v>0.5225064186</v>
      </c>
      <c r="BZ16" s="38">
        <v>-0.056</v>
      </c>
      <c r="CA16" s="50">
        <f t="shared" si="47"/>
        <v>0.01399176955</v>
      </c>
      <c r="CB16" s="38">
        <v>-0.076</v>
      </c>
      <c r="CC16" s="50">
        <f t="shared" si="48"/>
        <v>0.157072872</v>
      </c>
      <c r="CD16" s="38">
        <v>-0.074</v>
      </c>
      <c r="CE16" s="50">
        <f t="shared" si="49"/>
        <v>0.6821135051</v>
      </c>
      <c r="CF16" s="50">
        <f t="shared" si="50"/>
        <v>0.2843927156</v>
      </c>
      <c r="CG16" s="38">
        <v>0.167</v>
      </c>
      <c r="CH16" s="51">
        <f t="shared" si="51"/>
        <v>0.2266800401</v>
      </c>
      <c r="CI16" s="38">
        <v>0.044</v>
      </c>
      <c r="CJ16" s="51">
        <f t="shared" si="52"/>
        <v>0.08917197452</v>
      </c>
      <c r="CK16" s="38">
        <v>0.084</v>
      </c>
      <c r="CL16" s="51">
        <f t="shared" si="53"/>
        <v>0.3123966942</v>
      </c>
      <c r="CM16" s="38">
        <v>0.473</v>
      </c>
      <c r="CN16" s="51">
        <f t="shared" si="54"/>
        <v>0.335832084</v>
      </c>
      <c r="CO16" s="38">
        <v>0.17</v>
      </c>
      <c r="CP16" s="51">
        <f t="shared" si="55"/>
        <v>0.6066878981</v>
      </c>
      <c r="CQ16" s="51">
        <f t="shared" si="56"/>
        <v>0.3141537382</v>
      </c>
      <c r="CR16" s="52">
        <f t="shared" si="57"/>
        <v>0.3736842908</v>
      </c>
      <c r="CS16" s="53">
        <f t="shared" si="58"/>
        <v>0.3546039548</v>
      </c>
      <c r="CT16" s="54">
        <f t="shared" si="59"/>
        <v>0.2073697486</v>
      </c>
      <c r="CU16" s="55">
        <f t="shared" si="60"/>
        <v>-0.02897482366</v>
      </c>
      <c r="CV16" s="34">
        <f t="shared" si="61"/>
        <v>0.6759329455</v>
      </c>
      <c r="CW16" s="34">
        <f t="shared" si="62"/>
        <v>0.3558253818</v>
      </c>
      <c r="CX16" s="35">
        <f t="shared" si="63"/>
        <v>0.1973746351</v>
      </c>
      <c r="CY16" s="38">
        <f>IFERROR(__xludf.DUMMYFUNCTION("(GOOGLEFINANCE(B16,""price"")/INDEX(GOOGLEFINANCE(B16,""price"",TODAY()-30),2,2))-1"),0.11996468380973413)</f>
        <v>0.1199646838</v>
      </c>
      <c r="CZ16" s="38">
        <f>IFERROR(__xludf.DUMMYFUNCTION("(GOOGLEFINANCE($B16,""price"")/INDEX(GOOGLEFINANCE($B16,""price"",TODAY()-180),2,2))-1"),0.08277094614420233)</f>
        <v>0.08277094614</v>
      </c>
      <c r="DA16" s="38">
        <f>IFERROR(__xludf.DUMMYFUNCTION("(GOOGLEFINANCE($B16,""price"")/INDEX(GOOGLEFINANCE($B16,""price"",TODAY()-365),2,2))-1"),0.17395956849929162)</f>
        <v>0.1739595685</v>
      </c>
      <c r="DB16" s="38">
        <f>IFERROR(__xludf.DUMMYFUNCTION("(GOOGLEFINANCE($B16,""price"")/INDEX(GOOGLEFINANCE($B16,""price"",TODAY()-365*5),2,2))-1"),1.9337958947672735)</f>
        <v>1.933795895</v>
      </c>
      <c r="DC16" s="38">
        <f>IFERROR(__xludf.DUMMYFUNCTION("(INDEX(GOOGLEFINANCE(B16, ""price"", TODAY()-30, TODAY()), ROWS(GOOGLEFINANCE(B16, ""price"", TODAY()-30, TODAY())), 2) / INDEX(GOOGLEFINANCE(B16, ""price"", TODAY()-30, TODAY()), 2, 2)) - 1"),0.11996468380973413)</f>
        <v>0.1199646838</v>
      </c>
      <c r="DD16" s="38">
        <f>IFERROR(__xludf.DUMMYFUNCTION("(INDEX(GOOGLEFINANCE(B16, ""price"", TODAY()-7, TODAY()), ROWS(GOOGLEFINANCE(B16, ""price"", TODAY()-7, TODAY())), 2) / INDEX(GOOGLEFINANCE(B16, ""price"", TODAY()-7, TODAY()), 2, 2)) - 1"),0.03680621184644073)</f>
        <v>0.03680621185</v>
      </c>
    </row>
    <row r="17">
      <c r="A17" s="34" t="str">
        <f>IFERROR(__xludf.DUMMYFUNCTION("GOOGLEFINANCE(B17,""name"")"),"CVS Health Corp")</f>
        <v>CVS Health Corp</v>
      </c>
      <c r="B17" s="45" t="s">
        <v>117</v>
      </c>
      <c r="C17" s="45" t="s">
        <v>93</v>
      </c>
      <c r="D17" s="35" t="s">
        <v>94</v>
      </c>
      <c r="E17" s="57">
        <v>3.0</v>
      </c>
      <c r="F17" s="35">
        <f>IFERROR(__xludf.DUMMYFUNCTION("IFERROR(MIN(INDEX(GOOGLEFINANCE(B17,""close"",TODAY()-100,TODAY()),0,2)) * GOOGLEFINANCE(""CURRENCY:USDEUR""),""Error en datos"")"),51.3690232)</f>
        <v>51.3690232</v>
      </c>
      <c r="G17" s="35">
        <f>IFERROR(__xludf.DUMMYFUNCTION("IFERROR(MAX(INDEX(GOOGLEFINANCE(B17,""close"",TODAY()-100,TODAY()),0,2)) * GOOGLEFINANCE(""CURRENCY:USDEUR""),""Error en datos"")"),60.044604400000004)</f>
        <v>60.0446044</v>
      </c>
      <c r="H17" s="35">
        <f>IFERROR(__xludf.DUMMYFUNCTION("IFERROR(AVERAGE(INDEX(GOOGLEFINANCE(B17,""close"",TODAY()-20,TODAY()),0,2)) * GOOGLEFINANCE(""CURRENCY:USDEUR""),""Error en datos"")"),57.51142946153847)</f>
        <v>57.51142946</v>
      </c>
      <c r="I17" s="35">
        <f>IFERROR(__xludf.DUMMYFUNCTION("IFERROR(PERCENTILE(INDEX(GOOGLEFINANCE(B17,""close"",TODAY()-365,TODAY()),0,2),0.05) * GOOGLEFINANCE(""CURRENCY:USDEUR""),""Error en datos"")"),39.18214168)</f>
        <v>39.18214168</v>
      </c>
      <c r="J17" s="35">
        <f>IFERROR(__xludf.DUMMYFUNCTION("AVERAGE(INDEX(GOOGLEFINANCE(B17,""price"",TODAY()-20,TODAY(),""DAILY""),0,2))+(2*STDEV(INDEX(GOOGLEFINANCE(B17,""price"",TODAY()-20,TODAY(),""DAILY""),0,2)))"),69.90277893709191)</f>
        <v>69.90277894</v>
      </c>
      <c r="K17" s="35">
        <f>IFERROR(__xludf.DUMMYFUNCTION("AVERAGE(INDEX(GOOGLEFINANCE(B17,""price"",TODAY()-20,TODAY(),""DAILY""),0,2))-(2*STDEV(INDEX(GOOGLEFINANCE(B17,""price"",TODAY()-20,TODAY(),""DAILY""),0,2)))"),64.53568260136964)</f>
        <v>64.5356826</v>
      </c>
      <c r="L17" s="45">
        <v>1619.0</v>
      </c>
      <c r="M17" s="35">
        <f t="shared" si="1"/>
        <v>0.283468739</v>
      </c>
      <c r="N17" s="45">
        <v>-33.33</v>
      </c>
      <c r="O17" s="35">
        <f t="shared" si="2"/>
        <v>0.2963111111</v>
      </c>
      <c r="P17" s="45">
        <v>4.23</v>
      </c>
      <c r="Q17" s="35">
        <f t="shared" si="3"/>
        <v>0.2316460587</v>
      </c>
      <c r="R17" s="35" t="str">
        <f>IFERROR(__xludf.DUMMYFUNCTION("IF(B17="""", """", SPARKLINE(INDEX(GOOGLEFINANCE(B17, ""price"", TODAY()-1825, TODAY()), 0, 2)))"),"")</f>
        <v/>
      </c>
      <c r="S17" s="35">
        <f t="shared" si="4"/>
        <v>51.69561583</v>
      </c>
      <c r="T17" s="35">
        <f t="shared" si="5"/>
        <v>69.30502284</v>
      </c>
      <c r="U17" s="34" t="str">
        <f t="shared" si="6"/>
        <v/>
      </c>
      <c r="V17" s="37">
        <f t="shared" si="7"/>
        <v>0.07213100208</v>
      </c>
      <c r="W17" s="37">
        <f t="shared" si="8"/>
        <v>-0.2101545642</v>
      </c>
      <c r="X17" s="34">
        <f>IFERROR(__xludf.DUMMYFUNCTION("AJ17*GOOGLEFINANCE(""CURRENCY:USD/EUR"")"),55.4244724)</f>
        <v>55.4244724</v>
      </c>
      <c r="Y17" s="35">
        <f>IFERROR(__xludf.DUMMYFUNCTION("AI17*GOOGLEFINANCE(""CURRENCY:USD/EUR"")"),70.17128907555839)</f>
        <v>70.17128908</v>
      </c>
      <c r="Z17" s="38">
        <f t="shared" si="9"/>
        <v>0.2504408223</v>
      </c>
      <c r="AA17" s="38">
        <f t="shared" si="10"/>
        <v>0.3060704926</v>
      </c>
      <c r="AB17" s="38">
        <f t="shared" si="11"/>
        <v>0.1101461438</v>
      </c>
      <c r="AC17" s="41">
        <v>71.0</v>
      </c>
      <c r="AD17" s="40">
        <f t="shared" si="12"/>
        <v>0.3244150507</v>
      </c>
      <c r="AE17" s="41">
        <v>80.0</v>
      </c>
      <c r="AF17" s="41">
        <f t="shared" si="13"/>
        <v>0.346532818</v>
      </c>
      <c r="AG17" s="41">
        <v>95.0</v>
      </c>
      <c r="AH17" s="41">
        <f t="shared" si="14"/>
        <v>0.3290521313</v>
      </c>
      <c r="AI17" s="41">
        <f t="shared" si="15"/>
        <v>82.01604651</v>
      </c>
      <c r="AJ17" s="34">
        <f>IFERROR(__xludf.DUMMYFUNCTION("GOOGLEFINANCE(B17,""price"")"),64.78)</f>
        <v>64.78</v>
      </c>
      <c r="AK17" s="37">
        <f t="shared" si="65"/>
        <v>0.2973696657</v>
      </c>
      <c r="AL17" s="34">
        <v>66.97</v>
      </c>
      <c r="AM17" s="34">
        <f t="shared" si="16"/>
        <v>62.4489802</v>
      </c>
      <c r="AN17" s="34">
        <f t="shared" si="17"/>
        <v>67.87660305</v>
      </c>
      <c r="AO17" s="38">
        <f>IFERROR(__xludf.DUMMYFUNCTION("(GOOGLEFINANCE(B17, ""price"") - INDEX(GOOGLEFINANCE(B17, ""price"", DATE(2025,5,9)), 2, 2)) / INDEX(GOOGLEFINANCE(B17, ""price"", DATE(2025,5,8)), 2, 2)"),-0.03227708179808398)</f>
        <v>-0.0322770818</v>
      </c>
      <c r="AP17" s="37">
        <f t="shared" si="18"/>
        <v>0.2246684562</v>
      </c>
      <c r="AQ17" s="37">
        <f t="shared" si="19"/>
        <v>-0.0327012095</v>
      </c>
      <c r="AR17" s="37">
        <f t="shared" si="20"/>
        <v>0.2573696657</v>
      </c>
      <c r="AS17" s="34">
        <f>IFERROR(__xludf.DUMMYFUNCTION("IF(X17&lt;K17,1,IF(X17&gt;J17,-1,0)) + IF(X17&lt;F17,1,IF(X17&gt;G17,-1,0)) + IF(X17&lt;I17,1,IF(X17&gt;I17,-1,0)) + IF(X17&lt;H17,1,IF(X17&gt;H17,-1,0))"),1.0)</f>
        <v>1</v>
      </c>
      <c r="AT17" s="34" t="str">
        <f t="shared" si="21"/>
        <v>recompra</v>
      </c>
      <c r="AU17" s="35" t="str">
        <f t="shared" si="22"/>
        <v>compra</v>
      </c>
      <c r="AV17" s="35" t="str">
        <f t="shared" si="23"/>
        <v>compra</v>
      </c>
      <c r="AW17" s="38">
        <f t="shared" si="24"/>
        <v>0.2660704926</v>
      </c>
      <c r="AX17" s="38">
        <f t="shared" si="25"/>
        <v>0.1725028718</v>
      </c>
      <c r="AY17" s="38">
        <f t="shared" si="26"/>
        <v>0.1851061514</v>
      </c>
      <c r="AZ17" s="42">
        <f t="shared" si="27"/>
        <v>0.2106087695</v>
      </c>
      <c r="BA17" s="38">
        <f t="shared" si="28"/>
        <v>0.7788634347</v>
      </c>
      <c r="BB17" s="38">
        <f t="shared" si="29"/>
        <v>0.2211365653</v>
      </c>
      <c r="BC17" s="38">
        <f t="shared" si="30"/>
        <v>0.1267401835</v>
      </c>
      <c r="BD17" s="38">
        <f t="shared" si="31"/>
        <v>0.4815931919</v>
      </c>
      <c r="BE17" s="38">
        <f t="shared" si="32"/>
        <v>0.5184068081</v>
      </c>
      <c r="BF17" s="38">
        <f t="shared" si="33"/>
        <v>0.3549876833</v>
      </c>
      <c r="BG17" s="37">
        <f t="shared" si="34"/>
        <v>0.1803536056</v>
      </c>
      <c r="BH17" s="43">
        <f t="shared" si="35"/>
        <v>0.1827298785</v>
      </c>
      <c r="BI17" s="44">
        <f t="shared" si="36"/>
        <v>0.4517551169</v>
      </c>
      <c r="BJ17" s="38">
        <f t="shared" si="37"/>
        <v>0.4817278668</v>
      </c>
      <c r="BK17" s="43">
        <f t="shared" si="38"/>
        <v>0.5282516593</v>
      </c>
      <c r="BL17" s="45">
        <v>84.72</v>
      </c>
      <c r="BM17" s="46">
        <f t="shared" si="39"/>
        <v>0.02675484791</v>
      </c>
      <c r="BN17" s="38">
        <v>0.04</v>
      </c>
      <c r="BO17" s="45">
        <v>376.74</v>
      </c>
      <c r="BP17" s="47">
        <f t="shared" si="40"/>
        <v>0.5531846152</v>
      </c>
      <c r="BQ17" s="45">
        <v>4.19</v>
      </c>
      <c r="BR17" s="47">
        <f t="shared" si="41"/>
        <v>0.1788491446</v>
      </c>
      <c r="BS17" s="38">
        <v>0.025</v>
      </c>
      <c r="BT17" s="47">
        <f t="shared" si="42"/>
        <v>0.3960489182</v>
      </c>
      <c r="BU17" s="45">
        <v>1.1</v>
      </c>
      <c r="BV17" s="47">
        <f t="shared" si="43"/>
        <v>0.9455445545</v>
      </c>
      <c r="BW17" s="48">
        <f t="shared" si="44"/>
        <v>1.177434881</v>
      </c>
      <c r="BX17" s="49">
        <f t="shared" si="45"/>
        <v>0.7207803553</v>
      </c>
      <c r="BY17" s="47">
        <f t="shared" si="46"/>
        <v>0.5184068081</v>
      </c>
      <c r="BZ17" s="38">
        <v>0.047</v>
      </c>
      <c r="CA17" s="50">
        <f t="shared" si="47"/>
        <v>0.0987654321</v>
      </c>
      <c r="CB17" s="38">
        <v>-0.182</v>
      </c>
      <c r="CC17" s="50">
        <f t="shared" si="48"/>
        <v>0.1246172688</v>
      </c>
      <c r="CD17" s="38">
        <v>-0.266</v>
      </c>
      <c r="CE17" s="50">
        <f t="shared" si="49"/>
        <v>0.6767825411</v>
      </c>
      <c r="CF17" s="50">
        <f t="shared" si="50"/>
        <v>0.3000550807</v>
      </c>
      <c r="CG17" s="38">
        <v>-0.054</v>
      </c>
      <c r="CH17" s="51">
        <f t="shared" si="51"/>
        <v>0.1158475426</v>
      </c>
      <c r="CI17" s="38">
        <v>0.076</v>
      </c>
      <c r="CJ17" s="51">
        <f t="shared" si="52"/>
        <v>0.1299363057</v>
      </c>
      <c r="CK17" s="38">
        <v>-0.037</v>
      </c>
      <c r="CL17" s="51">
        <f t="shared" si="53"/>
        <v>0.2123966942</v>
      </c>
      <c r="CM17" s="38">
        <v>0.085</v>
      </c>
      <c r="CN17" s="51">
        <f t="shared" si="54"/>
        <v>0.1419290355</v>
      </c>
      <c r="CO17" s="38">
        <v>0.043</v>
      </c>
      <c r="CP17" s="51">
        <f t="shared" si="55"/>
        <v>0.5055732484</v>
      </c>
      <c r="CQ17" s="51">
        <f t="shared" si="56"/>
        <v>0.2211365653</v>
      </c>
      <c r="CR17" s="52">
        <f t="shared" si="57"/>
        <v>0.346532818</v>
      </c>
      <c r="CS17" s="53">
        <f t="shared" si="58"/>
        <v>0.2737236619</v>
      </c>
      <c r="CT17" s="54">
        <f t="shared" si="59"/>
        <v>0.3598718152</v>
      </c>
      <c r="CU17" s="55">
        <f t="shared" si="60"/>
        <v>0.1385110968</v>
      </c>
      <c r="CV17" s="34">
        <f t="shared" si="61"/>
        <v>1.593747739</v>
      </c>
      <c r="CW17" s="34">
        <f t="shared" si="62"/>
        <v>0.5717033438</v>
      </c>
      <c r="CX17" s="35">
        <f t="shared" si="63"/>
        <v>0.2639785849</v>
      </c>
      <c r="CY17" s="38">
        <f>IFERROR(__xludf.DUMMYFUNCTION("(GOOGLEFINANCE(B17,""price"")/INDEX(GOOGLEFINANCE(B17,""price"",TODAY()-30),2,2))-1"),-0.04327278097769893)</f>
        <v>-0.04327278098</v>
      </c>
      <c r="CZ17" s="38">
        <f>IFERROR(__xludf.DUMMYFUNCTION("(GOOGLEFINANCE($B17,""price"")/INDEX(GOOGLEFINANCE($B17,""price"",TODAY()-180),2,2))-1"),0.24242424242424243)</f>
        <v>0.2424242424</v>
      </c>
      <c r="DA17" s="38">
        <f>IFERROR(__xludf.DUMMYFUNCTION("(GOOGLEFINANCE($B17,""price"")/INDEX(GOOGLEFINANCE($B17,""price"",TODAY()-365),2,2))-1"),0.1041418101244247)</f>
        <v>0.1041418101</v>
      </c>
      <c r="DB17" s="38">
        <f>IFERROR(__xludf.DUMMYFUNCTION("(GOOGLEFINANCE($B17,""price"")/INDEX(GOOGLEFINANCE($B17,""price"",TODAY()-365*5),2,2))-1"),0.003096934035305088)</f>
        <v>0.003096934035</v>
      </c>
      <c r="DC17" s="38">
        <f>IFERROR(__xludf.DUMMYFUNCTION("(INDEX(GOOGLEFINANCE(B17, ""price"", TODAY()-30, TODAY()), ROWS(GOOGLEFINANCE(B17, ""price"", TODAY()-30, TODAY())), 2) / INDEX(GOOGLEFINANCE(B17, ""price"", TODAY()-30, TODAY()), 2, 2)) - 1"),-0.04327278097769893)</f>
        <v>-0.04327278098</v>
      </c>
      <c r="DD17" s="38">
        <f>IFERROR(__xludf.DUMMYFUNCTION("(INDEX(GOOGLEFINANCE(B17, ""price"", TODAY()-7, TODAY()), ROWS(GOOGLEFINANCE(B17, ""price"", TODAY()-7, TODAY())), 2) / INDEX(GOOGLEFINANCE(B17, ""price"", TODAY()-7, TODAY()), 2, 2)) - 1"),-0.028494301139772138)</f>
        <v>-0.02849430114</v>
      </c>
    </row>
    <row r="18">
      <c r="A18" s="34" t="str">
        <f>IFERROR(__xludf.DUMMYFUNCTION("GOOGLEFINANCE(B18,""name"")"),"Deckers Outdoor Corp")</f>
        <v>Deckers Outdoor Corp</v>
      </c>
      <c r="B18" s="35" t="s">
        <v>118</v>
      </c>
      <c r="C18" s="35" t="s">
        <v>119</v>
      </c>
      <c r="D18" s="35" t="s">
        <v>94</v>
      </c>
      <c r="E18" s="56">
        <v>2.0</v>
      </c>
      <c r="F18" s="35">
        <f>IFERROR(__xludf.DUMMYFUNCTION("IFERROR(MIN(INDEX(GOOGLEFINANCE(B18,""close"",TODAY()-100,TODAY()),0,2)) * GOOGLEFINANCE(""CURRENCY:USDEUR""),""Error en datos"")"),85.9344552)</f>
        <v>85.9344552</v>
      </c>
      <c r="G18" s="35">
        <f>IFERROR(__xludf.DUMMYFUNCTION("IFERROR(MAX(INDEX(GOOGLEFINANCE(B18,""close"",TODAY()-100,TODAY()),0,2)) * GOOGLEFINANCE(""CURRENCY:USDEUR""),""Error en datos"")"),110.68638460000001)</f>
        <v>110.6863846</v>
      </c>
      <c r="H18" s="35">
        <f>IFERROR(__xludf.DUMMYFUNCTION("IFERROR(AVERAGE(INDEX(GOOGLEFINANCE(B18,""close"",TODAY()-20,TODAY()),0,2)) * GOOGLEFINANCE(""CURRENCY:USDEUR""),""Error en datos"")"),89.04284315384616)</f>
        <v>89.04284315</v>
      </c>
      <c r="I18" s="35">
        <f>IFERROR(__xludf.DUMMYFUNCTION("IFERROR(PERCENTILE(INDEX(GOOGLEFINANCE(B18,""close"",TODAY()-365,TODAY()),0,2),0.05) * GOOGLEFINANCE(""CURRENCY:USDEUR""),""Error en datos"")"),88.15896319999999)</f>
        <v>88.1589632</v>
      </c>
      <c r="J18" s="35">
        <f>IFERROR(__xludf.DUMMYFUNCTION("AVERAGE(INDEX(GOOGLEFINANCE(B18,""price"",TODAY()-20,TODAY(),""DAILY""),0,2))+(2*STDEV(INDEX(GOOGLEFINANCE(B18,""price"",TODAY()-20,TODAY(),""DAILY""),0,2)))"),107.75039827260466)</f>
        <v>107.7503983</v>
      </c>
      <c r="K18" s="35">
        <f>IFERROR(__xludf.DUMMYFUNCTION("AVERAGE(INDEX(GOOGLEFINANCE(B18,""price"",TODAY()-20,TODAY(),""DAILY""),0,2))-(2*STDEV(INDEX(GOOGLEFINANCE(B18,""price"",TODAY()-20,TODAY(),""DAILY""),0,2)))"),100.39575557354922)</f>
        <v>100.3957556</v>
      </c>
      <c r="L18" s="35">
        <v>912.0</v>
      </c>
      <c r="M18" s="35">
        <f t="shared" si="1"/>
        <v>0.158601201</v>
      </c>
      <c r="N18" s="35">
        <v>-25.0</v>
      </c>
      <c r="O18" s="35">
        <f t="shared" si="2"/>
        <v>0.3333333333</v>
      </c>
      <c r="P18" s="35">
        <v>-2.41</v>
      </c>
      <c r="Q18" s="35">
        <f t="shared" si="3"/>
        <v>0.1033616692</v>
      </c>
      <c r="R18" s="35" t="str">
        <f>IFERROR(__xludf.DUMMYFUNCTION("IF(B18="""", """", SPARKLINE(INDEX(GOOGLEFINANCE(B18, ""price"", TODAY()-1825, TODAY()), 0, 2)))"),"")</f>
        <v/>
      </c>
      <c r="S18" s="35">
        <f t="shared" si="4"/>
        <v>91.49639132</v>
      </c>
      <c r="T18" s="35">
        <f t="shared" si="5"/>
        <v>107.6537884</v>
      </c>
      <c r="U18" s="34" t="str">
        <f t="shared" si="6"/>
        <v>Compra</v>
      </c>
      <c r="V18" s="37">
        <f t="shared" si="7"/>
        <v>-0.04872583345</v>
      </c>
      <c r="W18" s="37">
        <f t="shared" si="8"/>
        <v>-0.189142447</v>
      </c>
      <c r="X18" s="34">
        <f>IFERROR(__xludf.DUMMYFUNCTION("AJ18*GOOGLEFINANCE(""CURRENCY:USD/EUR"")"),87.0381534)</f>
        <v>87.0381534</v>
      </c>
      <c r="Y18" s="35">
        <f>IFERROR(__xludf.DUMMYFUNCTION("AI18*GOOGLEFINANCE(""CURRENCY:USD/EUR"")"),107.3408677993726)</f>
        <v>107.3408678</v>
      </c>
      <c r="Z18" s="38">
        <f t="shared" si="9"/>
        <v>0.2368574493</v>
      </c>
      <c r="AA18" s="38">
        <f t="shared" si="10"/>
        <v>0.2332622374</v>
      </c>
      <c r="AB18" s="38">
        <f t="shared" si="11"/>
        <v>0.08550470758</v>
      </c>
      <c r="AC18" s="41">
        <v>90.0</v>
      </c>
      <c r="AD18" s="40">
        <f t="shared" si="12"/>
        <v>0.3314134619</v>
      </c>
      <c r="AE18" s="41">
        <v>126.7</v>
      </c>
      <c r="AF18" s="41">
        <f t="shared" si="13"/>
        <v>0.4103680639</v>
      </c>
      <c r="AG18" s="41">
        <v>169.0</v>
      </c>
      <c r="AH18" s="41">
        <f t="shared" si="14"/>
        <v>0.2582184742</v>
      </c>
      <c r="AI18" s="41">
        <f t="shared" si="15"/>
        <v>125.4597674</v>
      </c>
      <c r="AJ18" s="34">
        <f>IFERROR(__xludf.DUMMYFUNCTION("GOOGLEFINANCE(B18,""price"")"),101.73)</f>
        <v>101.73</v>
      </c>
      <c r="AK18" s="37">
        <f>AP18+BN18</f>
        <v>0.03805864147</v>
      </c>
      <c r="AL18" s="34">
        <v>120.86</v>
      </c>
      <c r="AM18" s="34">
        <f t="shared" si="16"/>
        <v>88.97905034</v>
      </c>
      <c r="AN18" s="34">
        <f t="shared" si="17"/>
        <v>90.35070727</v>
      </c>
      <c r="AO18" s="38">
        <f>IFERROR(__xludf.DUMMYFUNCTION("(GOOGLEFINANCE(B18, ""price"") - INDEX(GOOGLEFINANCE(B18, ""price"", DATE(2025,5,8)), 2, 2)) / INDEX(GOOGLEFINANCE(B18, ""price"", DATE(2025,5,8)), 2, 2)"),-0.19017672345167966)</f>
        <v>-0.1901767235</v>
      </c>
      <c r="AP18" s="37">
        <f t="shared" si="18"/>
        <v>0.03805864147</v>
      </c>
      <c r="AQ18" s="37">
        <f t="shared" si="19"/>
        <v>-0.1582823101</v>
      </c>
      <c r="AR18" s="37">
        <f t="shared" si="20"/>
        <v>0.1963409516</v>
      </c>
      <c r="AS18" s="34">
        <f>IFERROR(__xludf.DUMMYFUNCTION("IF(X18&lt;K18,1,IF(X18&gt;J18,-1,0)) + IF(X18&lt;F18,1,IF(X18&gt;G18,-1,0)) + IF(X18&lt;I18,1,IF(X18&gt;I18,-1,0)) + IF(X18&lt;H18,1,IF(X18&gt;H18,-1,0))"),3.0)</f>
        <v>3</v>
      </c>
      <c r="AT18" s="34" t="str">
        <f t="shared" si="21"/>
        <v>recompra</v>
      </c>
      <c r="AU18" s="35" t="str">
        <f t="shared" si="22"/>
        <v>compra</v>
      </c>
      <c r="AV18" s="35" t="str">
        <f t="shared" si="23"/>
        <v>venta</v>
      </c>
      <c r="AW18" s="38">
        <f t="shared" si="24"/>
        <v>0.2332622374</v>
      </c>
      <c r="AX18" s="38">
        <f t="shared" si="25"/>
        <v>-0.04655259887</v>
      </c>
      <c r="AY18" s="38">
        <f t="shared" si="26"/>
        <v>-0.04411056076</v>
      </c>
      <c r="AZ18" s="42">
        <f t="shared" si="27"/>
        <v>0.1794203114</v>
      </c>
      <c r="BA18" s="38">
        <f t="shared" si="28"/>
        <v>0.6185690455</v>
      </c>
      <c r="BB18" s="38">
        <f t="shared" si="29"/>
        <v>0.3814309545</v>
      </c>
      <c r="BC18" s="38">
        <f t="shared" si="30"/>
        <v>0.022299381</v>
      </c>
      <c r="BD18" s="38">
        <f t="shared" si="31"/>
        <v>0.545453791</v>
      </c>
      <c r="BE18" s="38">
        <f t="shared" si="32"/>
        <v>0.454546209</v>
      </c>
      <c r="BF18" s="38">
        <f t="shared" si="33"/>
        <v>0.4344569413</v>
      </c>
      <c r="BG18" s="37">
        <f t="shared" si="34"/>
        <v>0.1304624617</v>
      </c>
      <c r="BH18" s="43">
        <f t="shared" si="35"/>
        <v>0.04317595046</v>
      </c>
      <c r="BI18" s="44">
        <f t="shared" si="36"/>
        <v>0.5029829794</v>
      </c>
      <c r="BJ18" s="38">
        <f t="shared" si="37"/>
        <v>0.4567563223</v>
      </c>
      <c r="BK18" s="43">
        <f t="shared" si="38"/>
        <v>-0.2611253364</v>
      </c>
      <c r="BL18" s="59">
        <v>18.34</v>
      </c>
      <c r="BM18" s="46">
        <f t="shared" si="39"/>
        <v>0.005759614381</v>
      </c>
      <c r="BN18" s="38">
        <v>0.0</v>
      </c>
      <c r="BO18" s="59">
        <v>4.92</v>
      </c>
      <c r="BP18" s="47">
        <f t="shared" si="40"/>
        <v>0.00713729752</v>
      </c>
      <c r="BQ18" s="59">
        <v>6.15</v>
      </c>
      <c r="BR18" s="47">
        <f t="shared" si="41"/>
        <v>0.2223950233</v>
      </c>
      <c r="BS18" s="60">
        <v>0.235</v>
      </c>
      <c r="BT18" s="47">
        <f t="shared" si="42"/>
        <v>0.5936030103</v>
      </c>
      <c r="BU18" s="59">
        <v>0.1</v>
      </c>
      <c r="BV18" s="47">
        <f t="shared" si="43"/>
        <v>0.995049505</v>
      </c>
      <c r="BW18" s="48">
        <f t="shared" si="44"/>
        <v>2.056142685</v>
      </c>
      <c r="BX18" s="49">
        <f t="shared" si="45"/>
        <v>0.9627900084</v>
      </c>
      <c r="BY18" s="47">
        <f t="shared" si="46"/>
        <v>0.454546209</v>
      </c>
      <c r="BZ18" s="60">
        <v>0.195</v>
      </c>
      <c r="CA18" s="50">
        <f t="shared" si="47"/>
        <v>0.2205761317</v>
      </c>
      <c r="CB18" s="60">
        <v>0.297</v>
      </c>
      <c r="CC18" s="50">
        <f t="shared" si="48"/>
        <v>0.271279853</v>
      </c>
      <c r="CD18" s="60">
        <v>0.337</v>
      </c>
      <c r="CE18" s="50">
        <f t="shared" si="49"/>
        <v>0.6935251</v>
      </c>
      <c r="CF18" s="50">
        <f t="shared" si="50"/>
        <v>0.3951270282</v>
      </c>
      <c r="CG18" s="60">
        <v>0.303</v>
      </c>
      <c r="CH18" s="51">
        <f t="shared" si="51"/>
        <v>0.294884654</v>
      </c>
      <c r="CI18" s="60">
        <v>0.18</v>
      </c>
      <c r="CJ18" s="51">
        <f t="shared" si="52"/>
        <v>0.2624203822</v>
      </c>
      <c r="CK18" s="60">
        <v>0.254</v>
      </c>
      <c r="CL18" s="51">
        <f t="shared" si="53"/>
        <v>0.452892562</v>
      </c>
      <c r="CM18" s="60">
        <v>0.342</v>
      </c>
      <c r="CN18" s="51">
        <f t="shared" si="54"/>
        <v>0.2703648176</v>
      </c>
      <c r="CO18" s="60">
        <v>0.195</v>
      </c>
      <c r="CP18" s="51">
        <f t="shared" si="55"/>
        <v>0.6265923567</v>
      </c>
      <c r="CQ18" s="51">
        <f t="shared" si="56"/>
        <v>0.3814309545</v>
      </c>
      <c r="CR18" s="52">
        <f t="shared" si="57"/>
        <v>0.4103680639</v>
      </c>
      <c r="CS18" s="53">
        <f t="shared" si="58"/>
        <v>0.1884743511</v>
      </c>
      <c r="CT18" s="54">
        <f t="shared" si="59"/>
        <v>0.3665604366</v>
      </c>
      <c r="CU18" s="55">
        <f t="shared" si="60"/>
        <v>0.02008669389</v>
      </c>
      <c r="CV18" s="34">
        <f t="shared" si="61"/>
        <v>1.935284007</v>
      </c>
      <c r="CW18" s="34">
        <f t="shared" si="62"/>
        <v>0.6890050337</v>
      </c>
      <c r="CX18" s="35">
        <f t="shared" si="63"/>
        <v>0.2183475013</v>
      </c>
      <c r="CY18" s="38">
        <f>IFERROR(__xludf.DUMMYFUNCTION("(GOOGLEFINANCE(B18,""price"")/INDEX(GOOGLEFINANCE(B18,""price"",TODAY()-30),2,2))-1"),-0.01833445913345544)</f>
        <v>-0.01833445913</v>
      </c>
      <c r="CZ18" s="38">
        <f>IFERROR(__xludf.DUMMYFUNCTION("(GOOGLEFINANCE($B18,""price"")/INDEX(GOOGLEFINANCE($B18,""price"",TODAY()-180),2,2))-1"),-0.5006626417317037)</f>
        <v>-0.5006626417</v>
      </c>
      <c r="DA18" s="38">
        <f>IFERROR(__xludf.DUMMYFUNCTION("(GOOGLEFINANCE($B18,""price"")/INDEX(GOOGLEFINANCE($B18,""price"",TODAY()-365),2,2))-1"),-0.32148335890082036)</f>
        <v>-0.3214833589</v>
      </c>
      <c r="DB18" s="38">
        <f>IFERROR(__xludf.DUMMYFUNCTION("(GOOGLEFINANCE($B18,""price"")/INDEX(GOOGLEFINANCE($B18,""price"",TODAY()-365*5),2,2))-1"),2.0222816399286994)</f>
        <v>2.02228164</v>
      </c>
      <c r="DC18" s="38">
        <f>IFERROR(__xludf.DUMMYFUNCTION("(INDEX(GOOGLEFINANCE(B18, ""price"", TODAY()-30, TODAY()), ROWS(GOOGLEFINANCE(B18, ""price"", TODAY()-30, TODAY())), 2) / INDEX(GOOGLEFINANCE(B18, ""price"", TODAY()-30, TODAY()), 2, 2)) - 1"),-0.01833445913345544)</f>
        <v>-0.01833445913</v>
      </c>
      <c r="DD18" s="38">
        <f>IFERROR(__xludf.DUMMYFUNCTION("(INDEX(GOOGLEFINANCE(B18, ""price"", TODAY()-7, TODAY()), ROWS(GOOGLEFINANCE(B18, ""price"", TODAY()-7, TODAY())), 2) / INDEX(GOOGLEFINANCE(B18, ""price"", TODAY()-7, TODAY()), 2, 2)) - 1"),-0.03801418439716309)</f>
        <v>-0.0380141844</v>
      </c>
    </row>
    <row r="19">
      <c r="A19" s="34" t="str">
        <f>IFERROR(__xludf.DUMMYFUNCTION("GOOGLEFINANCE(B19,""name"")"),"Doximity Inc")</f>
        <v>Doximity Inc</v>
      </c>
      <c r="B19" s="45" t="s">
        <v>120</v>
      </c>
      <c r="C19" s="45" t="s">
        <v>90</v>
      </c>
      <c r="D19" s="45" t="s">
        <v>121</v>
      </c>
      <c r="E19" s="64">
        <v>4.0</v>
      </c>
      <c r="F19" s="35">
        <f>IFERROR(__xludf.DUMMYFUNCTION("IFERROR(MIN(INDEX(GOOGLEFINANCE(B19,""close"",TODAY()-100,TODAY()),0,2)) * GOOGLEFINANCE(""CURRENCY:USDEUR""),""Error en datos"")"),43.3864618)</f>
        <v>43.3864618</v>
      </c>
      <c r="G19" s="35">
        <f>IFERROR(__xludf.DUMMYFUNCTION("IFERROR(MAX(INDEX(GOOGLEFINANCE(B19,""close"",TODAY()-100,TODAY()),0,2)) * GOOGLEFINANCE(""CURRENCY:USDEUR""),""Error en datos"")"),54.1239908)</f>
        <v>54.1239908</v>
      </c>
      <c r="H19" s="35">
        <f>IFERROR(__xludf.DUMMYFUNCTION("IFERROR(AVERAGE(INDEX(GOOGLEFINANCE(B19,""close"",TODAY()-20,TODAY()),0,2)) * GOOGLEFINANCE(""CURRENCY:USDEUR""),""Error en datos"")"),51.788915538461545)</f>
        <v>51.78891554</v>
      </c>
      <c r="I19" s="35">
        <f>IFERROR(__xludf.DUMMYFUNCTION("IFERROR(PERCENTILE(INDEX(GOOGLEFINANCE(B19,""close"",TODAY()-365,TODAY()),0,2),0.05) * GOOGLEFINANCE(""CURRENCY:USDEUR""),""Error en datos"")"),24.156445719999997)</f>
        <v>24.15644572</v>
      </c>
      <c r="J19" s="35">
        <f>IFERROR(__xludf.DUMMYFUNCTION("AVERAGE(INDEX(GOOGLEFINANCE(B19,""price"",TODAY()-20,TODAY(),""DAILY""),0,2))+(2*STDEV(INDEX(GOOGLEFINANCE(B19,""price"",TODAY()-20,TODAY(),""DAILY""),0,2)))"),63.17015630025414)</f>
        <v>63.1701563</v>
      </c>
      <c r="K19" s="35">
        <f>IFERROR(__xludf.DUMMYFUNCTION("AVERAGE(INDEX(GOOGLEFINANCE(B19,""price"",TODAY()-20,TODAY(),""DAILY""),0,2))-(2*STDEV(INDEX(GOOGLEFINANCE(B19,""price"",TODAY()-20,TODAY(),""DAILY""),0,2)))"),57.891382161284334)</f>
        <v>57.89138216</v>
      </c>
      <c r="L19" s="35">
        <v>477.0</v>
      </c>
      <c r="M19" s="35">
        <f t="shared" si="1"/>
        <v>0.08177322501</v>
      </c>
      <c r="N19" s="35">
        <v>8.0</v>
      </c>
      <c r="O19" s="35">
        <f t="shared" si="2"/>
        <v>0.48</v>
      </c>
      <c r="P19" s="35">
        <v>0.0</v>
      </c>
      <c r="Q19" s="35">
        <f t="shared" si="3"/>
        <v>0.1499227202</v>
      </c>
      <c r="R19" s="35" t="str">
        <f>IFERROR(__xludf.DUMMYFUNCTION("IF(B19="""", """", SPARKLINE(INDEX(GOOGLEFINANCE(B19, ""price"", TODAY()-1825, TODAY()), 0, 2)))"),"")</f>
        <v/>
      </c>
      <c r="S19" s="35">
        <f t="shared" si="4"/>
        <v>41.81142989</v>
      </c>
      <c r="T19" s="35">
        <f t="shared" si="5"/>
        <v>53.80328142</v>
      </c>
      <c r="U19" s="34" t="str">
        <f t="shared" si="6"/>
        <v/>
      </c>
      <c r="V19" s="37">
        <f t="shared" si="7"/>
        <v>0.231862104</v>
      </c>
      <c r="W19" s="37">
        <f t="shared" si="8"/>
        <v>-0.02514656935</v>
      </c>
      <c r="X19" s="34">
        <f>IFERROR(__xludf.DUMMYFUNCTION("AJ19*GOOGLEFINANCE(""CURRENCY:USD/EUR"")"),51.505916000000006)</f>
        <v>51.505916</v>
      </c>
      <c r="Y19" s="35">
        <f>IFERROR(__xludf.DUMMYFUNCTION("AI19*GOOGLEFINANCE(""CURRENCY:USD/EUR"")"),52.83452299646798)</f>
        <v>52.834523</v>
      </c>
      <c r="Z19" s="38">
        <f t="shared" si="9"/>
        <v>0.0446039135</v>
      </c>
      <c r="AA19" s="38">
        <f t="shared" si="10"/>
        <v>0.02579523091</v>
      </c>
      <c r="AB19" s="38">
        <f t="shared" si="11"/>
        <v>0.00605168111</v>
      </c>
      <c r="AC19" s="41">
        <v>50.0</v>
      </c>
      <c r="AD19" s="40">
        <f t="shared" si="12"/>
        <v>0.3323370244</v>
      </c>
      <c r="AE19" s="41">
        <v>62.0</v>
      </c>
      <c r="AF19" s="41">
        <f t="shared" si="13"/>
        <v>0.4598342426</v>
      </c>
      <c r="AG19" s="41">
        <v>80.0</v>
      </c>
      <c r="AH19" s="41">
        <f t="shared" si="14"/>
        <v>0.207828733</v>
      </c>
      <c r="AI19" s="41">
        <f t="shared" si="15"/>
        <v>61.7528729</v>
      </c>
      <c r="AJ19" s="34">
        <f>IFERROR(__xludf.DUMMYFUNCTION("GOOGLEFINANCE(B19,""price"")"),60.2)</f>
        <v>60.2</v>
      </c>
      <c r="AK19" s="37">
        <f t="shared" ref="AK19:AK20" si="66">AR19+BN19</f>
        <v>0.0298056219</v>
      </c>
      <c r="AL19" s="35">
        <v>52.1</v>
      </c>
      <c r="AM19" s="34">
        <f t="shared" si="16"/>
        <v>48.03749902</v>
      </c>
      <c r="AN19" s="34">
        <f t="shared" si="17"/>
        <v>61.04871947</v>
      </c>
      <c r="AO19" s="38">
        <f>IFERROR(__xludf.DUMMYFUNCTION("(GOOGLEFINANCE(B19, ""price"") - INDEX(GOOGLEFINANCE(B19, ""price"", DATE(2025,5,9)), 2, 2)) / INDEX(GOOGLEFINANCE(B19, ""price"", DATE(2025,5,8)), 2, 2)"),0.017017691659646252)</f>
        <v>0.01701769166</v>
      </c>
      <c r="AP19" s="37">
        <f t="shared" si="18"/>
        <v>0.1852758714</v>
      </c>
      <c r="AQ19" s="37">
        <f t="shared" si="19"/>
        <v>0.1554702495</v>
      </c>
      <c r="AR19" s="37">
        <f t="shared" si="20"/>
        <v>0.0298056219</v>
      </c>
      <c r="AS19" s="34">
        <f>IFERROR(__xludf.DUMMYFUNCTION("IF(X19&lt;K19,1,IF(X19&gt;J19,-1,0)) + IF(X19&lt;F19,1,IF(X19&gt;G19,-1,0)) + IF(X19&lt;I19,1,IF(X19&gt;I19,-1,0)) + IF(X19&lt;H19,1,IF(X19&gt;H19,-1,0))"),1.0)</f>
        <v>1</v>
      </c>
      <c r="AT19" s="34" t="str">
        <f t="shared" si="21"/>
        <v>Hold</v>
      </c>
      <c r="AU19" s="35" t="str">
        <f t="shared" si="22"/>
        <v>venta</v>
      </c>
      <c r="AV19" s="35" t="str">
        <f t="shared" si="23"/>
        <v>hold</v>
      </c>
      <c r="AW19" s="38">
        <f t="shared" si="24"/>
        <v>0.02579523091</v>
      </c>
      <c r="AX19" s="38">
        <f t="shared" si="25"/>
        <v>0.5831116834</v>
      </c>
      <c r="AY19" s="38">
        <f t="shared" si="26"/>
        <v>0.5705223519</v>
      </c>
      <c r="AZ19" s="42">
        <f t="shared" si="27"/>
        <v>0.06788967318</v>
      </c>
      <c r="BA19" s="38">
        <f t="shared" si="28"/>
        <v>0.4878231704</v>
      </c>
      <c r="BB19" s="38">
        <f t="shared" si="29"/>
        <v>0.5121768296</v>
      </c>
      <c r="BC19" s="38">
        <f t="shared" si="30"/>
        <v>-0.06734016686</v>
      </c>
      <c r="BD19" s="38">
        <f t="shared" si="31"/>
        <v>0.5338258415</v>
      </c>
      <c r="BE19" s="38">
        <f t="shared" si="32"/>
        <v>0.4661741585</v>
      </c>
      <c r="BF19" s="38">
        <f t="shared" si="33"/>
        <v>0.1692879544</v>
      </c>
      <c r="BG19" s="37">
        <f t="shared" si="34"/>
        <v>0.08480545261</v>
      </c>
      <c r="BH19" s="43">
        <f t="shared" si="35"/>
        <v>0.3276639023</v>
      </c>
      <c r="BI19" s="44">
        <f t="shared" si="36"/>
        <v>0.4641475568</v>
      </c>
      <c r="BJ19" s="38">
        <f t="shared" si="37"/>
        <v>0.1019477875</v>
      </c>
      <c r="BK19" s="43">
        <f t="shared" si="38"/>
        <v>1.077714928</v>
      </c>
      <c r="BL19" s="63">
        <v>9.58</v>
      </c>
      <c r="BM19" s="46">
        <f t="shared" si="39"/>
        <v>0.002988926738</v>
      </c>
      <c r="BN19" s="63">
        <v>0.0</v>
      </c>
      <c r="BO19" s="63">
        <v>0.57</v>
      </c>
      <c r="BP19" s="47">
        <f t="shared" si="40"/>
        <v>0.0007489756656</v>
      </c>
      <c r="BQ19" s="63">
        <v>1.11</v>
      </c>
      <c r="BR19" s="47">
        <f t="shared" si="41"/>
        <v>0.1104199067</v>
      </c>
      <c r="BS19" s="60">
        <v>0.405</v>
      </c>
      <c r="BT19" s="47">
        <f t="shared" si="42"/>
        <v>0.7535277516</v>
      </c>
      <c r="BU19" s="63">
        <v>0.0</v>
      </c>
      <c r="BV19" s="47">
        <f t="shared" si="43"/>
        <v>1</v>
      </c>
      <c r="BW19" s="48">
        <f t="shared" si="44"/>
        <v>0.6624049586</v>
      </c>
      <c r="BX19" s="49">
        <f t="shared" si="45"/>
        <v>0.6006312113</v>
      </c>
      <c r="BY19" s="47">
        <f t="shared" si="46"/>
        <v>0.4661741585</v>
      </c>
      <c r="BZ19" s="60">
        <v>0.2</v>
      </c>
      <c r="CA19" s="50">
        <f t="shared" si="47"/>
        <v>0.224691358</v>
      </c>
      <c r="CB19" s="60">
        <v>0.324</v>
      </c>
      <c r="CC19" s="50">
        <f t="shared" si="48"/>
        <v>0.2795468463</v>
      </c>
      <c r="CD19" s="60">
        <v>0.542</v>
      </c>
      <c r="CE19" s="50">
        <f t="shared" si="49"/>
        <v>0.6992170147</v>
      </c>
      <c r="CF19" s="50">
        <f t="shared" si="50"/>
        <v>0.4011517397</v>
      </c>
      <c r="CG19" s="60">
        <v>0.536</v>
      </c>
      <c r="CH19" s="51">
        <f t="shared" si="51"/>
        <v>0.4117352056</v>
      </c>
      <c r="CI19" s="60">
        <v>0.374</v>
      </c>
      <c r="CJ19" s="51">
        <f t="shared" si="52"/>
        <v>0.5095541401</v>
      </c>
      <c r="CK19" s="60">
        <v>0.585</v>
      </c>
      <c r="CL19" s="51">
        <f t="shared" si="53"/>
        <v>0.726446281</v>
      </c>
      <c r="CM19" s="60">
        <v>0.188</v>
      </c>
      <c r="CN19" s="51">
        <f t="shared" si="54"/>
        <v>0.1934032984</v>
      </c>
      <c r="CO19" s="60">
        <v>0.312</v>
      </c>
      <c r="CP19" s="51">
        <f t="shared" si="55"/>
        <v>0.7197452229</v>
      </c>
      <c r="CQ19" s="51">
        <f t="shared" si="56"/>
        <v>0.5121768296</v>
      </c>
      <c r="CR19" s="52">
        <f t="shared" si="57"/>
        <v>0.4598342426</v>
      </c>
      <c r="CS19" s="53">
        <f t="shared" si="58"/>
        <v>0.1983672926</v>
      </c>
      <c r="CT19" s="54">
        <f t="shared" si="59"/>
        <v>0.2346046496</v>
      </c>
      <c r="CU19" s="55">
        <f t="shared" si="60"/>
        <v>0.01135607315</v>
      </c>
      <c r="CV19" s="34">
        <f t="shared" si="61"/>
        <v>1.189948134</v>
      </c>
      <c r="CW19" s="34">
        <f t="shared" si="62"/>
        <v>0.5274041548</v>
      </c>
      <c r="CX19" s="35">
        <f t="shared" si="63"/>
        <v>0.3149613601</v>
      </c>
      <c r="CY19" s="38">
        <f>IFERROR(__xludf.DUMMYFUNCTION("(GOOGLEFINANCE(B19,""price"")/INDEX(GOOGLEFINANCE(B19,""price"",TODAY()-30),2,2))-1"),0.07576840600428891)</f>
        <v>0.075768406</v>
      </c>
      <c r="CZ19" s="38">
        <f>IFERROR(__xludf.DUMMYFUNCTION("(GOOGLEFINANCE($B19,""price"")/INDEX(GOOGLEFINANCE($B19,""price"",TODAY()-180),2,2))-1"),0.13649235416273364)</f>
        <v>0.1364923542</v>
      </c>
      <c r="DA19" s="38">
        <f>IFERROR(__xludf.DUMMYFUNCTION("(GOOGLEFINANCE($B19,""price"")/INDEX(GOOGLEFINANCE($B19,""price"",TODAY()-365),2,2))-1"),1.1152494729444835)</f>
        <v>1.115249473</v>
      </c>
      <c r="DB19" s="38" t="str">
        <f>IFERROR(__xludf.DUMMYFUNCTION("(GOOGLEFINANCE($B19,""price"")/INDEX(GOOGLEFINANCE($B19,""price"",TODAY()-365*5),2,2))-1"),"#N/A")</f>
        <v>#N/A</v>
      </c>
      <c r="DC19" s="38">
        <f>IFERROR(__xludf.DUMMYFUNCTION("(INDEX(GOOGLEFINANCE(B19, ""price"", TODAY()-30, TODAY()), ROWS(GOOGLEFINANCE(B19, ""price"", TODAY()-30, TODAY())), 2) / INDEX(GOOGLEFINANCE(B19, ""price"", TODAY()-30, TODAY()), 2, 2)) - 1"),0.07576840600428891)</f>
        <v>0.075768406</v>
      </c>
      <c r="DD19" s="38">
        <f>IFERROR(__xludf.DUMMYFUNCTION("(INDEX(GOOGLEFINANCE(B19, ""price"", TODAY()-7, TODAY()), ROWS(GOOGLEFINANCE(B19, ""price"", TODAY()-7, TODAY())), 2) / INDEX(GOOGLEFINANCE(B19, ""price"", TODAY()-7, TODAY()), 2, 2)) - 1"),-0.010844561288202326)</f>
        <v>-0.01084456129</v>
      </c>
    </row>
    <row r="20">
      <c r="A20" s="34" t="str">
        <f>IFERROR(__xludf.DUMMYFUNCTION("GOOGLEFINANCE(B20,""name"")"),"Dynatrace Inc")</f>
        <v>Dynatrace Inc</v>
      </c>
      <c r="B20" s="45" t="s">
        <v>122</v>
      </c>
      <c r="C20" s="45" t="s">
        <v>90</v>
      </c>
      <c r="D20" s="45" t="s">
        <v>121</v>
      </c>
      <c r="E20" s="64">
        <v>4.0</v>
      </c>
      <c r="F20" s="35">
        <f>IFERROR(__xludf.DUMMYFUNCTION("IFERROR(MIN(INDEX(GOOGLEFINANCE(B20,""close"",TODAY()-100,TODAY()),0,2)) * GOOGLEFINANCE(""CURRENCY:USDEUR""),""Error en datos"")"),35.2584518)</f>
        <v>35.2584518</v>
      </c>
      <c r="G20" s="35">
        <f>IFERROR(__xludf.DUMMYFUNCTION("IFERROR(MAX(INDEX(GOOGLEFINANCE(B20,""close"",TODAY()-100,TODAY()),0,2)) * GOOGLEFINANCE(""CURRENCY:USDEUR""),""Error en datos"")"),48.4600512)</f>
        <v>48.4600512</v>
      </c>
      <c r="H20" s="35">
        <f>IFERROR(__xludf.DUMMYFUNCTION("IFERROR(AVERAGE(INDEX(GOOGLEFINANCE(B20,""close"",TODAY()-20,TODAY()),0,2)) * GOOGLEFINANCE(""CURRENCY:USDEUR""),""Error en datos"")"),47.01543727692308)</f>
        <v>47.01543728</v>
      </c>
      <c r="I20" s="35">
        <f>IFERROR(__xludf.DUMMYFUNCTION("IFERROR(PERCENTILE(INDEX(GOOGLEFINANCE(B20,""close"",TODAY()-365,TODAY()),0,2),0.05) * GOOGLEFINANCE(""CURRENCY:USDEUR""),""Error en datos"")"),37.00212384)</f>
        <v>37.00212384</v>
      </c>
      <c r="J20" s="35">
        <f>IFERROR(__xludf.DUMMYFUNCTION("AVERAGE(INDEX(GOOGLEFINANCE(B20,""price"",TODAY()-20,TODAY(),""DAILY""),0,2))+(2*STDEV(INDEX(GOOGLEFINANCE(B20,""price"",TODAY()-20,TODAY(),""DAILY""),0,2)))"),57.95943746420733)</f>
        <v>57.95943746</v>
      </c>
      <c r="K20" s="35">
        <f>IFERROR(__xludf.DUMMYFUNCTION("AVERAGE(INDEX(GOOGLEFINANCE(B20,""price"",TODAY()-20,TODAY(),""DAILY""),0,2))-(2*STDEV(INDEX(GOOGLEFINANCE(B20,""price"",TODAY()-20,TODAY(),""DAILY""),0,2)))"),51.94363945886959)</f>
        <v>51.94363946</v>
      </c>
      <c r="L20" s="35">
        <v>590.0</v>
      </c>
      <c r="M20" s="35">
        <f t="shared" si="1"/>
        <v>0.1017308372</v>
      </c>
      <c r="N20" s="35">
        <v>33.0</v>
      </c>
      <c r="O20" s="35">
        <f t="shared" si="2"/>
        <v>0.5911111111</v>
      </c>
      <c r="P20" s="35">
        <v>0.4</v>
      </c>
      <c r="Q20" s="35">
        <f t="shared" si="3"/>
        <v>0.1576506955</v>
      </c>
      <c r="R20" s="35" t="str">
        <f>IFERROR(__xludf.DUMMYFUNCTION("IF(B20="""", """", SPARKLINE(INDEX(GOOGLEFINANCE(B20, ""price"", TODAY()-1825, TODAY()), 0, 2)))"),"")</f>
        <v/>
      </c>
      <c r="S20" s="35">
        <f t="shared" si="4"/>
        <v>41.40140503</v>
      </c>
      <c r="T20" s="35">
        <f t="shared" si="5"/>
        <v>53.43616958</v>
      </c>
      <c r="U20" s="34" t="str">
        <f t="shared" si="6"/>
        <v/>
      </c>
      <c r="V20" s="37">
        <f t="shared" si="7"/>
        <v>0.06199913179</v>
      </c>
      <c r="W20" s="37">
        <f t="shared" si="8"/>
        <v>-0.1778784533</v>
      </c>
      <c r="X20" s="34">
        <f>IFERROR(__xludf.DUMMYFUNCTION("AJ20*GOOGLEFINANCE(""CURRENCY:USD/EUR"")"),43.9682562)</f>
        <v>43.9682562</v>
      </c>
      <c r="Y20" s="35">
        <f>IFERROR(__xludf.DUMMYFUNCTION("AI20*GOOGLEFINANCE(""CURRENCY:USD/EUR"")"),53.48145462925581)</f>
        <v>53.48145463</v>
      </c>
      <c r="Z20" s="38">
        <f t="shared" si="9"/>
        <v>0.2153352031</v>
      </c>
      <c r="AA20" s="38">
        <f t="shared" si="10"/>
        <v>0.2163651518</v>
      </c>
      <c r="AB20" s="38">
        <f t="shared" si="11"/>
        <v>0.07396956384</v>
      </c>
      <c r="AC20" s="41">
        <v>55.0</v>
      </c>
      <c r="AD20" s="40">
        <f t="shared" si="12"/>
        <v>0.3316643841</v>
      </c>
      <c r="AE20" s="41">
        <v>63.2</v>
      </c>
      <c r="AF20" s="41">
        <f t="shared" si="13"/>
        <v>0.3700042772</v>
      </c>
      <c r="AG20" s="41">
        <v>70.0</v>
      </c>
      <c r="AH20" s="41">
        <f t="shared" si="14"/>
        <v>0.2983313387</v>
      </c>
      <c r="AI20" s="41">
        <f t="shared" si="15"/>
        <v>62.50900515</v>
      </c>
      <c r="AJ20" s="34">
        <f>IFERROR(__xludf.DUMMYFUNCTION("GOOGLEFINANCE(B20,""price"")"),51.39)</f>
        <v>51.39</v>
      </c>
      <c r="AK20" s="37">
        <f t="shared" si="66"/>
        <v>0.2049964077</v>
      </c>
      <c r="AL20" s="35">
        <v>54.24</v>
      </c>
      <c r="AM20" s="34">
        <f t="shared" si="16"/>
        <v>49.19150312</v>
      </c>
      <c r="AN20" s="34">
        <f t="shared" si="17"/>
        <v>50.67131183</v>
      </c>
      <c r="AO20" s="38">
        <f>IFERROR(__xludf.DUMMYFUNCTION("(GOOGLEFINANCE(B20, ""price"") - INDEX(GOOGLEFINANCE(B20, ""price"", DATE(2025,5,9)), 2, 2)) / INDEX(GOOGLEFINANCE(B20, ""price"", DATE(2025,5,8)), 2, 2)"),0.05623069001029875)</f>
        <v>0.05623069001</v>
      </c>
      <c r="AP20" s="37">
        <f t="shared" si="18"/>
        <v>0.1524521599</v>
      </c>
      <c r="AQ20" s="37">
        <f t="shared" si="19"/>
        <v>-0.05254424779</v>
      </c>
      <c r="AR20" s="37">
        <f t="shared" si="20"/>
        <v>0.2049964077</v>
      </c>
      <c r="AS20" s="34">
        <f>IFERROR(__xludf.DUMMYFUNCTION("IF(X20&lt;K20,1,IF(X20&gt;J20,-1,0)) + IF(X20&lt;F20,1,IF(X20&gt;G20,-1,0)) + IF(X20&lt;I20,1,IF(X20&gt;I20,-1,0)) + IF(X20&lt;H20,1,IF(X20&gt;H20,-1,0))"),1.0)</f>
        <v>1</v>
      </c>
      <c r="AT20" s="34" t="str">
        <f t="shared" si="21"/>
        <v>recompra</v>
      </c>
      <c r="AU20" s="35" t="str">
        <f t="shared" si="22"/>
        <v>compra</v>
      </c>
      <c r="AV20" s="35" t="str">
        <f t="shared" si="23"/>
        <v>compra</v>
      </c>
      <c r="AW20" s="38">
        <f t="shared" si="24"/>
        <v>0.2163651518</v>
      </c>
      <c r="AX20" s="38">
        <f t="shared" si="25"/>
        <v>0.1841932825</v>
      </c>
      <c r="AY20" s="38">
        <f t="shared" si="26"/>
        <v>0.1920271567</v>
      </c>
      <c r="AZ20" s="42">
        <f t="shared" si="27"/>
        <v>0.1536974696</v>
      </c>
      <c r="BA20" s="38">
        <f t="shared" si="28"/>
        <v>0.6957415395</v>
      </c>
      <c r="BB20" s="38">
        <f t="shared" si="29"/>
        <v>0.3042584605</v>
      </c>
      <c r="BC20" s="38">
        <f t="shared" si="30"/>
        <v>0.1187958625</v>
      </c>
      <c r="BD20" s="38">
        <f t="shared" si="31"/>
        <v>0.601064743</v>
      </c>
      <c r="BE20" s="38">
        <f t="shared" si="32"/>
        <v>0.398935257</v>
      </c>
      <c r="BF20" s="38">
        <f t="shared" si="33"/>
        <v>0.2825989443</v>
      </c>
      <c r="BG20" s="37">
        <f t="shared" si="34"/>
        <v>0.1066975357</v>
      </c>
      <c r="BH20" s="43">
        <f t="shared" si="35"/>
        <v>0.1493623462</v>
      </c>
      <c r="BI20" s="44">
        <f t="shared" si="36"/>
        <v>0.4373136142</v>
      </c>
      <c r="BJ20" s="38">
        <f t="shared" si="37"/>
        <v>0.4013948068</v>
      </c>
      <c r="BK20" s="43">
        <f t="shared" si="38"/>
        <v>0.4914814318</v>
      </c>
      <c r="BL20" s="63">
        <v>15.96</v>
      </c>
      <c r="BM20" s="46">
        <f t="shared" si="39"/>
        <v>0.005006847647</v>
      </c>
      <c r="BN20" s="63">
        <v>0.0</v>
      </c>
      <c r="BO20" s="63">
        <v>1.7</v>
      </c>
      <c r="BP20" s="47">
        <f t="shared" si="40"/>
        <v>0.002408470768</v>
      </c>
      <c r="BQ20" s="63">
        <v>1.59</v>
      </c>
      <c r="BR20" s="47">
        <f t="shared" si="41"/>
        <v>0.1210842035</v>
      </c>
      <c r="BS20" s="60">
        <v>0.106</v>
      </c>
      <c r="BT20" s="47">
        <f t="shared" si="42"/>
        <v>0.4722483537</v>
      </c>
      <c r="BU20" s="63">
        <v>0.0</v>
      </c>
      <c r="BV20" s="47">
        <f t="shared" si="43"/>
        <v>1</v>
      </c>
      <c r="BW20" s="48">
        <f t="shared" si="44"/>
        <v>1.204789049</v>
      </c>
      <c r="BX20" s="49">
        <f t="shared" si="45"/>
        <v>0.7252648822</v>
      </c>
      <c r="BY20" s="47">
        <f t="shared" si="46"/>
        <v>0.398935257</v>
      </c>
      <c r="BZ20" s="60">
        <v>0.187</v>
      </c>
      <c r="CA20" s="50">
        <f t="shared" si="47"/>
        <v>0.2139917695</v>
      </c>
      <c r="CB20" s="60">
        <v>0.277</v>
      </c>
      <c r="CC20" s="50">
        <f t="shared" si="48"/>
        <v>0.2651561543</v>
      </c>
      <c r="CD20" s="60">
        <v>2.058</v>
      </c>
      <c r="CE20" s="50">
        <f t="shared" si="49"/>
        <v>0.741309418</v>
      </c>
      <c r="CF20" s="50">
        <f t="shared" si="50"/>
        <v>0.406819114</v>
      </c>
      <c r="CG20" s="60">
        <v>0.004</v>
      </c>
      <c r="CH20" s="51">
        <f t="shared" si="51"/>
        <v>0.1449348044</v>
      </c>
      <c r="CI20" s="60">
        <v>0.255</v>
      </c>
      <c r="CJ20" s="51">
        <f t="shared" si="52"/>
        <v>0.3579617834</v>
      </c>
      <c r="CK20" s="60">
        <v>0.116</v>
      </c>
      <c r="CL20" s="51">
        <f t="shared" si="53"/>
        <v>0.3388429752</v>
      </c>
      <c r="CM20" s="60">
        <v>0.087</v>
      </c>
      <c r="CN20" s="51">
        <f t="shared" si="54"/>
        <v>0.1429285357</v>
      </c>
      <c r="CO20" s="60">
        <v>0.082</v>
      </c>
      <c r="CP20" s="51">
        <f t="shared" si="55"/>
        <v>0.5366242038</v>
      </c>
      <c r="CQ20" s="51">
        <f t="shared" si="56"/>
        <v>0.3042584605</v>
      </c>
      <c r="CR20" s="52">
        <f t="shared" si="57"/>
        <v>0.3700042772</v>
      </c>
      <c r="CS20" s="53">
        <f t="shared" si="58"/>
        <v>0.2380558702</v>
      </c>
      <c r="CT20" s="54">
        <f t="shared" si="59"/>
        <v>0.3418737408</v>
      </c>
      <c r="CU20" s="55">
        <f t="shared" si="60"/>
        <v>0.09462975372</v>
      </c>
      <c r="CV20" s="34">
        <f t="shared" si="61"/>
        <v>1.585429633</v>
      </c>
      <c r="CW20" s="34">
        <f t="shared" si="62"/>
        <v>0.5813595469</v>
      </c>
      <c r="CX20" s="35">
        <f t="shared" si="63"/>
        <v>0.3743809033</v>
      </c>
      <c r="CY20" s="38">
        <f>IFERROR(__xludf.DUMMYFUNCTION("(GOOGLEFINANCE(B20,""price"")/INDEX(GOOGLEFINANCE(B20,""price"",TODAY()-30),2,2))-1"),-0.056718061674008724)</f>
        <v>-0.05671806167</v>
      </c>
      <c r="CZ20" s="38">
        <f>IFERROR(__xludf.DUMMYFUNCTION("(GOOGLEFINANCE($B20,""price"")/INDEX(GOOGLEFINANCE($B20,""price"",TODAY()-180),2,2))-1"),0.017220902612826494)</f>
        <v>0.01722090261</v>
      </c>
      <c r="DA20" s="38">
        <f>IFERROR(__xludf.DUMMYFUNCTION("(GOOGLEFINANCE($B20,""price"")/INDEX(GOOGLEFINANCE($B20,""price"",TODAY()-365),2,2))-1"),0.16768916155419222)</f>
        <v>0.1676891616</v>
      </c>
      <c r="DB20" s="38">
        <f>IFERROR(__xludf.DUMMYFUNCTION("(GOOGLEFINANCE($B20,""price"")/INDEX(GOOGLEFINANCE($B20,""price"",TODAY()-365*5),2,2))-1"),0.21806115193173747)</f>
        <v>0.2180611519</v>
      </c>
      <c r="DC20" s="38">
        <f>IFERROR(__xludf.DUMMYFUNCTION("(INDEX(GOOGLEFINANCE(B20, ""price"", TODAY()-30, TODAY()), ROWS(GOOGLEFINANCE(B20, ""price"", TODAY()-30, TODAY())), 2) / INDEX(GOOGLEFINANCE(B20, ""price"", TODAY()-30, TODAY()), 2, 2)) - 1"),-0.056718061674008724)</f>
        <v>-0.05671806167</v>
      </c>
      <c r="DD20" s="38">
        <f>IFERROR(__xludf.DUMMYFUNCTION("(INDEX(GOOGLEFINANCE(B20, ""price"", TODAY()-7, TODAY()), ROWS(GOOGLEFINANCE(B20, ""price"", TODAY()-7, TODAY())), 2) / INDEX(GOOGLEFINANCE(B20, ""price"", TODAY()-7, TODAY()), 2, 2)) - 1"),-0.09269067796610164)</f>
        <v>-0.09269067797</v>
      </c>
    </row>
    <row r="21">
      <c r="A21" s="34" t="str">
        <f>IFERROR(__xludf.DUMMYFUNCTION("GOOGLEFINANCE(B21,""name"")"),"Ensign Group Inc")</f>
        <v>Ensign Group Inc</v>
      </c>
      <c r="B21" s="35" t="s">
        <v>123</v>
      </c>
      <c r="C21" s="35" t="s">
        <v>93</v>
      </c>
      <c r="D21" s="35" t="s">
        <v>94</v>
      </c>
      <c r="E21" s="57">
        <v>3.0</v>
      </c>
      <c r="F21" s="35">
        <f>IFERROR(__xludf.DUMMYFUNCTION("IFERROR(MIN(INDEX(GOOGLEFINANCE(B21,""close"",TODAY()-100,TODAY()),0,2)) * GOOGLEFINANCE(""CURRENCY:USDEUR""),""Error en datos"")"),102.6097094)</f>
        <v>102.6097094</v>
      </c>
      <c r="G21" s="35">
        <f>IFERROR(__xludf.DUMMYFUNCTION("IFERROR(MAX(INDEX(GOOGLEFINANCE(B21,""close"",TODAY()-100,TODAY()),0,2)) * GOOGLEFINANCE(""CURRENCY:USDEUR""),""Error en datos"")"),133.77848880000002)</f>
        <v>133.7784888</v>
      </c>
      <c r="H21" s="35">
        <f>IFERROR(__xludf.DUMMYFUNCTION("IFERROR(AVERAGE(INDEX(GOOGLEFINANCE(B21,""close"",TODAY()-20,TODAY()),0,2)) * GOOGLEFINANCE(""CURRENCY:USDEUR""),""Error en datos"")"),128.15206309230769)</f>
        <v>128.1520631</v>
      </c>
      <c r="I21" s="35">
        <f>IFERROR(__xludf.DUMMYFUNCTION("IFERROR(PERCENTILE(INDEX(GOOGLEFINANCE(B21,""close"",TODAY()-365,TODAY()),0,2),0.05) * GOOGLEFINANCE(""CURRENCY:USDEUR""),""Error en datos"")"),108.73566220000001)</f>
        <v>108.7356622</v>
      </c>
      <c r="J21" s="35">
        <f>IFERROR(__xludf.DUMMYFUNCTION("AVERAGE(INDEX(GOOGLEFINANCE(B21,""price"",TODAY()-20,TODAY(),""DAILY""),0,2))+(2*STDEV(INDEX(GOOGLEFINANCE(B21,""price"",TODAY()-20,TODAY(),""DAILY""),0,2)))"),156.91728636392497)</f>
        <v>156.9172864</v>
      </c>
      <c r="K21" s="35">
        <f>IFERROR(__xludf.DUMMYFUNCTION("AVERAGE(INDEX(GOOGLEFINANCE(B21,""price"",TODAY()-20,TODAY(),""DAILY""),0,2))-(2*STDEV(INDEX(GOOGLEFINANCE(B21,""price"",TODAY()-20,TODAY(),""DAILY""),0,2)))"),142.65040594376734)</f>
        <v>142.6504059</v>
      </c>
      <c r="L21" s="35">
        <v>487.0</v>
      </c>
      <c r="M21" s="35">
        <f t="shared" si="1"/>
        <v>0.08353938538</v>
      </c>
      <c r="N21" s="35">
        <v>-57.0</v>
      </c>
      <c r="O21" s="35">
        <f t="shared" si="2"/>
        <v>0.1911111111</v>
      </c>
      <c r="P21" s="35">
        <v>-1.0</v>
      </c>
      <c r="Q21" s="35">
        <f t="shared" si="3"/>
        <v>0.1306027821</v>
      </c>
      <c r="R21" s="35" t="str">
        <f>IFERROR(__xludf.DUMMYFUNCTION("IF(B21="""", """", SPARKLINE(INDEX(GOOGLEFINANCE(B21, ""price"", TODAY()-1825, TODAY()), 0, 2)))"),"")</f>
        <v/>
      </c>
      <c r="S21" s="35">
        <f t="shared" si="4"/>
        <v>117.9985925</v>
      </c>
      <c r="T21" s="35">
        <f t="shared" si="5"/>
        <v>149.6837521</v>
      </c>
      <c r="U21" s="34" t="str">
        <f t="shared" si="6"/>
        <v>Compra</v>
      </c>
      <c r="V21" s="37">
        <f t="shared" si="7"/>
        <v>0.04396506581</v>
      </c>
      <c r="W21" s="37">
        <f t="shared" si="8"/>
        <v>-0.1817625272</v>
      </c>
      <c r="X21" s="34">
        <f>IFERROR(__xludf.DUMMYFUNCTION("AJ21*GOOGLEFINANCE(""CURRENCY:USD/EUR"")"),123.18640839999999)</f>
        <v>123.1864084</v>
      </c>
      <c r="Y21" s="35">
        <f>IFERROR(__xludf.DUMMYFUNCTION("AI21*GOOGLEFINANCE(""CURRENCY:USD/EUR"")"),150.55092500881045)</f>
        <v>150.550925</v>
      </c>
      <c r="Z21" s="38">
        <f t="shared" si="9"/>
        <v>0.2150995718</v>
      </c>
      <c r="AA21" s="38">
        <f t="shared" si="10"/>
        <v>0.2241390896</v>
      </c>
      <c r="AB21" s="38">
        <f t="shared" si="11"/>
        <v>0.07987918883</v>
      </c>
      <c r="AC21" s="41">
        <v>175.0</v>
      </c>
      <c r="AD21" s="40">
        <f t="shared" si="12"/>
        <v>0.3325225804</v>
      </c>
      <c r="AE21" s="41">
        <v>176.0</v>
      </c>
      <c r="AF21" s="41">
        <f t="shared" si="13"/>
        <v>0.3713687236</v>
      </c>
      <c r="AG21" s="41">
        <v>177.0</v>
      </c>
      <c r="AH21" s="41">
        <f t="shared" si="14"/>
        <v>0.296108696</v>
      </c>
      <c r="AI21" s="41">
        <f t="shared" si="15"/>
        <v>175.9635861</v>
      </c>
      <c r="AJ21" s="34">
        <f>IFERROR(__xludf.DUMMYFUNCTION("GOOGLEFINANCE(B21,""price"")"),143.98)</f>
        <v>143.98</v>
      </c>
      <c r="AK21" s="37">
        <f>AP21+BN21</f>
        <v>0.286968498</v>
      </c>
      <c r="AL21" s="34">
        <v>136.94</v>
      </c>
      <c r="AM21" s="34">
        <f t="shared" si="16"/>
        <v>149.9990622</v>
      </c>
      <c r="AN21" s="34">
        <f t="shared" si="17"/>
        <v>158.2906542</v>
      </c>
      <c r="AO21" s="38">
        <f>IFERROR(__xludf.DUMMYFUNCTION("(GOOGLEFINANCE(B21, ""price"") - INDEX(GOOGLEFINANCE(B21, ""price"", DATE(2025,5,8)), 2, 2)) / INDEX(GOOGLEFINANCE(B21, ""price"", DATE(2025,5,8)), 2, 2)"),0.056501320810096775)</f>
        <v>0.05650132081</v>
      </c>
      <c r="AP21" s="37">
        <f t="shared" si="18"/>
        <v>0.284968498</v>
      </c>
      <c r="AQ21" s="37">
        <f t="shared" si="19"/>
        <v>0.05140937637</v>
      </c>
      <c r="AR21" s="37">
        <f t="shared" si="20"/>
        <v>0.2335591216</v>
      </c>
      <c r="AS21" s="34">
        <f>IFERROR(__xludf.DUMMYFUNCTION("IF(X21&lt;K21,1,IF(X21&gt;J21,-1,0)) + IF(X21&lt;F21,1,IF(X21&gt;G21,-1,0)) + IF(X21&lt;I21,1,IF(X21&gt;I21,-1,0)) + IF(X21&lt;H21,1,IF(X21&gt;H21,-1,0))"),1.0)</f>
        <v>1</v>
      </c>
      <c r="AT21" s="34" t="str">
        <f t="shared" si="21"/>
        <v>recompra</v>
      </c>
      <c r="AU21" s="35" t="str">
        <f t="shared" si="22"/>
        <v>compra</v>
      </c>
      <c r="AV21" s="35" t="str">
        <f t="shared" si="23"/>
        <v>compra</v>
      </c>
      <c r="AW21" s="38">
        <f t="shared" si="24"/>
        <v>0.2221390896</v>
      </c>
      <c r="AX21" s="38">
        <f t="shared" si="25"/>
        <v>0.1432625403</v>
      </c>
      <c r="AY21" s="38">
        <f t="shared" si="26"/>
        <v>0.1436187385</v>
      </c>
      <c r="AZ21" s="42">
        <f t="shared" si="27"/>
        <v>0.1903273335</v>
      </c>
      <c r="BA21" s="38">
        <f t="shared" si="28"/>
        <v>0.6814299165</v>
      </c>
      <c r="BB21" s="38">
        <f t="shared" si="29"/>
        <v>0.3185700835</v>
      </c>
      <c r="BC21" s="38">
        <f t="shared" si="30"/>
        <v>0.2176591894</v>
      </c>
      <c r="BD21" s="38">
        <f t="shared" si="31"/>
        <v>0.5965394834</v>
      </c>
      <c r="BE21" s="38">
        <f t="shared" si="32"/>
        <v>0.4034605166</v>
      </c>
      <c r="BF21" s="38">
        <f t="shared" si="33"/>
        <v>0.2251941972</v>
      </c>
      <c r="BG21" s="37">
        <f t="shared" si="34"/>
        <v>0.1592279737</v>
      </c>
      <c r="BH21" s="43">
        <f t="shared" si="35"/>
        <v>0.1514233561</v>
      </c>
      <c r="BI21" s="44">
        <f t="shared" si="36"/>
        <v>0.4736755546</v>
      </c>
      <c r="BJ21" s="38">
        <f t="shared" si="37"/>
        <v>0.4428533866</v>
      </c>
      <c r="BK21" s="43">
        <f t="shared" si="38"/>
        <v>0.5697260747</v>
      </c>
      <c r="BL21" s="59">
        <v>7.82</v>
      </c>
      <c r="BM21" s="46">
        <f t="shared" si="39"/>
        <v>0.002432258901</v>
      </c>
      <c r="BN21" s="38">
        <v>0.002</v>
      </c>
      <c r="BO21" s="59">
        <v>4.42</v>
      </c>
      <c r="BP21" s="47">
        <f t="shared" si="40"/>
        <v>0.006403007651</v>
      </c>
      <c r="BQ21" s="59">
        <v>5.3</v>
      </c>
      <c r="BR21" s="47">
        <f t="shared" si="41"/>
        <v>0.203510331</v>
      </c>
      <c r="BS21" s="60">
        <v>0.086</v>
      </c>
      <c r="BT21" s="47">
        <f t="shared" si="42"/>
        <v>0.4534336783</v>
      </c>
      <c r="BU21" s="59">
        <v>1.0</v>
      </c>
      <c r="BV21" s="47">
        <f t="shared" si="43"/>
        <v>0.9504950495</v>
      </c>
      <c r="BW21" s="48">
        <f t="shared" si="44"/>
        <v>1.306992469</v>
      </c>
      <c r="BX21" s="49">
        <f t="shared" si="45"/>
        <v>0.7959277531</v>
      </c>
      <c r="BY21" s="47">
        <f t="shared" si="46"/>
        <v>0.4034605166</v>
      </c>
      <c r="BZ21" s="60">
        <v>0.148</v>
      </c>
      <c r="CA21" s="50">
        <f t="shared" si="47"/>
        <v>0.1818930041</v>
      </c>
      <c r="CB21" s="60">
        <v>0.388</v>
      </c>
      <c r="CC21" s="50">
        <f t="shared" si="48"/>
        <v>0.2991426822</v>
      </c>
      <c r="CD21" s="60">
        <v>0.397</v>
      </c>
      <c r="CE21" s="50">
        <f t="shared" si="49"/>
        <v>0.6951910262</v>
      </c>
      <c r="CF21" s="50">
        <f t="shared" si="50"/>
        <v>0.3920755708</v>
      </c>
      <c r="CG21" s="60">
        <v>0.191</v>
      </c>
      <c r="CH21" s="51">
        <f t="shared" si="51"/>
        <v>0.2387161484</v>
      </c>
      <c r="CI21" s="60">
        <v>0.155</v>
      </c>
      <c r="CJ21" s="51">
        <f t="shared" si="52"/>
        <v>0.2305732484</v>
      </c>
      <c r="CK21" s="60">
        <v>0.177</v>
      </c>
      <c r="CL21" s="51">
        <f t="shared" si="53"/>
        <v>0.3892561983</v>
      </c>
      <c r="CM21" s="60">
        <v>0.187</v>
      </c>
      <c r="CN21" s="51">
        <f t="shared" si="54"/>
        <v>0.1929035482</v>
      </c>
      <c r="CO21" s="60">
        <v>0.088</v>
      </c>
      <c r="CP21" s="51">
        <f t="shared" si="55"/>
        <v>0.5414012739</v>
      </c>
      <c r="CQ21" s="51">
        <f t="shared" si="56"/>
        <v>0.3185700835</v>
      </c>
      <c r="CR21" s="52">
        <f t="shared" si="57"/>
        <v>0.3713687236</v>
      </c>
      <c r="CS21" s="53">
        <f t="shared" si="58"/>
        <v>0.122198166</v>
      </c>
      <c r="CT21" s="54">
        <f t="shared" si="59"/>
        <v>0.3563822311</v>
      </c>
      <c r="CU21" s="55">
        <f t="shared" si="60"/>
        <v>0.1307404807</v>
      </c>
      <c r="CV21" s="34">
        <f t="shared" si="61"/>
        <v>1.476467642</v>
      </c>
      <c r="CW21" s="34">
        <f t="shared" si="62"/>
        <v>0.5548012723</v>
      </c>
      <c r="CX21" s="35">
        <f t="shared" si="63"/>
        <v>0.1608569466</v>
      </c>
      <c r="CY21" s="38">
        <f>IFERROR(__xludf.DUMMYFUNCTION("(GOOGLEFINANCE(B21,""price"")/INDEX(GOOGLEFINANCE(B21,""price"",TODAY()-30),2,2))-1"),-0.05667300006551801)</f>
        <v>-0.05667300007</v>
      </c>
      <c r="CZ21" s="38">
        <f>IFERROR(__xludf.DUMMYFUNCTION("(GOOGLEFINANCE($B21,""price"")/INDEX(GOOGLEFINANCE($B21,""price"",TODAY()-180),2,2))-1"),0.06984693119334207)</f>
        <v>0.06984693119</v>
      </c>
      <c r="DA21" s="38">
        <f>IFERROR(__xludf.DUMMYFUNCTION("(GOOGLEFINANCE($B21,""price"")/INDEX(GOOGLEFINANCE($B21,""price"",TODAY()-365),2,2))-1"),0.06509838733540452)</f>
        <v>0.06509838734</v>
      </c>
      <c r="DB21" s="38">
        <f>IFERROR(__xludf.DUMMYFUNCTION("(GOOGLEFINANCE($B21,""price"")/INDEX(GOOGLEFINANCE($B21,""price"",TODAY()-365*5),2,2))-1"),2.205967490536629)</f>
        <v>2.205967491</v>
      </c>
      <c r="DC21" s="38">
        <f>IFERROR(__xludf.DUMMYFUNCTION("(INDEX(GOOGLEFINANCE(B21, ""price"", TODAY()-30, TODAY()), ROWS(GOOGLEFINANCE(B21, ""price"", TODAY()-30, TODAY())), 2) / INDEX(GOOGLEFINANCE(B21, ""price"", TODAY()-30, TODAY()), 2, 2)) - 1"),-0.05667300006551801)</f>
        <v>-0.05667300007</v>
      </c>
      <c r="DD21" s="38">
        <f>IFERROR(__xludf.DUMMYFUNCTION("(INDEX(GOOGLEFINANCE(B21, ""price"", TODAY()-7, TODAY()), ROWS(GOOGLEFINANCE(B21, ""price"", TODAY()-7, TODAY())), 2) / INDEX(GOOGLEFINANCE(B21, ""price"", TODAY()-7, TODAY()), 2, 2)) - 1"),-0.02432743782611646)</f>
        <v>-0.02432743783</v>
      </c>
    </row>
    <row r="22">
      <c r="A22" s="34" t="str">
        <f>IFERROR(__xludf.DUMMYFUNCTION("GOOGLEFINANCE(B22,""name"")"),"Evertec Inc")</f>
        <v>Evertec Inc</v>
      </c>
      <c r="B22" s="35" t="s">
        <v>124</v>
      </c>
      <c r="C22" s="35" t="s">
        <v>125</v>
      </c>
      <c r="D22" s="35" t="s">
        <v>105</v>
      </c>
      <c r="E22" s="62">
        <v>5.0</v>
      </c>
      <c r="F22" s="35">
        <f>IFERROR(__xludf.DUMMYFUNCTION("IFERROR(MIN(INDEX(GOOGLEFINANCE(B22,""close"",TODAY()-100,TODAY()),0,2)) * GOOGLEFINANCE(""CURRENCY:USDEUR""),""Error en datos"")"),27.2844462)</f>
        <v>27.2844462</v>
      </c>
      <c r="G22" s="35">
        <f>IFERROR(__xludf.DUMMYFUNCTION("IFERROR(MAX(INDEX(GOOGLEFINANCE(B22,""close"",TODAY()-100,TODAY()),0,2)) * GOOGLEFINANCE(""CURRENCY:USDEUR""),""Error en datos"")"),32.8286046)</f>
        <v>32.8286046</v>
      </c>
      <c r="H22" s="35">
        <f>IFERROR(__xludf.DUMMYFUNCTION("IFERROR(AVERAGE(INDEX(GOOGLEFINANCE(B22,""close"",TODAY()-20,TODAY()),0,2)) * GOOGLEFINANCE(""CURRENCY:USDEUR""),""Error en datos"")"),31.0404424)</f>
        <v>31.0404424</v>
      </c>
      <c r="I22" s="35">
        <f>IFERROR(__xludf.DUMMYFUNCTION("IFERROR(PERCENTILE(INDEX(GOOGLEFINANCE(B22,""close"",TODAY()-365,TODAY()),0,2),0.05) * GOOGLEFINANCE(""CURRENCY:USDEUR""),""Error en datos"")"),27.59758848)</f>
        <v>27.59758848</v>
      </c>
      <c r="J22" s="35">
        <f>IFERROR(__xludf.DUMMYFUNCTION("AVERAGE(INDEX(GOOGLEFINANCE(B22,""price"",TODAY()-20,TODAY(),""DAILY""),0,2))+(2*STDEV(INDEX(GOOGLEFINANCE(B22,""price"",TODAY()-20,TODAY(),""DAILY""),0,2)))"),38.19426225998425)</f>
        <v>38.19426226</v>
      </c>
      <c r="K22" s="35">
        <f>IFERROR(__xludf.DUMMYFUNCTION("AVERAGE(INDEX(GOOGLEFINANCE(B22,""price"",TODAY()-20,TODAY(),""DAILY""),0,2))-(2*STDEV(INDEX(GOOGLEFINANCE(B22,""price"",TODAY()-20,TODAY(),""DAILY""),0,2)))"),34.36573774001575)</f>
        <v>34.36573774</v>
      </c>
      <c r="L22" s="35">
        <v>244.0</v>
      </c>
      <c r="M22" s="35">
        <f t="shared" si="1"/>
        <v>0.04062168845</v>
      </c>
      <c r="N22" s="35">
        <v>0.0</v>
      </c>
      <c r="O22" s="35">
        <f t="shared" si="2"/>
        <v>0.4444444444</v>
      </c>
      <c r="P22" s="35">
        <v>1.0</v>
      </c>
      <c r="Q22" s="35">
        <f t="shared" si="3"/>
        <v>0.1692426584</v>
      </c>
      <c r="R22" s="35" t="str">
        <f>IFERROR(__xludf.DUMMYFUNCTION("IF(B22="""", """", SPARKLINE(INDEX(GOOGLEFINANCE(B22, ""price"", TODAY()-1825, TODAY()), 0, 2)))"),"")</f>
        <v/>
      </c>
      <c r="S22" s="35">
        <f t="shared" si="4"/>
        <v>29.74925747</v>
      </c>
      <c r="T22" s="35">
        <f t="shared" si="5"/>
        <v>34.09491168</v>
      </c>
      <c r="U22" s="34" t="str">
        <f t="shared" si="6"/>
        <v>Compra</v>
      </c>
      <c r="V22" s="37">
        <f t="shared" si="7"/>
        <v>-0.02648383658</v>
      </c>
      <c r="W22" s="37">
        <f t="shared" si="8"/>
        <v>-0.1434484994</v>
      </c>
      <c r="X22" s="34">
        <f>IFERROR(__xludf.DUMMYFUNCTION("AJ22*GOOGLEFINANCE(""CURRENCY:USD/EUR"")"),28.961383)</f>
        <v>28.961383</v>
      </c>
      <c r="Y22" s="35">
        <f>IFERROR(__xludf.DUMMYFUNCTION("AI22*GOOGLEFINANCE(""CURRENCY:USD/EUR"")"),33.81160733529522)</f>
        <v>33.81160734</v>
      </c>
      <c r="Z22" s="38">
        <f t="shared" si="9"/>
        <v>0.1772542659</v>
      </c>
      <c r="AA22" s="38">
        <f t="shared" si="10"/>
        <v>0.1734721244</v>
      </c>
      <c r="AB22" s="38">
        <f t="shared" si="11"/>
        <v>0.05810962623</v>
      </c>
      <c r="AC22" s="41">
        <v>35.0</v>
      </c>
      <c r="AD22" s="40">
        <f t="shared" si="12"/>
        <v>0.3331129856</v>
      </c>
      <c r="AE22" s="41">
        <v>40.0</v>
      </c>
      <c r="AF22" s="41">
        <f t="shared" si="13"/>
        <v>0.3707629299</v>
      </c>
      <c r="AG22" s="41">
        <v>44.0</v>
      </c>
      <c r="AH22" s="41">
        <f t="shared" si="14"/>
        <v>0.2961240844</v>
      </c>
      <c r="AI22" s="41">
        <f t="shared" si="15"/>
        <v>39.51893141</v>
      </c>
      <c r="AJ22" s="34">
        <f>IFERROR(__xludf.DUMMYFUNCTION("GOOGLEFINANCE(B22,""price"")"),33.85)</f>
        <v>33.85</v>
      </c>
      <c r="AK22" s="37">
        <f t="shared" ref="AK22:AK27" si="67">AR22+BN22</f>
        <v>0.1697946088</v>
      </c>
      <c r="AL22" s="34">
        <v>34.61</v>
      </c>
      <c r="AM22" s="34">
        <f t="shared" si="16"/>
        <v>31.2921793</v>
      </c>
      <c r="AN22" s="34">
        <f t="shared" si="17"/>
        <v>33.06913922</v>
      </c>
      <c r="AO22" s="38">
        <f>IFERROR(__xludf.DUMMYFUNCTION("(GOOGLEFINANCE(B22, ""price"") - INDEX(GOOGLEFINANCE(B22, ""price"", DATE(2025,5,8)), 2, 2)) / INDEX(GOOGLEFINANCE(B22, ""price"", DATE(2025,5,8)), 2, 2)"),-0.046210200056353914)</f>
        <v>-0.04621020006</v>
      </c>
      <c r="AP22" s="37">
        <f t="shared" si="18"/>
        <v>0.1418356374</v>
      </c>
      <c r="AQ22" s="37">
        <f t="shared" si="19"/>
        <v>-0.0219589714</v>
      </c>
      <c r="AR22" s="37">
        <f t="shared" si="20"/>
        <v>0.1637946088</v>
      </c>
      <c r="AS22" s="34">
        <f>IFERROR(__xludf.DUMMYFUNCTION("IF(X22&lt;K22,1,IF(X22&gt;J22,-1,0)) + IF(X22&lt;F22,1,IF(X22&gt;G22,-1,0)) + IF(X22&lt;I22,1,IF(X22&gt;I22,-1,0)) + IF(X22&lt;H22,1,IF(X22&gt;H22,-1,0))"),1.0)</f>
        <v>1</v>
      </c>
      <c r="AT22" s="34" t="str">
        <f t="shared" si="21"/>
        <v>recompra</v>
      </c>
      <c r="AU22" s="35" t="str">
        <f t="shared" si="22"/>
        <v>hold</v>
      </c>
      <c r="AV22" s="35" t="str">
        <f t="shared" si="23"/>
        <v>hold</v>
      </c>
      <c r="AW22" s="38">
        <f t="shared" si="24"/>
        <v>0.1674721244</v>
      </c>
      <c r="AX22" s="38">
        <f t="shared" si="25"/>
        <v>0.08968355853</v>
      </c>
      <c r="AY22" s="38">
        <f t="shared" si="26"/>
        <v>0.0961490201</v>
      </c>
      <c r="AZ22" s="42">
        <f t="shared" si="27"/>
        <v>0.1153102439</v>
      </c>
      <c r="BA22" s="38">
        <f t="shared" si="28"/>
        <v>0.6851540931</v>
      </c>
      <c r="BB22" s="38">
        <f t="shared" si="29"/>
        <v>0.3148459069</v>
      </c>
      <c r="BC22" s="38">
        <f t="shared" si="30"/>
        <v>0.08047945448</v>
      </c>
      <c r="BD22" s="38">
        <f t="shared" si="31"/>
        <v>0.6029475528</v>
      </c>
      <c r="BE22" s="38">
        <f t="shared" si="32"/>
        <v>0.3970524472</v>
      </c>
      <c r="BF22" s="38">
        <f t="shared" si="33"/>
        <v>0.228602948</v>
      </c>
      <c r="BG22" s="37">
        <f t="shared" si="34"/>
        <v>0.07607928661</v>
      </c>
      <c r="BH22" s="43">
        <f t="shared" si="35"/>
        <v>0.08611415335</v>
      </c>
      <c r="BI22" s="44">
        <f t="shared" si="36"/>
        <v>0.4190612365</v>
      </c>
      <c r="BJ22" s="38">
        <f t="shared" si="37"/>
        <v>0.3090824025</v>
      </c>
      <c r="BK22" s="43">
        <f t="shared" si="38"/>
        <v>0.2750999791</v>
      </c>
      <c r="BL22" s="59">
        <v>2.22</v>
      </c>
      <c r="BM22" s="46">
        <f t="shared" si="39"/>
        <v>0.0006610430564</v>
      </c>
      <c r="BN22" s="38">
        <v>0.006</v>
      </c>
      <c r="BO22" s="59">
        <v>0.85</v>
      </c>
      <c r="BP22" s="47">
        <f t="shared" si="40"/>
        <v>0.001160177992</v>
      </c>
      <c r="BQ22" s="59">
        <v>1.73</v>
      </c>
      <c r="BR22" s="47">
        <f t="shared" si="41"/>
        <v>0.1241946234</v>
      </c>
      <c r="BS22" s="60">
        <v>0.196</v>
      </c>
      <c r="BT22" s="47">
        <f t="shared" si="42"/>
        <v>0.5569143932</v>
      </c>
      <c r="BU22" s="59">
        <v>1.9</v>
      </c>
      <c r="BV22" s="47">
        <f t="shared" si="43"/>
        <v>0.9059405941</v>
      </c>
      <c r="BW22" s="48">
        <f t="shared" si="44"/>
        <v>1.36646665</v>
      </c>
      <c r="BX22" s="49">
        <f t="shared" si="45"/>
        <v>0.7520083196</v>
      </c>
      <c r="BY22" s="47">
        <f t="shared" si="46"/>
        <v>0.3970524472</v>
      </c>
      <c r="BZ22" s="60">
        <v>0.217</v>
      </c>
      <c r="CA22" s="50">
        <f t="shared" si="47"/>
        <v>0.2386831276</v>
      </c>
      <c r="CB22" s="60">
        <v>0.281</v>
      </c>
      <c r="CC22" s="50">
        <f t="shared" si="48"/>
        <v>0.2663808941</v>
      </c>
      <c r="CD22" s="60">
        <v>0.43</v>
      </c>
      <c r="CE22" s="50">
        <f t="shared" si="49"/>
        <v>0.6961072857</v>
      </c>
      <c r="CF22" s="50">
        <f t="shared" si="50"/>
        <v>0.4003904358</v>
      </c>
      <c r="CG22" s="60">
        <v>0.042</v>
      </c>
      <c r="CH22" s="51">
        <f t="shared" si="51"/>
        <v>0.1639919759</v>
      </c>
      <c r="CI22" s="60">
        <v>0.116</v>
      </c>
      <c r="CJ22" s="51">
        <f t="shared" si="52"/>
        <v>0.1808917197</v>
      </c>
      <c r="CK22" s="60">
        <v>0.055</v>
      </c>
      <c r="CL22" s="51">
        <f t="shared" si="53"/>
        <v>0.2884297521</v>
      </c>
      <c r="CM22" s="60">
        <v>0.328</v>
      </c>
      <c r="CN22" s="51">
        <f t="shared" si="54"/>
        <v>0.2633683158</v>
      </c>
      <c r="CO22" s="60">
        <v>0.259</v>
      </c>
      <c r="CP22" s="51">
        <f t="shared" si="55"/>
        <v>0.6775477707</v>
      </c>
      <c r="CQ22" s="51">
        <f t="shared" si="56"/>
        <v>0.3148459069</v>
      </c>
      <c r="CR22" s="52">
        <f t="shared" si="57"/>
        <v>0.3707629299</v>
      </c>
      <c r="CS22" s="53">
        <f t="shared" si="58"/>
        <v>0.1737326199</v>
      </c>
      <c r="CT22" s="54">
        <f t="shared" si="59"/>
        <v>0.3349796196</v>
      </c>
      <c r="CU22" s="55">
        <f t="shared" si="60"/>
        <v>0.08054634301</v>
      </c>
      <c r="CV22" s="34">
        <f t="shared" si="61"/>
        <v>1.713556862</v>
      </c>
      <c r="CW22" s="34">
        <f t="shared" si="62"/>
        <v>0.6137706804</v>
      </c>
      <c r="CX22" s="35">
        <f t="shared" si="63"/>
        <v>0.3068435514</v>
      </c>
      <c r="CY22" s="38">
        <f>IFERROR(__xludf.DUMMYFUNCTION("(GOOGLEFINANCE(B22,""price"")/INDEX(GOOGLEFINANCE(B22,""price"",TODAY()-30),2,2))-1"),-0.06697905181918407)</f>
        <v>-0.06697905182</v>
      </c>
      <c r="CZ22" s="38">
        <f>IFERROR(__xludf.DUMMYFUNCTION("(GOOGLEFINANCE($B22,""price"")/INDEX(GOOGLEFINANCE($B22,""price"",TODAY()-180),2,2))-1"),0.03138330286410729)</f>
        <v>0.03138330286</v>
      </c>
      <c r="DA22" s="38">
        <f>IFERROR(__xludf.DUMMYFUNCTION("(GOOGLEFINANCE($B22,""price"")/INDEX(GOOGLEFINANCE($B22,""price"",TODAY()-365),2,2))-1"),0.024825915834090218)</f>
        <v>0.02482591583</v>
      </c>
      <c r="DB22" s="38">
        <f>IFERROR(__xludf.DUMMYFUNCTION("(GOOGLEFINANCE($B22,""price"")/INDEX(GOOGLEFINANCE($B22,""price"",TODAY()-365*5),2,2))-1"),0.21195846759756543)</f>
        <v>0.2119584676</v>
      </c>
      <c r="DC22" s="38">
        <f>IFERROR(__xludf.DUMMYFUNCTION("(INDEX(GOOGLEFINANCE(B22, ""price"", TODAY()-30, TODAY()), ROWS(GOOGLEFINANCE(B22, ""price"", TODAY()-30, TODAY())), 2) / INDEX(GOOGLEFINANCE(B22, ""price"", TODAY()-30, TODAY()), 2, 2)) - 1"),-0.06697905181918407)</f>
        <v>-0.06697905182</v>
      </c>
      <c r="DD22" s="38">
        <f>IFERROR(__xludf.DUMMYFUNCTION("(INDEX(GOOGLEFINANCE(B22, ""price"", TODAY()-7, TODAY()), ROWS(GOOGLEFINANCE(B22, ""price"", TODAY()-7, TODAY())), 2) / INDEX(GOOGLEFINANCE(B22, ""price"", TODAY()-7, TODAY()), 2, 2)) - 1"),-0.08636977058029682)</f>
        <v>-0.08636977058</v>
      </c>
    </row>
    <row r="23">
      <c r="A23" s="34" t="str">
        <f>IFERROR(__xludf.DUMMYFUNCTION("GOOGLEFINANCE(B23,""name"")"),"Exelixis Inc")</f>
        <v>Exelixis Inc</v>
      </c>
      <c r="B23" s="45" t="s">
        <v>126</v>
      </c>
      <c r="C23" s="45" t="s">
        <v>93</v>
      </c>
      <c r="D23" s="45" t="s">
        <v>105</v>
      </c>
      <c r="E23" s="57">
        <v>3.0</v>
      </c>
      <c r="F23" s="35">
        <f>IFERROR(__xludf.DUMMYFUNCTION("IFERROR(MIN(INDEX(GOOGLEFINANCE(B23,""close"",TODAY()-100,TODAY()),0,2)) * GOOGLEFINANCE(""CURRENCY:USDEUR""),""Error en datos"")"),29.200945400000002)</f>
        <v>29.2009454</v>
      </c>
      <c r="G23" s="35">
        <f>IFERROR(__xludf.DUMMYFUNCTION("IFERROR(MAX(INDEX(GOOGLEFINANCE(B23,""close"",TODAY()-100,TODAY()),0,2)) * GOOGLEFINANCE(""CURRENCY:USDEUR""),""Error en datos"")"),39.5791308)</f>
        <v>39.5791308</v>
      </c>
      <c r="H23" s="35">
        <f>IFERROR(__xludf.DUMMYFUNCTION("IFERROR(AVERAGE(INDEX(GOOGLEFINANCE(B23,""close"",TODAY()-20,TODAY()),0,2)) * GOOGLEFINANCE(""CURRENCY:USDEUR""),""Error en datos"")"),37.90416841538461)</f>
        <v>37.90416842</v>
      </c>
      <c r="I23" s="35">
        <f>IFERROR(__xludf.DUMMYFUNCTION("IFERROR(PERCENTILE(INDEX(GOOGLEFINANCE(B23,""close"",TODAY()-365,TODAY()),0,2),0.05) * GOOGLEFINANCE(""CURRENCY:USDEUR""),""Error en datos"")"),20.063351)</f>
        <v>20.063351</v>
      </c>
      <c r="J23" s="35">
        <f>IFERROR(__xludf.DUMMYFUNCTION("AVERAGE(INDEX(GOOGLEFINANCE(B23,""price"",TODAY()-20,TODAY(),""DAILY""),0,2))+(2*STDEV(INDEX(GOOGLEFINANCE(B23,""price"",TODAY()-20,TODAY(),""DAILY""),0,2)))"),46.143560053177936)</f>
        <v>46.14356005</v>
      </c>
      <c r="K23" s="35">
        <f>IFERROR(__xludf.DUMMYFUNCTION("AVERAGE(INDEX(GOOGLEFINANCE(B23,""price"",TODAY()-20,TODAY(),""DAILY""),0,2))-(2*STDEV(INDEX(GOOGLEFINANCE(B23,""price"",TODAY()-20,TODAY(),""DAILY""),0,2)))"),42.461055331437436)</f>
        <v>42.46105533</v>
      </c>
      <c r="L23" s="35">
        <v>543.0</v>
      </c>
      <c r="M23" s="35">
        <f t="shared" si="1"/>
        <v>0.09342988343</v>
      </c>
      <c r="N23" s="35">
        <v>14.3</v>
      </c>
      <c r="O23" s="35">
        <f t="shared" si="2"/>
        <v>0.508</v>
      </c>
      <c r="P23" s="35">
        <v>-0.6</v>
      </c>
      <c r="Q23" s="35">
        <f t="shared" si="3"/>
        <v>0.1383307573</v>
      </c>
      <c r="R23" s="35" t="str">
        <f>IFERROR(__xludf.DUMMYFUNCTION("IF(B23="""", """", SPARKLINE(INDEX(GOOGLEFINANCE(B23, ""price"", TODAY()-1825, TODAY()), 0, 2)))"),"")</f>
        <v/>
      </c>
      <c r="S23" s="35">
        <f t="shared" si="4"/>
        <v>30.57511724</v>
      </c>
      <c r="T23" s="35">
        <f t="shared" si="5"/>
        <v>37.66069346</v>
      </c>
      <c r="U23" s="34" t="str">
        <f t="shared" si="6"/>
        <v/>
      </c>
      <c r="V23" s="37">
        <f t="shared" si="7"/>
        <v>0.2553122362</v>
      </c>
      <c r="W23" s="37">
        <f t="shared" si="8"/>
        <v>0.04808106681</v>
      </c>
      <c r="X23" s="34">
        <f>IFERROR(__xludf.DUMMYFUNCTION("AJ23*GOOGLEFINANCE(""CURRENCY:USD/EUR"")"),38.3813188)</f>
        <v>38.3813188</v>
      </c>
      <c r="Y23" s="35">
        <f>IFERROR(__xludf.DUMMYFUNCTION("AI23*GOOGLEFINANCE(""CURRENCY:USD/EUR"")"),36.62056306087356)</f>
        <v>36.62056306</v>
      </c>
      <c r="Z23" s="38">
        <f t="shared" si="9"/>
        <v>-0.01877541907</v>
      </c>
      <c r="AA23" s="38">
        <f t="shared" si="10"/>
        <v>-0.04587533191</v>
      </c>
      <c r="AB23" s="38">
        <f t="shared" si="11"/>
        <v>-0.009741064684</v>
      </c>
      <c r="AC23" s="41">
        <v>29.0</v>
      </c>
      <c r="AD23" s="40">
        <f t="shared" si="12"/>
        <v>0.332128274</v>
      </c>
      <c r="AE23" s="41">
        <v>45.88</v>
      </c>
      <c r="AF23" s="41">
        <f t="shared" si="13"/>
        <v>0.4888095535</v>
      </c>
      <c r="AG23" s="41">
        <v>60.0</v>
      </c>
      <c r="AH23" s="41">
        <f t="shared" si="14"/>
        <v>0.1790621725</v>
      </c>
      <c r="AI23" s="41">
        <f t="shared" si="15"/>
        <v>42.80203261</v>
      </c>
      <c r="AJ23" s="34">
        <f>IFERROR(__xludf.DUMMYFUNCTION("GOOGLEFINANCE(B23,""price"")"),44.86)</f>
        <v>44.86</v>
      </c>
      <c r="AK23" s="37">
        <f t="shared" si="67"/>
        <v>-0.04775974448</v>
      </c>
      <c r="AL23" s="35">
        <v>43.09</v>
      </c>
      <c r="AM23" s="34">
        <f t="shared" si="16"/>
        <v>29.66691907</v>
      </c>
      <c r="AN23" s="34">
        <f t="shared" si="17"/>
        <v>38.12481919</v>
      </c>
      <c r="AO23" s="38">
        <f>IFERROR(__xludf.DUMMYFUNCTION("(GOOGLEFINANCE(B23, ""price"") - INDEX(GOOGLEFINANCE(B23, ""price"", DATE(2025,5,9)), 2, 2)) / INDEX(GOOGLEFINANCE(B23, ""price"", DATE(2025,5,8)), 2, 2)"),0.23808219178082185)</f>
        <v>0.2380821918</v>
      </c>
      <c r="AP23" s="37">
        <f t="shared" si="18"/>
        <v>-0.006682928511</v>
      </c>
      <c r="AQ23" s="37">
        <f t="shared" si="19"/>
        <v>0.04107681597</v>
      </c>
      <c r="AR23" s="37">
        <f t="shared" si="20"/>
        <v>-0.04775974448</v>
      </c>
      <c r="AS23" s="34">
        <f>IFERROR(__xludf.DUMMYFUNCTION("IF(X23&lt;K23,1,IF(X23&gt;J23,-1,0)) + IF(X23&lt;F23,1,IF(X23&gt;G23,-1,0)) + IF(X23&lt;I23,1,IF(X23&gt;I23,-1,0)) + IF(X23&lt;H23,1,IF(X23&gt;H23,-1,0))"),-1.0)</f>
        <v>-1</v>
      </c>
      <c r="AT23" s="34" t="str">
        <f t="shared" si="21"/>
        <v>venta</v>
      </c>
      <c r="AU23" s="35" t="str">
        <f t="shared" si="22"/>
        <v>venta</v>
      </c>
      <c r="AV23" s="35" t="str">
        <f t="shared" si="23"/>
        <v>hold</v>
      </c>
      <c r="AW23" s="38">
        <f t="shared" si="24"/>
        <v>-0.04587533191</v>
      </c>
      <c r="AX23" s="38">
        <f t="shared" si="25"/>
        <v>0.4797689207</v>
      </c>
      <c r="AY23" s="38">
        <f t="shared" si="26"/>
        <v>0.4717408263</v>
      </c>
      <c r="AZ23" s="42">
        <f t="shared" si="27"/>
        <v>0.03471010053</v>
      </c>
      <c r="BA23" s="38">
        <f t="shared" si="28"/>
        <v>0.6638252968</v>
      </c>
      <c r="BB23" s="38">
        <f t="shared" si="29"/>
        <v>0.3361747032</v>
      </c>
      <c r="BC23" s="38">
        <f t="shared" si="30"/>
        <v>-0.2270479494</v>
      </c>
      <c r="BD23" s="38">
        <f t="shared" si="31"/>
        <v>0.5403684499</v>
      </c>
      <c r="BE23" s="38">
        <f t="shared" si="32"/>
        <v>0.4596315501</v>
      </c>
      <c r="BF23" s="38">
        <f t="shared" si="33"/>
        <v>0.1674096631</v>
      </c>
      <c r="BG23" s="37">
        <f t="shared" si="34"/>
        <v>0.09923934421</v>
      </c>
      <c r="BH23" s="43">
        <f t="shared" si="35"/>
        <v>0.2854900852</v>
      </c>
      <c r="BI23" s="44">
        <f t="shared" si="36"/>
        <v>0.442008729</v>
      </c>
      <c r="BJ23" s="38">
        <f t="shared" si="37"/>
        <v>-0.05963828631</v>
      </c>
      <c r="BK23" s="43">
        <f t="shared" si="38"/>
        <v>0.7145492906</v>
      </c>
      <c r="BL23" s="45">
        <v>11.56</v>
      </c>
      <c r="BM23" s="46">
        <f t="shared" si="39"/>
        <v>0.003615178055</v>
      </c>
      <c r="BN23" s="45">
        <v>0.0</v>
      </c>
      <c r="BO23" s="45">
        <v>2.3</v>
      </c>
      <c r="BP23" s="47">
        <f t="shared" si="40"/>
        <v>0.00328961861</v>
      </c>
      <c r="BQ23" s="45">
        <v>2.2</v>
      </c>
      <c r="BR23" s="47">
        <f t="shared" si="41"/>
        <v>0.1346367474</v>
      </c>
      <c r="BS23" s="38">
        <v>0.354</v>
      </c>
      <c r="BT23" s="47">
        <f t="shared" si="42"/>
        <v>0.7055503293</v>
      </c>
      <c r="BU23" s="45">
        <v>0.1</v>
      </c>
      <c r="BV23" s="47">
        <f t="shared" si="43"/>
        <v>0.995049505</v>
      </c>
      <c r="BW23" s="48">
        <f t="shared" si="44"/>
        <v>0.8397801</v>
      </c>
      <c r="BX23" s="49">
        <f t="shared" si="45"/>
        <v>0.5985273727</v>
      </c>
      <c r="BY23" s="47">
        <f t="shared" si="46"/>
        <v>0.4596315501</v>
      </c>
      <c r="BZ23" s="38">
        <v>0.245</v>
      </c>
      <c r="CA23" s="50">
        <f t="shared" si="47"/>
        <v>0.2617283951</v>
      </c>
      <c r="CB23" s="38">
        <v>2.677</v>
      </c>
      <c r="CC23" s="50">
        <f t="shared" si="48"/>
        <v>1</v>
      </c>
      <c r="CD23" s="38">
        <v>2.376</v>
      </c>
      <c r="CE23" s="50">
        <f t="shared" si="49"/>
        <v>0.7501388272</v>
      </c>
      <c r="CF23" s="50">
        <f t="shared" si="50"/>
        <v>0.6706224074</v>
      </c>
      <c r="CG23" s="38">
        <v>0.188</v>
      </c>
      <c r="CH23" s="51">
        <f t="shared" si="51"/>
        <v>0.2372116349</v>
      </c>
      <c r="CI23" s="38">
        <v>0.186</v>
      </c>
      <c r="CJ23" s="51">
        <f t="shared" si="52"/>
        <v>0.2700636943</v>
      </c>
      <c r="CK23" s="38">
        <v>0.194</v>
      </c>
      <c r="CL23" s="51">
        <f t="shared" si="53"/>
        <v>0.4033057851</v>
      </c>
      <c r="CM23" s="38">
        <v>0.122</v>
      </c>
      <c r="CN23" s="51">
        <f t="shared" si="54"/>
        <v>0.1604197901</v>
      </c>
      <c r="CO23" s="38">
        <v>0.174</v>
      </c>
      <c r="CP23" s="51">
        <f t="shared" si="55"/>
        <v>0.6098726115</v>
      </c>
      <c r="CQ23" s="51">
        <f t="shared" si="56"/>
        <v>0.3361747032</v>
      </c>
      <c r="CR23" s="52">
        <f t="shared" si="57"/>
        <v>0.4888095535</v>
      </c>
      <c r="CS23" s="65"/>
      <c r="CT23" s="54">
        <f t="shared" si="59"/>
        <v>0.2123377484</v>
      </c>
      <c r="CU23" s="55">
        <f t="shared" si="60"/>
        <v>-0.01724942741</v>
      </c>
      <c r="CV23" s="34">
        <f t="shared" si="61"/>
        <v>1.062396683</v>
      </c>
      <c r="CW23" s="34">
        <f t="shared" si="62"/>
        <v>0.5100039474</v>
      </c>
      <c r="CX23" s="35">
        <f t="shared" si="63"/>
        <v>0.3231653787</v>
      </c>
      <c r="CY23" s="38">
        <f>IFERROR(__xludf.DUMMYFUNCTION("(GOOGLEFINANCE(B23,""price"")/INDEX(GOOGLEFINANCE(B23,""price"",TODAY()-30),2,2))-1"),0.07449101796407187)</f>
        <v>0.07449101796</v>
      </c>
      <c r="CZ23" s="38">
        <f>IFERROR(__xludf.DUMMYFUNCTION("(GOOGLEFINANCE($B23,""price"")/INDEX(GOOGLEFINANCE($B23,""price"",TODAY()-180),2,2))-1"),0.20364904749127977)</f>
        <v>0.2036490475</v>
      </c>
      <c r="DA23" s="38">
        <f>IFERROR(__xludf.DUMMYFUNCTION("(GOOGLEFINANCE($B23,""price"")/INDEX(GOOGLEFINANCE($B23,""price"",TODAY()-365),2,2))-1"),0.9893569844789356)</f>
        <v>0.9893569845</v>
      </c>
      <c r="DB23" s="38">
        <f>IFERROR(__xludf.DUMMYFUNCTION("(GOOGLEFINANCE($B23,""price"")/INDEX(GOOGLEFINANCE($B23,""price"",TODAY()-365*5),2,2))-1"),0.8407878539187525)</f>
        <v>0.8407878539</v>
      </c>
      <c r="DC23" s="38">
        <f>IFERROR(__xludf.DUMMYFUNCTION("(INDEX(GOOGLEFINANCE(B23, ""price"", TODAY()-30, TODAY()), ROWS(GOOGLEFINANCE(B23, ""price"", TODAY()-30, TODAY())), 2) / INDEX(GOOGLEFINANCE(B23, ""price"", TODAY()-30, TODAY()), 2, 2)) - 1"),0.07449101796407187)</f>
        <v>0.07449101796</v>
      </c>
      <c r="DD23" s="38">
        <f>IFERROR(__xludf.DUMMYFUNCTION("(INDEX(GOOGLEFINANCE(B23, ""price"", TODAY()-7, TODAY()), ROWS(GOOGLEFINANCE(B23, ""price"", TODAY()-7, TODAY())), 2) / INDEX(GOOGLEFINANCE(B23, ""price"", TODAY()-7, TODAY()), 2, 2)) - 1"),0.015851449275362306)</f>
        <v>0.01585144928</v>
      </c>
    </row>
    <row r="24">
      <c r="A24" s="61" t="str">
        <f>IFERROR(__xludf.DUMMYFUNCTION("GOOGLEFINANCE(B24,""name"")"),"Ford Motor Co")</f>
        <v>Ford Motor Co</v>
      </c>
      <c r="B24" s="35" t="s">
        <v>127</v>
      </c>
      <c r="C24" s="35" t="s">
        <v>114</v>
      </c>
      <c r="D24" s="35" t="s">
        <v>91</v>
      </c>
      <c r="E24" s="64">
        <v>4.0</v>
      </c>
      <c r="F24" s="35">
        <f>IFERROR(__xludf.DUMMYFUNCTION("IFERROR(MIN(INDEX(GOOGLEFINANCE(B24,""close"",TODAY()-100,TODAY()),0,2)) * GOOGLEFINANCE(""CURRENCY:USDEUR""),""Error en datos"")"),7.4349902)</f>
        <v>7.4349902</v>
      </c>
      <c r="G24" s="35">
        <f>IFERROR(__xludf.DUMMYFUNCTION("IFERROR(MAX(INDEX(GOOGLEFINANCE(B24,""close"",TODAY()-100,TODAY()),0,2)) * GOOGLEFINANCE(""CURRENCY:USDEUR""),""Error en datos"")"),10.1899578)</f>
        <v>10.1899578</v>
      </c>
      <c r="H24" s="35">
        <f>IFERROR(__xludf.DUMMYFUNCTION("IFERROR(AVERAGE(INDEX(GOOGLEFINANCE(B24,""close"",TODAY()-20,TODAY()),0,2)) * GOOGLEFINANCE(""CURRENCY:USDEUR""),""Error en datos"")"),9.688456292307693)</f>
        <v>9.688456292</v>
      </c>
      <c r="I24" s="35">
        <f>IFERROR(__xludf.DUMMYFUNCTION("IFERROR(PERCENTILE(INDEX(GOOGLEFINANCE(B24,""close"",TODAY()-365,TODAY()),0,2),0.05) * GOOGLEFINANCE(""CURRENCY:USDEUR""),""Error en datos"")"),7.985555930000001)</f>
        <v>7.98555593</v>
      </c>
      <c r="J24" s="35">
        <f>IFERROR(__xludf.DUMMYFUNCTION("AVERAGE(INDEX(GOOGLEFINANCE(B24,""price"",TODAY()-20,TODAY(),""DAILY""),0,2))+(2*STDEV(INDEX(GOOGLEFINANCE(B24,""price"",TODAY()-20,TODAY(),""DAILY""),0,2)))"),12.401916604900212)</f>
        <v>12.4019166</v>
      </c>
      <c r="K24" s="35">
        <f>IFERROR(__xludf.DUMMYFUNCTION("AVERAGE(INDEX(GOOGLEFINANCE(B24,""price"",TODAY()-20,TODAY(),""DAILY""),0,2))-(2*STDEV(INDEX(GOOGLEFINANCE(B24,""price"",TODAY()-20,TODAY(),""DAILY""),0,2)))"),10.245775702792098)</f>
        <v>10.2457757</v>
      </c>
      <c r="L24" s="35">
        <v>1626.0</v>
      </c>
      <c r="M24" s="35">
        <f t="shared" si="1"/>
        <v>0.2847050512</v>
      </c>
      <c r="N24" s="35">
        <v>100.0</v>
      </c>
      <c r="O24" s="35">
        <f t="shared" si="2"/>
        <v>0.8888888889</v>
      </c>
      <c r="P24" s="35">
        <v>6.72</v>
      </c>
      <c r="Q24" s="35">
        <f t="shared" si="3"/>
        <v>0.2797527048</v>
      </c>
      <c r="R24" s="35" t="str">
        <f>IFERROR(__xludf.DUMMYFUNCTION("IF(B24="""", """", SPARKLINE(INDEX(GOOGLEFINANCE(B24, ""price"", TODAY()-1825, TODAY()), 0, 2)))"),"")</f>
        <v/>
      </c>
      <c r="S24" s="35">
        <f t="shared" si="4"/>
        <v>8.555440611</v>
      </c>
      <c r="T24" s="35">
        <f t="shared" si="5"/>
        <v>9.305461301</v>
      </c>
      <c r="U24" s="34" t="str">
        <f t="shared" si="6"/>
        <v>Venta</v>
      </c>
      <c r="V24" s="37">
        <f t="shared" si="7"/>
        <v>0.1780494843</v>
      </c>
      <c r="W24" s="37">
        <f t="shared" si="8"/>
        <v>0.1315053478</v>
      </c>
      <c r="X24" s="34">
        <f>IFERROR(__xludf.DUMMYFUNCTION("AJ24*GOOGLEFINANCE(""CURRENCY:USD/EUR"")"),10.0787324)</f>
        <v>10.0787324</v>
      </c>
      <c r="Y24" s="35">
        <f>IFERROR(__xludf.DUMMYFUNCTION("AI24*GOOGLEFINANCE(""CURRENCY:USD/EUR"")"),8.907366120671488)</f>
        <v>8.907366121</v>
      </c>
      <c r="Z24" s="38">
        <f t="shared" si="9"/>
        <v>-0.07672305091</v>
      </c>
      <c r="AA24" s="38">
        <f t="shared" si="10"/>
        <v>-0.04222158748</v>
      </c>
      <c r="AB24" s="38">
        <f t="shared" si="11"/>
        <v>-0.0133621725</v>
      </c>
      <c r="AC24" s="41">
        <v>8.0</v>
      </c>
      <c r="AD24" s="40">
        <f t="shared" si="12"/>
        <v>0.3290792524</v>
      </c>
      <c r="AE24" s="41">
        <v>9.7</v>
      </c>
      <c r="AF24" s="41">
        <f t="shared" si="13"/>
        <v>0.3754918107</v>
      </c>
      <c r="AG24" s="41">
        <v>14.0</v>
      </c>
      <c r="AH24" s="41">
        <f t="shared" si="14"/>
        <v>0.2954289369</v>
      </c>
      <c r="AI24" s="41">
        <f t="shared" si="15"/>
        <v>10.4109097</v>
      </c>
      <c r="AJ24" s="34">
        <f>IFERROR(__xludf.DUMMYFUNCTION("GOOGLEFINANCE(B24,""price"")"),11.78)</f>
        <v>11.78</v>
      </c>
      <c r="AK24" s="37">
        <f t="shared" si="67"/>
        <v>-0.05917999032</v>
      </c>
      <c r="AL24" s="34">
        <v>10.28</v>
      </c>
      <c r="AM24" s="34">
        <f t="shared" si="16"/>
        <v>7.435074566</v>
      </c>
      <c r="AN24" s="34">
        <f t="shared" si="17"/>
        <v>10.20707908</v>
      </c>
      <c r="AO24" s="38">
        <f>IFERROR(__xludf.DUMMYFUNCTION("(GOOGLEFINANCE(B24, ""price"") - INDEX(GOOGLEFINANCE(B24, ""price"", DATE(2025,5,8)), 2, 2)) / INDEX(GOOGLEFINANCE(B24, ""price"", DATE(2025,5,8)), 2, 2)"),0.14591439688715954)</f>
        <v>0.1459143969</v>
      </c>
      <c r="AP24" s="37">
        <f t="shared" si="18"/>
        <v>0.01273440656</v>
      </c>
      <c r="AQ24" s="37">
        <f t="shared" si="19"/>
        <v>0.1459143969</v>
      </c>
      <c r="AR24" s="37">
        <f t="shared" si="20"/>
        <v>-0.1331799903</v>
      </c>
      <c r="AS24" s="34">
        <f>IFERROR(__xludf.DUMMYFUNCTION("IF(X24&lt;K24,1,IF(X24&gt;J24,-1,0)) + IF(X24&lt;F24,1,IF(X24&gt;G24,-1,0)) + IF(X24&lt;I24,1,IF(X24&gt;I24,-1,0)) + IF(X24&lt;H24,1,IF(X24&gt;H24,-1,0))"),-1.0)</f>
        <v>-1</v>
      </c>
      <c r="AT24" s="34" t="str">
        <f t="shared" si="21"/>
        <v>venta</v>
      </c>
      <c r="AU24" s="35" t="str">
        <f t="shared" si="22"/>
        <v>venta</v>
      </c>
      <c r="AV24" s="35" t="str">
        <f t="shared" si="23"/>
        <v>venta</v>
      </c>
      <c r="AW24" s="38">
        <f t="shared" si="24"/>
        <v>-0.1162215875</v>
      </c>
      <c r="AX24" s="38">
        <f t="shared" si="25"/>
        <v>-0.1590629237</v>
      </c>
      <c r="AY24" s="38">
        <f t="shared" si="26"/>
        <v>-0.1441965281</v>
      </c>
      <c r="AZ24" s="42">
        <f t="shared" si="27"/>
        <v>-0.05292373864</v>
      </c>
      <c r="BA24" s="38">
        <f t="shared" si="28"/>
        <v>0.5940596428</v>
      </c>
      <c r="BB24" s="38">
        <f t="shared" si="29"/>
        <v>0.4059403572</v>
      </c>
      <c r="BC24" s="38">
        <f t="shared" si="30"/>
        <v>-0.2623006276</v>
      </c>
      <c r="BD24" s="38">
        <f t="shared" si="31"/>
        <v>0.5973915738</v>
      </c>
      <c r="BE24" s="38">
        <f t="shared" si="32"/>
        <v>0.4026084262</v>
      </c>
      <c r="BF24" s="38">
        <f t="shared" si="33"/>
        <v>-0.02960812965</v>
      </c>
      <c r="BG24" s="37">
        <f t="shared" si="34"/>
        <v>0.04010690132</v>
      </c>
      <c r="BH24" s="43">
        <f t="shared" si="35"/>
        <v>-0.05204481339</v>
      </c>
      <c r="BI24" s="44">
        <f t="shared" si="36"/>
        <v>0.3102782177</v>
      </c>
      <c r="BJ24" s="38">
        <f t="shared" si="37"/>
        <v>-0.2919087572</v>
      </c>
      <c r="BK24" s="43">
        <f t="shared" si="38"/>
        <v>-0.4936520866</v>
      </c>
      <c r="BL24" s="47">
        <v>40.48</v>
      </c>
      <c r="BM24" s="46">
        <f t="shared" si="39"/>
        <v>0.01276224274</v>
      </c>
      <c r="BN24" s="38">
        <v>0.074</v>
      </c>
      <c r="BO24" s="47">
        <v>184.99</v>
      </c>
      <c r="BP24" s="47">
        <f t="shared" si="40"/>
        <v>0.2715844507</v>
      </c>
      <c r="BQ24" s="47">
        <v>1.46</v>
      </c>
      <c r="BR24" s="47">
        <f t="shared" si="41"/>
        <v>0.1181959565</v>
      </c>
      <c r="BS24" s="47">
        <v>0.028</v>
      </c>
      <c r="BT24" s="47">
        <f t="shared" si="42"/>
        <v>0.3988711195</v>
      </c>
      <c r="BU24" s="47">
        <v>3.6</v>
      </c>
      <c r="BV24" s="47">
        <f t="shared" si="43"/>
        <v>0.8217821782</v>
      </c>
      <c r="BW24" s="48">
        <f t="shared" si="44"/>
        <v>1.592028541</v>
      </c>
      <c r="BX24" s="49">
        <f t="shared" si="45"/>
        <v>0.6726012488</v>
      </c>
      <c r="BY24" s="47">
        <f t="shared" si="46"/>
        <v>0.4026084262</v>
      </c>
      <c r="BZ24" s="50">
        <v>0.05</v>
      </c>
      <c r="CA24" s="50">
        <f t="shared" si="47"/>
        <v>0.1012345679</v>
      </c>
      <c r="CB24" s="50">
        <v>-0.071</v>
      </c>
      <c r="CC24" s="50">
        <f t="shared" si="48"/>
        <v>0.1586037967</v>
      </c>
      <c r="CD24" s="50">
        <v>0.352</v>
      </c>
      <c r="CE24" s="50">
        <f t="shared" si="49"/>
        <v>0.6939415815</v>
      </c>
      <c r="CF24" s="50">
        <f t="shared" si="50"/>
        <v>0.3179266487</v>
      </c>
      <c r="CG24" s="51">
        <v>1.709</v>
      </c>
      <c r="CH24" s="51">
        <f t="shared" si="51"/>
        <v>1</v>
      </c>
      <c r="CI24" s="51">
        <v>0.035</v>
      </c>
      <c r="CJ24" s="51">
        <f t="shared" si="52"/>
        <v>0.07770700637</v>
      </c>
      <c r="CK24" s="51">
        <v>0.052</v>
      </c>
      <c r="CL24" s="51">
        <f t="shared" si="53"/>
        <v>0.2859504132</v>
      </c>
      <c r="CM24" s="51">
        <v>0.146</v>
      </c>
      <c r="CN24" s="51">
        <f t="shared" si="54"/>
        <v>0.1724137931</v>
      </c>
      <c r="CO24" s="51">
        <v>0.028</v>
      </c>
      <c r="CP24" s="51">
        <f t="shared" si="55"/>
        <v>0.4936305732</v>
      </c>
      <c r="CQ24" s="51">
        <f t="shared" si="56"/>
        <v>0.4059403572</v>
      </c>
      <c r="CR24" s="52">
        <f t="shared" si="57"/>
        <v>0.3754918107</v>
      </c>
      <c r="CS24" s="53">
        <f t="shared" ref="CS24:CS75" si="68">(M24+AVERAGE(O24,Q24))/2</f>
        <v>0.434512924</v>
      </c>
      <c r="CT24" s="54">
        <f t="shared" si="59"/>
        <v>0.3164772642</v>
      </c>
      <c r="CU24" s="55">
        <f t="shared" si="60"/>
        <v>-0.01883553235</v>
      </c>
      <c r="CV24" s="34">
        <f t="shared" si="61"/>
        <v>0.5293101516</v>
      </c>
      <c r="CW24" s="34">
        <f t="shared" si="62"/>
        <v>0.3200734432</v>
      </c>
      <c r="CX24" s="35">
        <f t="shared" si="63"/>
        <v>0.5843207968</v>
      </c>
      <c r="CY24" s="38">
        <f>IFERROR(__xludf.DUMMYFUNCTION("(GOOGLEFINANCE(B24,""price"")/INDEX(GOOGLEFINANCE(B24,""price"",TODAY()-30),2,2))-1"),0.10922787193973638)</f>
        <v>0.1092278719</v>
      </c>
      <c r="CZ24" s="38">
        <f>IFERROR(__xludf.DUMMYFUNCTION("(GOOGLEFINANCE($B24,""price"")/INDEX(GOOGLEFINANCE($B24,""price"",TODAY()-180),2,2))-1"),0.18391959798994972)</f>
        <v>0.183919598</v>
      </c>
      <c r="DA24" s="38">
        <f>IFERROR(__xludf.DUMMYFUNCTION("(GOOGLEFINANCE($B24,""price"")/INDEX(GOOGLEFINANCE($B24,""price"",TODAY()-365),2,2))-1"),-0.17217146872803946)</f>
        <v>-0.1721714687</v>
      </c>
      <c r="DB24" s="38">
        <f>IFERROR(__xludf.DUMMYFUNCTION("(GOOGLEFINANCE($B24,""price"")/INDEX(GOOGLEFINANCE($B24,""price"",TODAY()-365*5),2,2))-1"),0.747774480712166)</f>
        <v>0.7477744807</v>
      </c>
      <c r="DC24" s="38">
        <f>IFERROR(__xludf.DUMMYFUNCTION("(INDEX(GOOGLEFINANCE(B24, ""price"", TODAY()-30, TODAY()), ROWS(GOOGLEFINANCE(B24, ""price"", TODAY()-30, TODAY())), 2) / INDEX(GOOGLEFINANCE(B24, ""price"", TODAY()-30, TODAY()), 2, 2)) - 1"),0.10922787193973638)</f>
        <v>0.1092278719</v>
      </c>
      <c r="DD24" s="38">
        <f>IFERROR(__xludf.DUMMYFUNCTION("(INDEX(GOOGLEFINANCE(B24, ""price"", TODAY()-7, TODAY()), ROWS(GOOGLEFINANCE(B24, ""price"", TODAY()-7, TODAY())), 2) / INDEX(GOOGLEFINANCE(B24, ""price"", TODAY()-7, TODAY()), 2, 2)) - 1"),0.016393442622950838)</f>
        <v>0.01639344262</v>
      </c>
    </row>
    <row r="25">
      <c r="A25" s="34" t="str">
        <f>IFERROR(__xludf.DUMMYFUNCTION("GOOGLEFINANCE(B25,""name"")"),"FitLife Brands Inc")</f>
        <v>FitLife Brands Inc</v>
      </c>
      <c r="B25" s="45" t="s">
        <v>128</v>
      </c>
      <c r="C25" s="45" t="s">
        <v>129</v>
      </c>
      <c r="D25" s="45" t="s">
        <v>107</v>
      </c>
      <c r="E25" s="36">
        <v>1.0</v>
      </c>
      <c r="F25" s="35">
        <f>IFERROR(__xludf.DUMMYFUNCTION("IFERROR(MIN(INDEX(GOOGLEFINANCE(B25,""close"",TODAY()-100,TODAY()),0,2)) * GOOGLEFINANCE(""CURRENCY:USDEUR""),""Error en datos"")"),8.9579226)</f>
        <v>8.9579226</v>
      </c>
      <c r="G25" s="35">
        <f>IFERROR(__xludf.DUMMYFUNCTION("IFERROR(MAX(INDEX(GOOGLEFINANCE(B25,""close"",TODAY()-100,TODAY()),0,2)) * GOOGLEFINANCE(""CURRENCY:USDEUR""),""Error en datos"")"),13.612277800000001)</f>
        <v>13.6122778</v>
      </c>
      <c r="H25" s="35">
        <f>IFERROR(__xludf.DUMMYFUNCTION("IFERROR(AVERAGE(INDEX(GOOGLEFINANCE(B25,""close"",TODAY()-20,TODAY()),0,2)) * GOOGLEFINANCE(""CURRENCY:USDEUR""),""Error en datos"")"),11.389086076923078)</f>
        <v>11.38908608</v>
      </c>
      <c r="I25" s="35">
        <f>IFERROR(__xludf.DUMMYFUNCTION("IFERROR(PERCENTILE(INDEX(GOOGLEFINANCE(B25,""close"",TODAY()-365,TODAY()),0,2),0.05) * GOOGLEFINANCE(""CURRENCY:USDEUR""),""Error en datos"")"),10.6348594)</f>
        <v>10.6348594</v>
      </c>
      <c r="J25" s="35">
        <f>IFERROR(__xludf.DUMMYFUNCTION("AVERAGE(INDEX(GOOGLEFINANCE(B25,""price"",TODAY()-20,TODAY(),""DAILY""),0,2))+(2*STDEV(INDEX(GOOGLEFINANCE(B25,""price"",TODAY()-20,TODAY(),""DAILY""),0,2)))"),14.29231523375683)</f>
        <v>14.29231523</v>
      </c>
      <c r="K25" s="35">
        <f>IFERROR(__xludf.DUMMYFUNCTION("AVERAGE(INDEX(GOOGLEFINANCE(B25,""price"",TODAY()-20,TODAY(),""DAILY""),0,2))-(2*STDEV(INDEX(GOOGLEFINANCE(B25,""price"",TODAY()-20,TODAY(),""DAILY""),0,2)))"),12.330761689320097)</f>
        <v>12.33076169</v>
      </c>
      <c r="L25" s="35">
        <v>22.0</v>
      </c>
      <c r="M25" s="35">
        <f t="shared" si="1"/>
        <v>0.001412928294</v>
      </c>
      <c r="N25" s="35">
        <v>0.0</v>
      </c>
      <c r="O25" s="35">
        <f t="shared" si="2"/>
        <v>0.4444444444</v>
      </c>
      <c r="P25" s="35">
        <v>7.6</v>
      </c>
      <c r="Q25" s="35">
        <f t="shared" si="3"/>
        <v>0.2967542504</v>
      </c>
      <c r="R25" s="35" t="str">
        <f>IFERROR(__xludf.DUMMYFUNCTION("IF(B25="""", """", SPARKLINE(INDEX(GOOGLEFINANCE(B25, ""price"", TODAY()-1825, TODAY()), 0, 2)))"),"")</f>
        <v/>
      </c>
      <c r="S25" s="35">
        <f t="shared" si="4"/>
        <v>10.64118123</v>
      </c>
      <c r="T25" s="35">
        <f t="shared" si="5"/>
        <v>16.91953832</v>
      </c>
      <c r="U25" s="34" t="str">
        <f t="shared" si="6"/>
        <v>Compra</v>
      </c>
      <c r="V25" s="37">
        <f t="shared" si="7"/>
        <v>0.04684351854</v>
      </c>
      <c r="W25" s="37">
        <f t="shared" si="8"/>
        <v>-0.3639205119</v>
      </c>
      <c r="X25" s="34">
        <f>IFERROR(__xludf.DUMMYFUNCTION("AJ25*GOOGLEFINANCE(""CURRENCY:USD/EUR"")"),11.1396516)</f>
        <v>11.1396516</v>
      </c>
      <c r="Y25" s="35">
        <f>IFERROR(__xludf.DUMMYFUNCTION("AI25*GOOGLEFINANCE(""CURRENCY:USD/EUR"")"),17.512986676427353)</f>
        <v>17.51298668</v>
      </c>
      <c r="Z25" s="38">
        <f t="shared" si="9"/>
        <v>0.5188570454</v>
      </c>
      <c r="AA25" s="38">
        <f t="shared" si="10"/>
        <v>0.5721305572</v>
      </c>
      <c r="AB25" s="38">
        <f t="shared" si="11"/>
        <v>0.2946999893</v>
      </c>
      <c r="AC25" s="41">
        <v>20.0</v>
      </c>
      <c r="AD25" s="40">
        <f t="shared" si="12"/>
        <v>0.3333333333</v>
      </c>
      <c r="AE25" s="41">
        <v>20.5</v>
      </c>
      <c r="AF25" s="41">
        <f t="shared" si="13"/>
        <v>0.395053625</v>
      </c>
      <c r="AG25" s="41">
        <v>21.0</v>
      </c>
      <c r="AH25" s="41">
        <f t="shared" si="14"/>
        <v>0.2716130417</v>
      </c>
      <c r="AI25" s="41">
        <f t="shared" si="15"/>
        <v>20.46913985</v>
      </c>
      <c r="AJ25" s="34">
        <f>IFERROR(__xludf.DUMMYFUNCTION("GOOGLEFINANCE(B25,""price"")"),13.02)</f>
        <v>13.02</v>
      </c>
      <c r="AK25" s="37">
        <f t="shared" si="67"/>
        <v>0.515868411</v>
      </c>
      <c r="AL25" s="35">
        <v>14.44</v>
      </c>
      <c r="AM25" s="34">
        <f t="shared" si="16"/>
        <v>17.28892317</v>
      </c>
      <c r="AN25" s="34">
        <f t="shared" si="17"/>
        <v>15.79079547</v>
      </c>
      <c r="AO25" s="38">
        <f>IFERROR(__xludf.DUMMYFUNCTION("(GOOGLEFINANCE(B25, ""price"") - INDEX(GOOGLEFINANCE(B25, ""price"", DATE(2025,5,9)), 2, 2)) / INDEX(GOOGLEFINANCE(B25, ""price"", DATE(2025,5,8)), 2, 2)"),-0.1696090794451451)</f>
        <v>-0.1696090794</v>
      </c>
      <c r="AP25" s="37">
        <f t="shared" si="18"/>
        <v>0.4175304608</v>
      </c>
      <c r="AQ25" s="37">
        <f t="shared" si="19"/>
        <v>-0.09833795014</v>
      </c>
      <c r="AR25" s="37">
        <f t="shared" si="20"/>
        <v>0.515868411</v>
      </c>
      <c r="AS25" s="34">
        <f>IFERROR(__xludf.DUMMYFUNCTION("IF(X25&lt;K25,1,IF(X25&gt;J25,-1,0)) + IF(X25&lt;F25,1,IF(X25&gt;G25,-1,0)) + IF(X25&lt;I25,1,IF(X25&gt;I25,-1,0)) + IF(X25&lt;H25,1,IF(X25&gt;H25,-1,0))"),1.0)</f>
        <v>1</v>
      </c>
      <c r="AT25" s="34" t="str">
        <f t="shared" si="21"/>
        <v>recompra</v>
      </c>
      <c r="AU25" s="35" t="str">
        <f t="shared" si="22"/>
        <v>compra</v>
      </c>
      <c r="AV25" s="35" t="str">
        <f t="shared" si="23"/>
        <v>compra</v>
      </c>
      <c r="AW25" s="38">
        <f t="shared" si="24"/>
        <v>0.5721305572</v>
      </c>
      <c r="AX25" s="38">
        <f t="shared" si="25"/>
        <v>0.1837720498</v>
      </c>
      <c r="AY25" s="38">
        <f t="shared" si="26"/>
        <v>0.1842304162</v>
      </c>
      <c r="AZ25" s="42">
        <f t="shared" si="27"/>
        <v>0.5871330051</v>
      </c>
      <c r="BA25" s="38">
        <f t="shared" si="28"/>
        <v>0.5854901581</v>
      </c>
      <c r="BB25" s="38">
        <f t="shared" si="29"/>
        <v>0.4145098419</v>
      </c>
      <c r="BC25" s="38">
        <f t="shared" si="30"/>
        <v>0.552016507</v>
      </c>
      <c r="BD25" s="38">
        <f t="shared" si="31"/>
        <v>0.5856938693</v>
      </c>
      <c r="BE25" s="38">
        <f t="shared" si="32"/>
        <v>0.4143061307</v>
      </c>
      <c r="BF25" s="38">
        <f t="shared" si="33"/>
        <v>0.5904111417</v>
      </c>
      <c r="BG25" s="37">
        <f t="shared" si="34"/>
        <v>0.6030521858</v>
      </c>
      <c r="BH25" s="43">
        <f t="shared" si="35"/>
        <v>0.393641301</v>
      </c>
      <c r="BI25" s="44">
        <f t="shared" si="36"/>
        <v>0.7306585933</v>
      </c>
      <c r="BJ25" s="38">
        <f t="shared" si="37"/>
        <v>1.142427649</v>
      </c>
      <c r="BK25" s="43">
        <f t="shared" si="38"/>
        <v>0.8642151932</v>
      </c>
      <c r="BL25" s="45">
        <v>0.13</v>
      </c>
      <c r="BM25" s="46">
        <f t="shared" si="39"/>
        <v>0</v>
      </c>
      <c r="BN25" s="45">
        <v>0.0</v>
      </c>
      <c r="BO25" s="45">
        <v>0.06</v>
      </c>
      <c r="BP25" s="47">
        <f t="shared" si="40"/>
        <v>0</v>
      </c>
      <c r="BQ25" s="45">
        <v>0.9</v>
      </c>
      <c r="BR25" s="47">
        <f t="shared" si="41"/>
        <v>0.1057542768</v>
      </c>
      <c r="BS25" s="38">
        <v>0.206</v>
      </c>
      <c r="BT25" s="47">
        <f t="shared" si="42"/>
        <v>0.566321731</v>
      </c>
      <c r="BU25" s="45">
        <v>0.3</v>
      </c>
      <c r="BV25" s="47">
        <f t="shared" si="43"/>
        <v>0.9851485149</v>
      </c>
      <c r="BW25" s="48">
        <f t="shared" si="44"/>
        <v>1.703244175</v>
      </c>
      <c r="BX25" s="49">
        <f t="shared" si="45"/>
        <v>1.067675886</v>
      </c>
      <c r="BY25" s="47">
        <f t="shared" si="46"/>
        <v>0.4143061307</v>
      </c>
      <c r="BZ25" s="38">
        <v>0.091</v>
      </c>
      <c r="CA25" s="50">
        <f t="shared" si="47"/>
        <v>0.1349794239</v>
      </c>
      <c r="CB25" s="38">
        <v>0.207</v>
      </c>
      <c r="CC25" s="50">
        <f t="shared" si="48"/>
        <v>0.2437232088</v>
      </c>
      <c r="CD25" s="38">
        <v>0.222</v>
      </c>
      <c r="CE25" s="50">
        <f t="shared" si="49"/>
        <v>0.6903320746</v>
      </c>
      <c r="CF25" s="50">
        <f t="shared" si="50"/>
        <v>0.3563449024</v>
      </c>
      <c r="CG25" s="38">
        <v>0.215</v>
      </c>
      <c r="CH25" s="51">
        <f t="shared" si="51"/>
        <v>0.2507522568</v>
      </c>
      <c r="CI25" s="38">
        <v>0.264</v>
      </c>
      <c r="CJ25" s="51">
        <f t="shared" si="52"/>
        <v>0.3694267516</v>
      </c>
      <c r="CK25" s="38">
        <v>0.369</v>
      </c>
      <c r="CL25" s="51">
        <f t="shared" si="53"/>
        <v>0.5479338843</v>
      </c>
      <c r="CM25" s="38">
        <v>0.349</v>
      </c>
      <c r="CN25" s="51">
        <f t="shared" si="54"/>
        <v>0.2738630685</v>
      </c>
      <c r="CO25" s="38">
        <v>0.2</v>
      </c>
      <c r="CP25" s="51">
        <f t="shared" si="55"/>
        <v>0.6305732484</v>
      </c>
      <c r="CQ25" s="51">
        <f t="shared" si="56"/>
        <v>0.4145098419</v>
      </c>
      <c r="CR25" s="52">
        <f t="shared" si="57"/>
        <v>0.395053625</v>
      </c>
      <c r="CS25" s="53">
        <f t="shared" si="68"/>
        <v>0.1860061379</v>
      </c>
      <c r="CT25" s="54">
        <f t="shared" si="59"/>
        <v>0.5150922033</v>
      </c>
      <c r="CU25" s="55">
        <f t="shared" si="60"/>
        <v>0.2633026198</v>
      </c>
      <c r="CV25" s="34">
        <f t="shared" si="61"/>
        <v>1.232776398</v>
      </c>
      <c r="CW25" s="34">
        <f t="shared" si="62"/>
        <v>0.5057209119</v>
      </c>
      <c r="CX25" s="35">
        <f t="shared" si="63"/>
        <v>0.3705993474</v>
      </c>
      <c r="CY25" s="38">
        <f>IFERROR(__xludf.DUMMYFUNCTION("(GOOGLEFINANCE(B25,""price"")/INDEX(GOOGLEFINANCE(B25,""price"",TODAY()-30),2,2))-1"),-0.018099547511312264)</f>
        <v>-0.01809954751</v>
      </c>
      <c r="CZ25" s="38">
        <f>IFERROR(__xludf.DUMMYFUNCTION("(GOOGLEFINANCE($B25,""price"")/INDEX(GOOGLEFINANCE($B25,""price"",TODAY()-180),2,2))-1"),-0.1982758620689654)</f>
        <v>-0.1982758621</v>
      </c>
      <c r="DA25" s="38">
        <f>IFERROR(__xludf.DUMMYFUNCTION("(GOOGLEFINANCE($B25,""price"")/INDEX(GOOGLEFINANCE($B25,""price"",TODAY()-365),2,2))-1"),-0.20366972477064227)</f>
        <v>-0.2036697248</v>
      </c>
      <c r="DB25" s="38" t="str">
        <f>IFERROR(__xludf.DUMMYFUNCTION("(GOOGLEFINANCE($B25,""price"")/INDEX(GOOGLEFINANCE($B25,""price"",TODAY()-365*5),2,2))-1"),"#N/A")</f>
        <v>#N/A</v>
      </c>
      <c r="DC25" s="38">
        <f>IFERROR(__xludf.DUMMYFUNCTION("(INDEX(GOOGLEFINANCE(B25, ""price"", TODAY()-30, TODAY()), ROWS(GOOGLEFINANCE(B25, ""price"", TODAY()-30, TODAY())), 2) / INDEX(GOOGLEFINANCE(B25, ""price"", TODAY()-30, TODAY()), 2, 2)) - 1"),-0.018099547511312264)</f>
        <v>-0.01809954751</v>
      </c>
      <c r="DD25" s="38">
        <f>IFERROR(__xludf.DUMMYFUNCTION("(INDEX(GOOGLEFINANCE(B25, ""price"", TODAY()-7, TODAY()), ROWS(GOOGLEFINANCE(B25, ""price"", TODAY()-7, TODAY())), 2) / INDEX(GOOGLEFINANCE(B25, ""price"", TODAY()-7, TODAY()), 2, 2)) - 1"),-0.05309090909090908)</f>
        <v>-0.05309090909</v>
      </c>
    </row>
    <row r="26">
      <c r="A26" s="34" t="str">
        <f>IFERROR(__xludf.DUMMYFUNCTION("GOOGLEFINANCE(B26,""name"")"),"Gambling.com Group Ltd")</f>
        <v>Gambling.com Group Ltd</v>
      </c>
      <c r="B26" s="45" t="s">
        <v>130</v>
      </c>
      <c r="C26" s="45" t="s">
        <v>96</v>
      </c>
      <c r="D26" s="45" t="s">
        <v>107</v>
      </c>
      <c r="E26" s="57">
        <v>3.0</v>
      </c>
      <c r="F26" s="35">
        <f>IFERROR(__xludf.DUMMYFUNCTION("IFERROR(MIN(INDEX(GOOGLEFINANCE(B26,""close"",TODAY()-100,TODAY()),0,2)) * GOOGLEFINANCE(""CURRENCY:USDEUR""),""Error en datos"")"),9.864837399999999)</f>
        <v>9.8648374</v>
      </c>
      <c r="G26" s="35">
        <f>IFERROR(__xludf.DUMMYFUNCTION("IFERROR(MAX(INDEX(GOOGLEFINANCE(B26,""close"",TODAY()-100,TODAY()),0,2)) * GOOGLEFINANCE(""CURRENCY:USDEUR""),""Error en datos"")"),12.5941376)</f>
        <v>12.5941376</v>
      </c>
      <c r="H26" s="35">
        <f>IFERROR(__xludf.DUMMYFUNCTION("IFERROR(AVERAGE(INDEX(GOOGLEFINANCE(B26,""close"",TODAY()-20,TODAY()),0,2)) * GOOGLEFINANCE(""CURRENCY:USDEUR""),""Error en datos"")"),10.197855461538463)</f>
        <v>10.19785546</v>
      </c>
      <c r="I26" s="35">
        <f>IFERROR(__xludf.DUMMYFUNCTION("IFERROR(PERCENTILE(INDEX(GOOGLEFINANCE(B26,""close"",TODAY()-365,TODAY()),0,2),0.05) * GOOGLEFINANCE(""CURRENCY:USDEUR""),""Error en datos"")"),7.76524408)</f>
        <v>7.76524408</v>
      </c>
      <c r="J26" s="35">
        <f>IFERROR(__xludf.DUMMYFUNCTION("AVERAGE(INDEX(GOOGLEFINANCE(B26,""price"",TODAY()-20,TODAY(),""DAILY""),0,2))+(2*STDEV(INDEX(GOOGLEFINANCE(B26,""price"",TODAY()-20,TODAY(),""DAILY""),0,2)))"),12.280751772628134)</f>
        <v>12.28075177</v>
      </c>
      <c r="K26" s="35">
        <f>IFERROR(__xludf.DUMMYFUNCTION("AVERAGE(INDEX(GOOGLEFINANCE(B26,""price"",TODAY()-20,TODAY(),""DAILY""),0,2))-(2*STDEV(INDEX(GOOGLEFINANCE(B26,""price"",TODAY()-20,TODAY(),""DAILY""),0,2)))"),11.557709765833406)</f>
        <v>11.55770977</v>
      </c>
      <c r="L26" s="35">
        <v>136.0</v>
      </c>
      <c r="M26" s="35">
        <f t="shared" si="1"/>
        <v>0.02154715648</v>
      </c>
      <c r="N26" s="35">
        <v>-33.0</v>
      </c>
      <c r="O26" s="35">
        <f t="shared" si="2"/>
        <v>0.2977777778</v>
      </c>
      <c r="P26" s="35">
        <v>-1.97</v>
      </c>
      <c r="Q26" s="35">
        <f t="shared" si="3"/>
        <v>0.111862442</v>
      </c>
      <c r="R26" s="35" t="str">
        <f>IFERROR(__xludf.DUMMYFUNCTION("IF(B26="""", """", SPARKLINE(INDEX(GOOGLEFINANCE(B26, ""price"", TODAY()-1825, TODAY()), 0, 2)))"),"")</f>
        <v/>
      </c>
      <c r="S26" s="35">
        <f t="shared" si="4"/>
        <v>9.729263749</v>
      </c>
      <c r="T26" s="35">
        <f t="shared" si="5"/>
        <v>15.12213234</v>
      </c>
      <c r="U26" s="34" t="str">
        <f t="shared" si="6"/>
        <v>Compra</v>
      </c>
      <c r="V26" s="37">
        <f t="shared" si="7"/>
        <v>0.01393462598</v>
      </c>
      <c r="W26" s="37">
        <f t="shared" si="8"/>
        <v>-0.3700240511</v>
      </c>
      <c r="X26" s="34">
        <f>IFERROR(__xludf.DUMMYFUNCTION("AJ26*GOOGLEFINANCE(""CURRENCY:USD/EUR"")"),9.864837399999999)</f>
        <v>9.8648374</v>
      </c>
      <c r="Y26" s="35">
        <f>IFERROR(__xludf.DUMMYFUNCTION("AI26*GOOGLEFINANCE(""CURRENCY:USD/EUR"")"),15.659069870650494)</f>
        <v>15.65906987</v>
      </c>
      <c r="Z26" s="38">
        <f t="shared" si="9"/>
        <v>0.5329327516</v>
      </c>
      <c r="AA26" s="38">
        <f t="shared" si="10"/>
        <v>0.5873621871</v>
      </c>
      <c r="AB26" s="38">
        <f t="shared" si="11"/>
        <v>0.2696300128</v>
      </c>
      <c r="AC26" s="41">
        <v>17.0</v>
      </c>
      <c r="AD26" s="40">
        <f t="shared" si="12"/>
        <v>0.3333027588</v>
      </c>
      <c r="AE26" s="41">
        <v>18.57</v>
      </c>
      <c r="AF26" s="41">
        <f t="shared" si="13"/>
        <v>0.4879760185</v>
      </c>
      <c r="AG26" s="41">
        <v>20.0</v>
      </c>
      <c r="AH26" s="41">
        <f t="shared" si="14"/>
        <v>0.1787212228</v>
      </c>
      <c r="AI26" s="41">
        <f t="shared" si="15"/>
        <v>18.30228602</v>
      </c>
      <c r="AJ26" s="34">
        <f>IFERROR(__xludf.DUMMYFUNCTION("GOOGLEFINANCE(B26,""price"")"),11.53)</f>
        <v>11.53</v>
      </c>
      <c r="AK26" s="37">
        <f t="shared" si="67"/>
        <v>0.5587694734</v>
      </c>
      <c r="AL26" s="35">
        <v>12.12</v>
      </c>
      <c r="AM26" s="34">
        <f t="shared" si="16"/>
        <v>15.34836068</v>
      </c>
      <c r="AN26" s="34">
        <f t="shared" si="17"/>
        <v>14.89678842</v>
      </c>
      <c r="AO26" s="38">
        <f>IFERROR(__xludf.DUMMYFUNCTION("(GOOGLEFINANCE(B26, ""price"") - INDEX(GOOGLEFINANCE(B26, ""price"", DATE(2025,5,9)), 2, 2)) / INDEX(GOOGLEFINANCE(B26, ""price"", DATE(2025,5,8)), 2, 2)"),-0.1584011843079201)</f>
        <v>-0.1584011843</v>
      </c>
      <c r="AP26" s="37">
        <f t="shared" si="18"/>
        <v>0.5100896054</v>
      </c>
      <c r="AQ26" s="37">
        <f t="shared" si="19"/>
        <v>-0.04867986799</v>
      </c>
      <c r="AR26" s="37">
        <f t="shared" si="20"/>
        <v>0.5587694734</v>
      </c>
      <c r="AS26" s="34">
        <f>IFERROR(__xludf.DUMMYFUNCTION("IF(X26&lt;K26,1,IF(X26&gt;J26,-1,0)) + IF(X26&lt;F26,1,IF(X26&gt;G26,-1,0)) + IF(X26&lt;I26,1,IF(X26&gt;I26,-1,0)) + IF(X26&lt;H26,1,IF(X26&gt;H26,-1,0))"),1.0)</f>
        <v>1</v>
      </c>
      <c r="AT26" s="34" t="str">
        <f t="shared" si="21"/>
        <v>recompra</v>
      </c>
      <c r="AU26" s="35" t="str">
        <f t="shared" si="22"/>
        <v>compra</v>
      </c>
      <c r="AV26" s="35" t="str">
        <f t="shared" si="23"/>
        <v>compra</v>
      </c>
      <c r="AW26" s="38">
        <f t="shared" si="24"/>
        <v>0.5873621871</v>
      </c>
      <c r="AX26" s="38">
        <f t="shared" si="25"/>
        <v>0.4706342536</v>
      </c>
      <c r="AY26" s="38">
        <f t="shared" si="26"/>
        <v>0.4593854815</v>
      </c>
      <c r="AZ26" s="42">
        <f t="shared" si="27"/>
        <v>0.4047208963</v>
      </c>
      <c r="BA26" s="38">
        <f t="shared" si="28"/>
        <v>0.4018281484</v>
      </c>
      <c r="BB26" s="38">
        <f t="shared" si="29"/>
        <v>0.5981718516</v>
      </c>
      <c r="BC26" s="38">
        <f t="shared" si="30"/>
        <v>0.5558655513</v>
      </c>
      <c r="BD26" s="38">
        <f t="shared" si="31"/>
        <v>0.5704646178</v>
      </c>
      <c r="BE26" s="38">
        <f t="shared" si="32"/>
        <v>0.4295353822</v>
      </c>
      <c r="BF26" s="38">
        <f t="shared" si="33"/>
        <v>0.6638539112</v>
      </c>
      <c r="BG26" s="37">
        <f t="shared" si="34"/>
        <v>0.1995820613</v>
      </c>
      <c r="BH26" s="43">
        <f t="shared" si="35"/>
        <v>0.3294837714</v>
      </c>
      <c r="BI26" s="44">
        <f t="shared" si="36"/>
        <v>0.6151780268</v>
      </c>
      <c r="BJ26" s="38">
        <f t="shared" si="37"/>
        <v>1.219719463</v>
      </c>
      <c r="BK26" s="43">
        <f t="shared" si="38"/>
        <v>1.446043801</v>
      </c>
      <c r="BL26" s="63">
        <v>0.42</v>
      </c>
      <c r="BM26" s="46">
        <f t="shared" si="39"/>
        <v>0.00009172367768</v>
      </c>
      <c r="BN26" s="63">
        <v>0.0</v>
      </c>
      <c r="BO26" s="63">
        <v>0.14</v>
      </c>
      <c r="BP26" s="47">
        <f t="shared" si="40"/>
        <v>0.0001174863789</v>
      </c>
      <c r="BQ26" s="63">
        <v>0.96</v>
      </c>
      <c r="BR26" s="47">
        <f t="shared" si="41"/>
        <v>0.1070873139</v>
      </c>
      <c r="BS26" s="60">
        <v>0.285</v>
      </c>
      <c r="BT26" s="47">
        <f t="shared" si="42"/>
        <v>0.640639699</v>
      </c>
      <c r="BU26" s="63">
        <v>0.6</v>
      </c>
      <c r="BV26" s="47">
        <f t="shared" si="43"/>
        <v>0.9702970297</v>
      </c>
      <c r="BW26" s="48">
        <f t="shared" si="44"/>
        <v>1.078722664</v>
      </c>
      <c r="BX26" s="49">
        <f t="shared" si="45"/>
        <v>0.9008722821</v>
      </c>
      <c r="BY26" s="47">
        <f t="shared" si="46"/>
        <v>0.4295353822</v>
      </c>
      <c r="BZ26" s="60">
        <v>0.247</v>
      </c>
      <c r="CA26" s="50">
        <f t="shared" si="47"/>
        <v>0.2633744856</v>
      </c>
      <c r="CB26" s="60">
        <v>0.503</v>
      </c>
      <c r="CC26" s="50">
        <f t="shared" si="48"/>
        <v>0.3343539498</v>
      </c>
      <c r="CD26" s="60">
        <v>0.964</v>
      </c>
      <c r="CE26" s="50">
        <f t="shared" si="49"/>
        <v>0.7109340293</v>
      </c>
      <c r="CF26" s="50">
        <f t="shared" si="50"/>
        <v>0.4362208216</v>
      </c>
      <c r="CG26" s="60">
        <v>0.707</v>
      </c>
      <c r="CH26" s="51">
        <f t="shared" si="51"/>
        <v>0.4974924774</v>
      </c>
      <c r="CI26" s="60">
        <v>0.511</v>
      </c>
      <c r="CJ26" s="51">
        <f t="shared" si="52"/>
        <v>0.6840764331</v>
      </c>
      <c r="CK26" s="60">
        <v>0.815</v>
      </c>
      <c r="CL26" s="51">
        <f t="shared" si="53"/>
        <v>0.9165289256</v>
      </c>
      <c r="CM26" s="60">
        <v>0.195</v>
      </c>
      <c r="CN26" s="51">
        <f t="shared" si="54"/>
        <v>0.1969015492</v>
      </c>
      <c r="CO26" s="60">
        <v>0.282</v>
      </c>
      <c r="CP26" s="51">
        <f t="shared" si="55"/>
        <v>0.6958598726</v>
      </c>
      <c r="CQ26" s="51">
        <f t="shared" si="56"/>
        <v>0.5981718516</v>
      </c>
      <c r="CR26" s="52">
        <f t="shared" si="57"/>
        <v>0.4879760185</v>
      </c>
      <c r="CS26" s="53">
        <f t="shared" si="68"/>
        <v>0.1131836332</v>
      </c>
      <c r="CT26" s="54">
        <f t="shared" si="59"/>
        <v>0.459052385</v>
      </c>
      <c r="CU26" s="55">
        <f t="shared" si="60"/>
        <v>0.3376621503</v>
      </c>
      <c r="CV26" s="34">
        <f t="shared" si="61"/>
        <v>2.022206317</v>
      </c>
      <c r="CW26" s="34">
        <f t="shared" si="62"/>
        <v>0.7495395884</v>
      </c>
      <c r="CX26" s="35">
        <f t="shared" si="63"/>
        <v>0.2048201099</v>
      </c>
      <c r="CY26" s="38">
        <f>IFERROR(__xludf.DUMMYFUNCTION("(GOOGLEFINANCE(B26,""price"")/INDEX(GOOGLEFINANCE(B26,""price"",TODAY()-30),2,2))-1"),-0.035953177257525226)</f>
        <v>-0.03595317726</v>
      </c>
      <c r="CZ26" s="38">
        <f>IFERROR(__xludf.DUMMYFUNCTION("(GOOGLEFINANCE($B26,""price"")/INDEX(GOOGLEFINANCE($B26,""price"",TODAY()-180),2,2))-1"),-0.18168914123491842)</f>
        <v>-0.1816891412</v>
      </c>
      <c r="DA26" s="38">
        <f>IFERROR(__xludf.DUMMYFUNCTION("(GOOGLEFINANCE($B26,""price"")/INDEX(GOOGLEFINANCE($B26,""price"",TODAY()-365),2,2))-1"),0.3314087759815241)</f>
        <v>0.331408776</v>
      </c>
      <c r="DB26" s="38" t="str">
        <f>IFERROR(__xludf.DUMMYFUNCTION("(GOOGLEFINANCE($B26,""price"")/INDEX(GOOGLEFINANCE($B26,""price"",TODAY()-365*5),2,2))-1"),"#N/A")</f>
        <v>#N/A</v>
      </c>
      <c r="DC26" s="38">
        <f>IFERROR(__xludf.DUMMYFUNCTION("(INDEX(GOOGLEFINANCE(B26, ""price"", TODAY()-30, TODAY()), ROWS(GOOGLEFINANCE(B26, ""price"", TODAY()-30, TODAY())), 2) / INDEX(GOOGLEFINANCE(B26, ""price"", TODAY()-30, TODAY()), 2, 2)) - 1"),-0.035953177257525226)</f>
        <v>-0.03595317726</v>
      </c>
      <c r="DD26" s="38">
        <f>IFERROR(__xludf.DUMMYFUNCTION("(INDEX(GOOGLEFINANCE(B26, ""price"", TODAY()-7, TODAY()), ROWS(GOOGLEFINANCE(B26, ""price"", TODAY()-7, TODAY())), 2) / INDEX(GOOGLEFINANCE(B26, ""price"", TODAY()-7, TODAY()), 2, 2)) - 1"),-0.026182432432432456)</f>
        <v>-0.02618243243</v>
      </c>
    </row>
    <row r="27">
      <c r="A27" s="34" t="str">
        <f>IFERROR(__xludf.DUMMYFUNCTION("GOOGLEFINANCE(B27,""name"")"),"Globus Medical Inc")</f>
        <v>Globus Medical Inc</v>
      </c>
      <c r="B27" s="45" t="s">
        <v>131</v>
      </c>
      <c r="C27" s="45" t="s">
        <v>93</v>
      </c>
      <c r="D27" s="45" t="s">
        <v>91</v>
      </c>
      <c r="E27" s="36">
        <v>1.0</v>
      </c>
      <c r="F27" s="35">
        <f>IFERROR(__xludf.DUMMYFUNCTION("IFERROR(MIN(INDEX(GOOGLEFINANCE(B27,""close"",TODAY()-100,TODAY()),0,2)) * GOOGLEFINANCE(""CURRENCY:USDEUR""),""Error en datos"")"),47.758475600000004)</f>
        <v>47.7584756</v>
      </c>
      <c r="G27" s="35">
        <f>IFERROR(__xludf.DUMMYFUNCTION("IFERROR(MAX(INDEX(GOOGLEFINANCE(B27,""close"",TODAY()-100,TODAY()),0,2)) * GOOGLEFINANCE(""CURRENCY:USDEUR""),""Error en datos"")"),63.5524824)</f>
        <v>63.5524824</v>
      </c>
      <c r="H27" s="35">
        <f>IFERROR(__xludf.DUMMYFUNCTION("IFERROR(AVERAGE(INDEX(GOOGLEFINANCE(B27,""close"",TODAY()-20,TODAY()),0,2)) * GOOGLEFINANCE(""CURRENCY:USDEUR""),""Error en datos"")"),49.88886979999999)</f>
        <v>49.8888698</v>
      </c>
      <c r="I27" s="35">
        <f>IFERROR(__xludf.DUMMYFUNCTION("IFERROR(PERCENTILE(INDEX(GOOGLEFINANCE(B27,""close"",TODAY()-365,TODAY()),0,2),0.05) * GOOGLEFINANCE(""CURRENCY:USDEUR""),""Error en datos"")"),49.80673412)</f>
        <v>49.80673412</v>
      </c>
      <c r="J27" s="35">
        <f>IFERROR(__xludf.DUMMYFUNCTION("AVERAGE(INDEX(GOOGLEFINANCE(B27,""price"",TODAY()-20,TODAY(),""DAILY""),0,2))+(2*STDEV(INDEX(GOOGLEFINANCE(B27,""price"",TODAY()-20,TODAY(),""DAILY""),0,2)))"),60.985842546439024)</f>
        <v>60.98584255</v>
      </c>
      <c r="K27" s="35">
        <f>IFERROR(__xludf.DUMMYFUNCTION("AVERAGE(INDEX(GOOGLEFINANCE(B27,""price"",TODAY()-20,TODAY(),""DAILY""),0,2))-(2*STDEV(INDEX(GOOGLEFINANCE(B27,""price"",TODAY()-20,TODAY(),""DAILY""),0,2)))"),55.63415745356095)</f>
        <v>55.63415745</v>
      </c>
      <c r="L27" s="35">
        <v>500.0</v>
      </c>
      <c r="M27" s="35">
        <f t="shared" si="1"/>
        <v>0.08583539385</v>
      </c>
      <c r="N27" s="35">
        <v>8.33</v>
      </c>
      <c r="O27" s="35">
        <f t="shared" si="2"/>
        <v>0.4814666667</v>
      </c>
      <c r="P27" s="35">
        <v>0.6</v>
      </c>
      <c r="Q27" s="35">
        <f t="shared" si="3"/>
        <v>0.1615146832</v>
      </c>
      <c r="R27" s="35" t="str">
        <f>IFERROR(__xludf.DUMMYFUNCTION("IF(B27="""", """", SPARKLINE(INDEX(GOOGLEFINANCE(B27, ""price"", TODAY()-1825, TODAY()), 0, 2)))"),"")</f>
        <v/>
      </c>
      <c r="S27" s="35">
        <f t="shared" si="4"/>
        <v>51.06645572</v>
      </c>
      <c r="T27" s="35">
        <f t="shared" si="5"/>
        <v>70.08986509</v>
      </c>
      <c r="U27" s="34" t="str">
        <f t="shared" si="6"/>
        <v>Compra</v>
      </c>
      <c r="V27" s="37">
        <f t="shared" si="7"/>
        <v>-0.04299742548</v>
      </c>
      <c r="W27" s="37">
        <f t="shared" si="8"/>
        <v>-0.31796235</v>
      </c>
      <c r="X27" s="34">
        <f>IFERROR(__xludf.DUMMYFUNCTION("AJ27*GOOGLEFINANCE(""CURRENCY:USD/EUR"")"),48.8707296)</f>
        <v>48.8707296</v>
      </c>
      <c r="Y27" s="35">
        <f>IFERROR(__xludf.DUMMYFUNCTION("AI27*GOOGLEFINANCE(""CURRENCY:USD/EUR"")"),71.6540056117173)</f>
        <v>71.65400561</v>
      </c>
      <c r="Z27" s="38">
        <f t="shared" si="9"/>
        <v>0.4341890465</v>
      </c>
      <c r="AA27" s="38">
        <f t="shared" si="10"/>
        <v>0.4661947182</v>
      </c>
      <c r="AB27" s="38">
        <f t="shared" si="11"/>
        <v>0.2338338165</v>
      </c>
      <c r="AC27" s="41">
        <v>68.0</v>
      </c>
      <c r="AD27" s="40">
        <f t="shared" si="12"/>
        <v>0.3325057116</v>
      </c>
      <c r="AE27" s="41">
        <v>83.0</v>
      </c>
      <c r="AF27" s="41">
        <f t="shared" si="13"/>
        <v>0.4067384713</v>
      </c>
      <c r="AG27" s="41">
        <v>105.0</v>
      </c>
      <c r="AH27" s="41">
        <f t="shared" si="14"/>
        <v>0.2607558171</v>
      </c>
      <c r="AI27" s="41">
        <f t="shared" si="15"/>
        <v>83.7490423</v>
      </c>
      <c r="AJ27" s="34">
        <f>IFERROR(__xludf.DUMMYFUNCTION("GOOGLEFINANCE(B27,""price"")"),57.12)</f>
        <v>57.12</v>
      </c>
      <c r="AK27" s="37">
        <f t="shared" si="67"/>
        <v>0.4468709901</v>
      </c>
      <c r="AL27" s="35">
        <v>59.59</v>
      </c>
      <c r="AM27" s="34">
        <f t="shared" si="16"/>
        <v>62.58619413</v>
      </c>
      <c r="AN27" s="34">
        <f t="shared" si="17"/>
        <v>68.68395369</v>
      </c>
      <c r="AO27" s="38">
        <f>IFERROR(__xludf.DUMMYFUNCTION("(GOOGLEFINANCE(B27, ""price"") - INDEX(GOOGLEFINANCE(B27, ""price"", DATE(2025,5,9)), 2, 2)) / INDEX(GOOGLEFINANCE(B27, ""price"", DATE(2025,5,8)), 2, 2)"),0.017940932928512246)</f>
        <v>0.01794093293</v>
      </c>
      <c r="AP27" s="37">
        <f t="shared" si="18"/>
        <v>0.4054210824</v>
      </c>
      <c r="AQ27" s="37">
        <f t="shared" si="19"/>
        <v>-0.0414499077</v>
      </c>
      <c r="AR27" s="37">
        <f t="shared" si="20"/>
        <v>0.4468709901</v>
      </c>
      <c r="AS27" s="34">
        <f>IFERROR(__xludf.DUMMYFUNCTION("IF(X27&lt;K27,1,IF(X27&gt;J27,-1,0)) + IF(X27&lt;F27,1,IF(X27&gt;G27,-1,0)) + IF(X27&lt;I27,1,IF(X27&gt;I27,-1,0)) + IF(X27&lt;H27,1,IF(X27&gt;H27,-1,0))"),3.0)</f>
        <v>3</v>
      </c>
      <c r="AT27" s="34" t="str">
        <f t="shared" si="21"/>
        <v>recompra</v>
      </c>
      <c r="AU27" s="35" t="str">
        <f t="shared" si="22"/>
        <v>compra</v>
      </c>
      <c r="AV27" s="35" t="str">
        <f t="shared" si="23"/>
        <v>compra</v>
      </c>
      <c r="AW27" s="38">
        <f t="shared" si="24"/>
        <v>0.4661947182</v>
      </c>
      <c r="AX27" s="38">
        <f t="shared" si="25"/>
        <v>0.1201278035</v>
      </c>
      <c r="AY27" s="38">
        <f t="shared" si="26"/>
        <v>0.1297640257</v>
      </c>
      <c r="AZ27" s="42">
        <f t="shared" si="27"/>
        <v>0.496896906</v>
      </c>
      <c r="BA27" s="38">
        <f t="shared" si="28"/>
        <v>0.6566263722</v>
      </c>
      <c r="BB27" s="38">
        <f t="shared" si="29"/>
        <v>0.3433736278</v>
      </c>
      <c r="BC27" s="38">
        <f t="shared" si="30"/>
        <v>0.2806478364</v>
      </c>
      <c r="BD27" s="38">
        <f t="shared" si="31"/>
        <v>0.5842819942</v>
      </c>
      <c r="BE27" s="38">
        <f t="shared" si="32"/>
        <v>0.4157180058</v>
      </c>
      <c r="BF27" s="38">
        <f t="shared" si="33"/>
        <v>0.6131967109</v>
      </c>
      <c r="BG27" s="37">
        <f t="shared" si="34"/>
        <v>0.5468715383</v>
      </c>
      <c r="BH27" s="43">
        <f t="shared" si="35"/>
        <v>0.338317782</v>
      </c>
      <c r="BI27" s="44">
        <f t="shared" si="36"/>
        <v>0.6947035771</v>
      </c>
      <c r="BJ27" s="38">
        <f t="shared" si="37"/>
        <v>0.8938445473</v>
      </c>
      <c r="BK27" s="43">
        <f t="shared" si="38"/>
        <v>0.5208521599</v>
      </c>
      <c r="BL27" s="45">
        <v>7.98</v>
      </c>
      <c r="BM27" s="46">
        <f t="shared" si="39"/>
        <v>0.002482865068</v>
      </c>
      <c r="BN27" s="45">
        <v>0.0</v>
      </c>
      <c r="BO27" s="45">
        <v>2.51</v>
      </c>
      <c r="BP27" s="47">
        <f t="shared" si="40"/>
        <v>0.003598020355</v>
      </c>
      <c r="BQ27" s="45">
        <v>1.34</v>
      </c>
      <c r="BR27" s="47">
        <f t="shared" si="41"/>
        <v>0.1155298822</v>
      </c>
      <c r="BS27" s="38">
        <v>0.182</v>
      </c>
      <c r="BT27" s="47">
        <f t="shared" si="42"/>
        <v>0.5437441204</v>
      </c>
      <c r="BU27" s="45">
        <v>0.0</v>
      </c>
      <c r="BV27" s="47">
        <f t="shared" si="43"/>
        <v>1</v>
      </c>
      <c r="BW27" s="48">
        <f t="shared" si="44"/>
        <v>1.841752664</v>
      </c>
      <c r="BX27" s="49">
        <f t="shared" si="45"/>
        <v>1.051089372</v>
      </c>
      <c r="BY27" s="47">
        <f t="shared" si="46"/>
        <v>0.4157180058</v>
      </c>
      <c r="BZ27" s="38">
        <v>0.323</v>
      </c>
      <c r="CA27" s="50">
        <f t="shared" si="47"/>
        <v>0.3259259259</v>
      </c>
      <c r="CB27" s="38">
        <v>0.498</v>
      </c>
      <c r="CC27" s="50">
        <f t="shared" si="48"/>
        <v>0.3328230251</v>
      </c>
      <c r="CD27" s="38">
        <v>1.457</v>
      </c>
      <c r="CE27" s="50">
        <f t="shared" si="49"/>
        <v>0.72462239</v>
      </c>
      <c r="CF27" s="50">
        <f t="shared" si="50"/>
        <v>0.4611237804</v>
      </c>
      <c r="CG27" s="38">
        <v>-0.015</v>
      </c>
      <c r="CH27" s="51">
        <f t="shared" si="51"/>
        <v>0.1354062187</v>
      </c>
      <c r="CI27" s="38">
        <v>0.259</v>
      </c>
      <c r="CJ27" s="51">
        <f t="shared" si="52"/>
        <v>0.3630573248</v>
      </c>
      <c r="CK27" s="38">
        <v>0.264</v>
      </c>
      <c r="CL27" s="51">
        <f t="shared" si="53"/>
        <v>0.4611570248</v>
      </c>
      <c r="CM27" s="38">
        <v>0.072</v>
      </c>
      <c r="CN27" s="51">
        <f t="shared" si="54"/>
        <v>0.1354322839</v>
      </c>
      <c r="CO27" s="38">
        <v>0.189</v>
      </c>
      <c r="CP27" s="51">
        <f t="shared" si="55"/>
        <v>0.6218152866</v>
      </c>
      <c r="CQ27" s="51">
        <f t="shared" si="56"/>
        <v>0.3433736278</v>
      </c>
      <c r="CR27" s="52">
        <f t="shared" si="57"/>
        <v>0.4067384713</v>
      </c>
      <c r="CS27" s="53">
        <f t="shared" si="68"/>
        <v>0.2036630344</v>
      </c>
      <c r="CT27" s="54">
        <f t="shared" si="59"/>
        <v>0.5015797207</v>
      </c>
      <c r="CU27" s="55">
        <f t="shared" si="60"/>
        <v>0.2518074004</v>
      </c>
      <c r="CV27" s="34">
        <f t="shared" si="61"/>
        <v>1.68812536</v>
      </c>
      <c r="CW27" s="34">
        <f t="shared" si="62"/>
        <v>0.6254005756</v>
      </c>
      <c r="CX27" s="35">
        <f t="shared" si="63"/>
        <v>0.3214906749</v>
      </c>
      <c r="CY27" s="38">
        <f>IFERROR(__xludf.DUMMYFUNCTION("(GOOGLEFINANCE(B27,""price"")/INDEX(GOOGLEFINANCE(B27,""price"",TODAY()-30),2,2))-1"),-0.02956167176350666)</f>
        <v>-0.02956167176</v>
      </c>
      <c r="CZ27" s="38">
        <f>IFERROR(__xludf.DUMMYFUNCTION("(GOOGLEFINANCE($B27,""price"")/INDEX(GOOGLEFINANCE($B27,""price"",TODAY()-180),2,2))-1"),-0.36988416988416994)</f>
        <v>-0.3698841699</v>
      </c>
      <c r="DA27" s="38">
        <f>IFERROR(__xludf.DUMMYFUNCTION("(GOOGLEFINANCE($B27,""price"")/INDEX(GOOGLEFINANCE($B27,""price"",TODAY()-365),2,2))-1"),-0.20666666666666667)</f>
        <v>-0.2066666667</v>
      </c>
      <c r="DB27" s="38">
        <f>IFERROR(__xludf.DUMMYFUNCTION("(GOOGLEFINANCE($B27,""price"")/INDEX(GOOGLEFINANCE($B27,""price"",TODAY()-365*5),2,2))-1"),0.17943423497831912)</f>
        <v>0.179434235</v>
      </c>
      <c r="DC27" s="38">
        <f>IFERROR(__xludf.DUMMYFUNCTION("(INDEX(GOOGLEFINANCE(B27, ""price"", TODAY()-30, TODAY()), ROWS(GOOGLEFINANCE(B27, ""price"", TODAY()-30, TODAY())), 2) / INDEX(GOOGLEFINANCE(B27, ""price"", TODAY()-30, TODAY()), 2, 2)) - 1"),-0.02956167176350666)</f>
        <v>-0.02956167176</v>
      </c>
      <c r="DD27" s="38">
        <f>IFERROR(__xludf.DUMMYFUNCTION("(INDEX(GOOGLEFINANCE(B27, ""price"", TODAY()-7, TODAY()), ROWS(GOOGLEFINANCE(B27, ""price"", TODAY()-7, TODAY())), 2) / INDEX(GOOGLEFINANCE(B27, ""price"", TODAY()-7, TODAY()), 2, 2)) - 1"),0.0205467214579238)</f>
        <v>0.02054672146</v>
      </c>
    </row>
    <row r="28">
      <c r="A28" s="34" t="str">
        <f>IFERROR(__xludf.DUMMYFUNCTION("GOOGLEFINANCE(B28,""name"")"),"Alphabet Inc Class A")</f>
        <v>Alphabet Inc Class A</v>
      </c>
      <c r="B28" s="35" t="s">
        <v>132</v>
      </c>
      <c r="C28" s="35" t="s">
        <v>90</v>
      </c>
      <c r="D28" s="35" t="s">
        <v>98</v>
      </c>
      <c r="E28" s="36">
        <v>1.0</v>
      </c>
      <c r="F28" s="35">
        <f>IFERROR(__xludf.DUMMYFUNCTION("IFERROR(MIN(INDEX(GOOGLEFINANCE(B28,""close"",TODAY()-100,TODAY()),0,2)) * GOOGLEFINANCE(""CURRENCY:USDEUR""),""Error en datos"")"),123.802426)</f>
        <v>123.802426</v>
      </c>
      <c r="G28" s="35">
        <f>IFERROR(__xludf.DUMMYFUNCTION("IFERROR(MAX(INDEX(GOOGLEFINANCE(B28,""close"",TODAY()-100,TODAY()),0,2)) * GOOGLEFINANCE(""CURRENCY:USDEUR""),""Error en datos"")"),154.1669602)</f>
        <v>154.1669602</v>
      </c>
      <c r="H28" s="35">
        <f>IFERROR(__xludf.DUMMYFUNCTION("IFERROR(AVERAGE(INDEX(GOOGLEFINANCE(B28,""close"",TODAY()-20,TODAY()),0,2)) * GOOGLEFINANCE(""CURRENCY:USDEUR""),""Error en datos"")"),150.40701516923076)</f>
        <v>150.4070152</v>
      </c>
      <c r="I28" s="35">
        <f>IFERROR(__xludf.DUMMYFUNCTION("IFERROR(PERCENTILE(INDEX(GOOGLEFINANCE(B28,""close"",TODAY()-365,TODAY()),0,2),0.05) * GOOGLEFINANCE(""CURRENCY:USDEUR""),""Error en datos"")"),130.71380123999998)</f>
        <v>130.7138012</v>
      </c>
      <c r="J28" s="35">
        <f>IFERROR(__xludf.DUMMYFUNCTION("AVERAGE(INDEX(GOOGLEFINANCE(B28,""price"",TODAY()-20,TODAY(),""DAILY""),0,2))+(2*STDEV(INDEX(GOOGLEFINANCE(B28,""price"",TODAY()-20,TODAY(),""DAILY""),0,2)))"),183.29629840587089)</f>
        <v>183.2962984</v>
      </c>
      <c r="K28" s="35">
        <f>IFERROR(__xludf.DUMMYFUNCTION("AVERAGE(INDEX(GOOGLEFINANCE(B28,""price"",TODAY()-20,TODAY(),""DAILY""),0,2))-(2*STDEV(INDEX(GOOGLEFINANCE(B28,""price"",TODAY()-20,TODAY(),""DAILY""),0,2)))"),168.2944708248983)</f>
        <v>168.2944708</v>
      </c>
      <c r="L28" s="35">
        <v>4866.0</v>
      </c>
      <c r="M28" s="35">
        <f t="shared" si="1"/>
        <v>0.8569410102</v>
      </c>
      <c r="N28" s="35">
        <v>15.23</v>
      </c>
      <c r="O28" s="35">
        <f t="shared" si="2"/>
        <v>0.5121333333</v>
      </c>
      <c r="P28" s="35">
        <v>3.24</v>
      </c>
      <c r="Q28" s="35">
        <f t="shared" si="3"/>
        <v>0.2125193199</v>
      </c>
      <c r="R28" s="35" t="str">
        <f>IFERROR(__xludf.DUMMYFUNCTION("IF(B28="""", """", SPARKLINE(INDEX(GOOGLEFINANCE(B28, ""price"", TODAY()-1825, TODAY()), 0, 2)))"),"")</f>
        <v/>
      </c>
      <c r="S28" s="35">
        <f t="shared" si="4"/>
        <v>140.9368994</v>
      </c>
      <c r="T28" s="35">
        <f t="shared" si="5"/>
        <v>175.6616797</v>
      </c>
      <c r="U28" s="34" t="str">
        <f t="shared" si="6"/>
        <v/>
      </c>
      <c r="V28" s="37">
        <f t="shared" si="7"/>
        <v>0.09387222868</v>
      </c>
      <c r="W28" s="37">
        <f t="shared" si="8"/>
        <v>-0.1292348387</v>
      </c>
      <c r="X28" s="34">
        <f>IFERROR(__xludf.DUMMYFUNCTION("AJ28*GOOGLEFINANCE(""CURRENCY:USD/EUR"")"),154.1669602)</f>
        <v>154.1669602</v>
      </c>
      <c r="Y28" s="35">
        <f>IFERROR(__xludf.DUMMYFUNCTION("AI28*GOOGLEFINANCE(""CURRENCY:USD/EUR"")"),177.04768982986835)</f>
        <v>177.0476898</v>
      </c>
      <c r="Z28" s="38">
        <f t="shared" si="9"/>
        <v>0.1394249424</v>
      </c>
      <c r="AA28" s="38">
        <f t="shared" si="10"/>
        <v>0.153415261</v>
      </c>
      <c r="AB28" s="38">
        <f t="shared" si="11"/>
        <v>0.07169781918</v>
      </c>
      <c r="AC28" s="41">
        <v>173.0</v>
      </c>
      <c r="AD28" s="40">
        <f t="shared" si="12"/>
        <v>0.126124274</v>
      </c>
      <c r="AE28" s="41">
        <v>200.0</v>
      </c>
      <c r="AF28" s="41">
        <f t="shared" si="13"/>
        <v>0.4603436752</v>
      </c>
      <c r="AG28" s="41">
        <v>225.0</v>
      </c>
      <c r="AH28" s="41">
        <f t="shared" si="14"/>
        <v>0.4135320508</v>
      </c>
      <c r="AI28" s="41">
        <f t="shared" si="15"/>
        <v>206.9329459</v>
      </c>
      <c r="AJ28" s="34">
        <f>IFERROR(__xludf.DUMMYFUNCTION("GOOGLEFINANCE(B28,""price"")"),180.19)</f>
        <v>180.19</v>
      </c>
      <c r="AK28" s="37">
        <f>AP28+BN28</f>
        <v>0.3719767861</v>
      </c>
      <c r="AL28" s="34">
        <v>151.38</v>
      </c>
      <c r="AM28" s="34">
        <f t="shared" si="16"/>
        <v>156.8027135</v>
      </c>
      <c r="AN28" s="34">
        <f t="shared" si="17"/>
        <v>210.7426558</v>
      </c>
      <c r="AO28" s="38">
        <f>IFERROR(__xludf.DUMMYFUNCTION("(GOOGLEFINANCE(B28, ""price"") - INDEX(GOOGLEFINANCE(B28, ""price"", DATE(2025,5,8)), 2, 2)) / INDEX(GOOGLEFINANCE(B28, ""price"", DATE(2025,5,8)), 2, 2)"),0.16794140523723097)</f>
        <v>0.1679414052</v>
      </c>
      <c r="AP28" s="37">
        <f t="shared" si="18"/>
        <v>0.3669767861</v>
      </c>
      <c r="AQ28" s="37">
        <f t="shared" si="19"/>
        <v>0.1903157617</v>
      </c>
      <c r="AR28" s="37">
        <f t="shared" si="20"/>
        <v>0.1766610244</v>
      </c>
      <c r="AS28" s="34">
        <f>IFERROR(__xludf.DUMMYFUNCTION("IF(X28&lt;K28,1,IF(X28&gt;J28,-1,0)) + IF(X28&lt;F28,1,IF(X28&gt;G28,-1,0)) + IF(X28&lt;I28,1,IF(X28&gt;I28,-1,0)) + IF(X28&lt;H28,1,IF(X28&gt;H28,-1,0))"),-1.0)</f>
        <v>-1</v>
      </c>
      <c r="AT28" s="34" t="str">
        <f t="shared" si="21"/>
        <v>recompra</v>
      </c>
      <c r="AU28" s="35" t="str">
        <f t="shared" si="22"/>
        <v>hold</v>
      </c>
      <c r="AV28" s="35" t="str">
        <f t="shared" si="23"/>
        <v>hold</v>
      </c>
      <c r="AW28" s="38">
        <f t="shared" si="24"/>
        <v>0.148415261</v>
      </c>
      <c r="AX28" s="38">
        <f t="shared" si="25"/>
        <v>0.03638145185</v>
      </c>
      <c r="AY28" s="38">
        <f t="shared" si="26"/>
        <v>0.05721304516</v>
      </c>
      <c r="AZ28" s="42">
        <f t="shared" si="27"/>
        <v>0.4140076974</v>
      </c>
      <c r="BA28" s="38">
        <f t="shared" si="28"/>
        <v>0.6196050879</v>
      </c>
      <c r="BB28" s="38">
        <f t="shared" si="29"/>
        <v>0.3803949121</v>
      </c>
      <c r="BC28" s="38">
        <f t="shared" si="30"/>
        <v>0.01709674581</v>
      </c>
      <c r="BD28" s="38">
        <f t="shared" si="31"/>
        <v>0.3767740031</v>
      </c>
      <c r="BE28" s="38">
        <f t="shared" si="32"/>
        <v>0.6232259969</v>
      </c>
      <c r="BF28" s="38">
        <f t="shared" si="33"/>
        <v>0.1964074029</v>
      </c>
      <c r="BG28" s="37">
        <f t="shared" si="34"/>
        <v>0.7212633205</v>
      </c>
      <c r="BH28" s="43">
        <f t="shared" si="35"/>
        <v>0.3892381828</v>
      </c>
      <c r="BI28" s="44">
        <f t="shared" si="36"/>
        <v>0.5954732378</v>
      </c>
      <c r="BJ28" s="38">
        <f t="shared" si="37"/>
        <v>0.2135041487</v>
      </c>
      <c r="BK28" s="43">
        <f t="shared" si="38"/>
        <v>0.3550843612</v>
      </c>
      <c r="BL28" s="47">
        <v>1965.51</v>
      </c>
      <c r="BM28" s="46">
        <f t="shared" si="39"/>
        <v>0.621627178</v>
      </c>
      <c r="BN28" s="38">
        <v>0.005</v>
      </c>
      <c r="BO28" s="47">
        <v>359.71</v>
      </c>
      <c r="BP28" s="47">
        <f t="shared" si="40"/>
        <v>0.5281747022</v>
      </c>
      <c r="BQ28" s="47">
        <v>8.96</v>
      </c>
      <c r="BR28" s="47">
        <f t="shared" si="41"/>
        <v>0.2848255943</v>
      </c>
      <c r="BS28" s="47">
        <v>0.332</v>
      </c>
      <c r="BT28" s="47">
        <f t="shared" si="42"/>
        <v>0.6848541863</v>
      </c>
      <c r="BU28" s="47">
        <v>0.1</v>
      </c>
      <c r="BV28" s="47">
        <f t="shared" si="43"/>
        <v>0.995049505</v>
      </c>
      <c r="BW28" s="48">
        <f t="shared" si="44"/>
        <v>1.425874405</v>
      </c>
      <c r="BX28" s="49">
        <f t="shared" si="45"/>
        <v>0.8017082928</v>
      </c>
      <c r="BY28" s="47">
        <f t="shared" si="46"/>
        <v>0.6232259969</v>
      </c>
      <c r="BZ28" s="50">
        <v>0.131</v>
      </c>
      <c r="CA28" s="50">
        <f t="shared" si="47"/>
        <v>0.1679012346</v>
      </c>
      <c r="CB28" s="50">
        <v>0.292</v>
      </c>
      <c r="CC28" s="50">
        <f t="shared" si="48"/>
        <v>0.2697489284</v>
      </c>
      <c r="CD28" s="50">
        <v>0.375</v>
      </c>
      <c r="CE28" s="50">
        <f t="shared" si="49"/>
        <v>0.6945801866</v>
      </c>
      <c r="CF28" s="50">
        <f t="shared" si="50"/>
        <v>0.3774101165</v>
      </c>
      <c r="CG28" s="51">
        <v>0.293</v>
      </c>
      <c r="CH28" s="51">
        <f t="shared" si="51"/>
        <v>0.2898696088</v>
      </c>
      <c r="CI28" s="51">
        <v>0.166</v>
      </c>
      <c r="CJ28" s="51">
        <f t="shared" si="52"/>
        <v>0.2445859873</v>
      </c>
      <c r="CK28" s="51">
        <v>0.23</v>
      </c>
      <c r="CL28" s="51">
        <f t="shared" si="53"/>
        <v>0.4330578512</v>
      </c>
      <c r="CM28" s="51">
        <v>0.288</v>
      </c>
      <c r="CN28" s="51">
        <f t="shared" si="54"/>
        <v>0.2433783108</v>
      </c>
      <c r="CO28" s="51">
        <v>0.276</v>
      </c>
      <c r="CP28" s="51">
        <f t="shared" si="55"/>
        <v>0.6910828025</v>
      </c>
      <c r="CQ28" s="51">
        <f t="shared" si="56"/>
        <v>0.3803949121</v>
      </c>
      <c r="CR28" s="52">
        <f t="shared" si="57"/>
        <v>0.4603436752</v>
      </c>
      <c r="CS28" s="53">
        <f t="shared" si="68"/>
        <v>0.6096336684</v>
      </c>
      <c r="CT28" s="54">
        <f t="shared" si="59"/>
        <v>0.4673447656</v>
      </c>
      <c r="CU28" s="55">
        <f t="shared" si="60"/>
        <v>0.1698563536</v>
      </c>
      <c r="CV28" s="34">
        <f t="shared" si="61"/>
        <v>0.8629863572</v>
      </c>
      <c r="CW28" s="34">
        <f t="shared" si="62"/>
        <v>0.4459184269</v>
      </c>
      <c r="CX28" s="35">
        <f t="shared" si="63"/>
        <v>0.3623263266</v>
      </c>
      <c r="CY28" s="38">
        <f>IFERROR(__xludf.DUMMYFUNCTION("(GOOGLEFINANCE(B28,""price"")/INDEX(GOOGLEFINANCE(B28,""price"",TODAY()-30),2,2))-1"),0.019347174294280567)</f>
        <v>0.01934717429</v>
      </c>
      <c r="CZ28" s="38">
        <f>IFERROR(__xludf.DUMMYFUNCTION("(GOOGLEFINANCE($B28,""price"")/INDEX(GOOGLEFINANCE($B28,""price"",TODAY()-180),2,2))-1"),-0.07854768601380724)</f>
        <v>-0.07854768601</v>
      </c>
      <c r="DA28" s="38">
        <f>IFERROR(__xludf.DUMMYFUNCTION("(GOOGLEFINANCE($B28,""price"")/INDEX(GOOGLEFINANCE($B28,""price"",TODAY()-365),2,2))-1"),-0.033989170642792055)</f>
        <v>-0.03398917064</v>
      </c>
      <c r="DB28" s="38">
        <f>IFERROR(__xludf.DUMMYFUNCTION("(GOOGLEFINANCE($B28,""price"")/INDEX(GOOGLEFINANCE($B28,""price"",TODAY()-365*5),2,2))-1"),1.3759229957805905)</f>
        <v>1.375922996</v>
      </c>
      <c r="DC28" s="38">
        <f>IFERROR(__xludf.DUMMYFUNCTION("(INDEX(GOOGLEFINANCE(B28, ""price"", TODAY()-30, TODAY()), ROWS(GOOGLEFINANCE(B28, ""price"", TODAY()-30, TODAY())), 2) / INDEX(GOOGLEFINANCE(B28, ""price"", TODAY()-30, TODAY()), 2, 2)) - 1"),0.019347174294280567)</f>
        <v>0.01934717429</v>
      </c>
      <c r="DD28" s="38">
        <f>IFERROR(__xludf.DUMMYFUNCTION("(INDEX(GOOGLEFINANCE(B28, ""price"", TODAY()-7, TODAY()), ROWS(GOOGLEFINANCE(B28, ""price"", TODAY()-7, TODAY())), 2) / INDEX(GOOGLEFINANCE(B28, ""price"", TODAY()-7, TODAY()), 2, 2)) - 1"),0.019231857005486797)</f>
        <v>0.01923185701</v>
      </c>
    </row>
    <row r="29">
      <c r="A29" s="34" t="str">
        <f>IFERROR(__xludf.DUMMYFUNCTION("GOOGLEFINANCE(B29,""name"")"),"Halozyme Therapeutics, Inc.")</f>
        <v>Halozyme Therapeutics, Inc.</v>
      </c>
      <c r="B29" s="35" t="s">
        <v>133</v>
      </c>
      <c r="C29" s="35" t="s">
        <v>93</v>
      </c>
      <c r="D29" s="35" t="s">
        <v>105</v>
      </c>
      <c r="E29" s="57">
        <v>3.0</v>
      </c>
      <c r="F29" s="35">
        <f>IFERROR(__xludf.DUMMYFUNCTION("IFERROR(MIN(INDEX(GOOGLEFINANCE(B29,""close"",TODAY()-100,TODAY()),0,2)) * GOOGLEFINANCE(""CURRENCY:USDEUR""),""Error en datos"")"),40.990837799999994)</f>
        <v>40.9908378</v>
      </c>
      <c r="G29" s="35">
        <f>IFERROR(__xludf.DUMMYFUNCTION("IFERROR(MAX(INDEX(GOOGLEFINANCE(B29,""close"",TODAY()-100,TODAY()),0,2)) * GOOGLEFINANCE(""CURRENCY:USDEUR""),""Error en datos"")"),60.0103812)</f>
        <v>60.0103812</v>
      </c>
      <c r="H29" s="35">
        <f>IFERROR(__xludf.DUMMYFUNCTION("IFERROR(AVERAGE(INDEX(GOOGLEFINANCE(B29,""close"",TODAY()-20,TODAY()),0,2)) * GOOGLEFINANCE(""CURRENCY:USDEUR""),""Error en datos"")"),46.4066592)</f>
        <v>46.4066592</v>
      </c>
      <c r="I29" s="35">
        <f>IFERROR(__xludf.DUMMYFUNCTION("IFERROR(PERCENTILE(INDEX(GOOGLEFINANCE(B29,""close"",TODAY()-365,TODAY()),0,2),0.05) * GOOGLEFINANCE(""CURRENCY:USDEUR""),""Error en datos"")"),40.8881682)</f>
        <v>40.8881682</v>
      </c>
      <c r="J29" s="35">
        <f>IFERROR(__xludf.DUMMYFUNCTION("AVERAGE(INDEX(GOOGLEFINANCE(B29,""price"",TODAY()-20,TODAY(),""DAILY""),0,2))+(2*STDEV(INDEX(GOOGLEFINANCE(B29,""price"",TODAY()-20,TODAY(),""DAILY""),0,2)))"),58.138940026896194)</f>
        <v>58.13894003</v>
      </c>
      <c r="K29" s="35">
        <f>IFERROR(__xludf.DUMMYFUNCTION("AVERAGE(INDEX(GOOGLEFINANCE(B29,""price"",TODAY()-20,TODAY(),""DAILY""),0,2))-(2*STDEV(INDEX(GOOGLEFINANCE(B29,""price"",TODAY()-20,TODAY(),""DAILY""),0,2)))"),50.34105997310381)</f>
        <v>50.34105997</v>
      </c>
      <c r="L29" s="35">
        <v>500.0</v>
      </c>
      <c r="M29" s="35">
        <f t="shared" si="1"/>
        <v>0.08583539385</v>
      </c>
      <c r="N29" s="35">
        <v>0.0</v>
      </c>
      <c r="O29" s="35">
        <f t="shared" si="2"/>
        <v>0.4444444444</v>
      </c>
      <c r="P29" s="35">
        <v>-1.32</v>
      </c>
      <c r="Q29" s="35">
        <f t="shared" si="3"/>
        <v>0.1244204019</v>
      </c>
      <c r="R29" s="35" t="str">
        <f>IFERROR(__xludf.DUMMYFUNCTION("IF(B29="""", """", SPARKLINE(INDEX(GOOGLEFINANCE(B29, ""price"", TODAY()-1825, TODAY()), 0, 2)))"),"")</f>
        <v/>
      </c>
      <c r="S29" s="35">
        <f t="shared" si="4"/>
        <v>44.07335532</v>
      </c>
      <c r="T29" s="35">
        <f t="shared" si="5"/>
        <v>53.5980216</v>
      </c>
      <c r="U29" s="34" t="str">
        <f t="shared" si="6"/>
        <v/>
      </c>
      <c r="V29" s="37">
        <f t="shared" si="7"/>
        <v>0.1094321419</v>
      </c>
      <c r="W29" s="37">
        <f t="shared" si="8"/>
        <v>-0.06868784317</v>
      </c>
      <c r="X29" s="34">
        <f>IFERROR(__xludf.DUMMYFUNCTION("AJ29*GOOGLEFINANCE(""CURRENCY:USD/EUR"")"),48.896397)</f>
        <v>48.896397</v>
      </c>
      <c r="Y29" s="35">
        <f>IFERROR(__xludf.DUMMYFUNCTION("AI29*GOOGLEFINANCE(""CURRENCY:USD/EUR"")"),52.50269379761392)</f>
        <v>52.5026938</v>
      </c>
      <c r="Z29" s="38">
        <f t="shared" si="9"/>
        <v>0.09615482712</v>
      </c>
      <c r="AA29" s="38">
        <f t="shared" si="10"/>
        <v>0.07375383502</v>
      </c>
      <c r="AB29" s="38">
        <f t="shared" si="11"/>
        <v>0.02321157775</v>
      </c>
      <c r="AC29" s="41">
        <v>47.0</v>
      </c>
      <c r="AD29" s="40">
        <f t="shared" si="12"/>
        <v>0.3324361282</v>
      </c>
      <c r="AE29" s="41">
        <v>65.67</v>
      </c>
      <c r="AF29" s="41">
        <f t="shared" si="13"/>
        <v>0.5249071438</v>
      </c>
      <c r="AG29" s="41">
        <v>79.0</v>
      </c>
      <c r="AH29" s="41">
        <f t="shared" si="14"/>
        <v>0.142656728</v>
      </c>
      <c r="AI29" s="41">
        <f t="shared" si="15"/>
        <v>61.36503167</v>
      </c>
      <c r="AJ29" s="34">
        <f>IFERROR(__xludf.DUMMYFUNCTION("GOOGLEFINANCE(B29,""price"")"),57.15)</f>
        <v>57.15</v>
      </c>
      <c r="AK29" s="37">
        <f t="shared" ref="AK29:AK32" si="69">AR29+BN29</f>
        <v>0.06009454907</v>
      </c>
      <c r="AL29" s="34">
        <v>70.14</v>
      </c>
      <c r="AM29" s="34">
        <f t="shared" si="16"/>
        <v>51.20329298</v>
      </c>
      <c r="AN29" s="34">
        <f t="shared" si="17"/>
        <v>42.77914101</v>
      </c>
      <c r="AO29" s="38">
        <f>IFERROR(__xludf.DUMMYFUNCTION("(GOOGLEFINANCE(B29, ""price"") - INDEX(GOOGLEFINANCE(B29, ""price"", DATE(2025,5,8)), 2, 2)) / INDEX(GOOGLEFINANCE(B29, ""price"", DATE(2025,5,8)), 2, 2)"),-0.15620847482651712)</f>
        <v>-0.1562084748</v>
      </c>
      <c r="AP29" s="37">
        <f t="shared" si="18"/>
        <v>-0.1251064775</v>
      </c>
      <c r="AQ29" s="37">
        <f t="shared" si="19"/>
        <v>-0.1852010265</v>
      </c>
      <c r="AR29" s="37">
        <f t="shared" si="20"/>
        <v>0.06009454907</v>
      </c>
      <c r="AS29" s="34">
        <f>IFERROR(__xludf.DUMMYFUNCTION("IF(X29&lt;K29,1,IF(X29&gt;J29,-1,0)) + IF(X29&lt;F29,1,IF(X29&gt;G29,-1,0)) + IF(X29&lt;I29,1,IF(X29&gt;I29,-1,0)) + IF(X29&lt;H29,1,IF(X29&gt;H29,-1,0))"),-1.0)</f>
        <v>-1</v>
      </c>
      <c r="AT29" s="34" t="str">
        <f t="shared" si="21"/>
        <v>recompra</v>
      </c>
      <c r="AU29" s="35" t="str">
        <f t="shared" si="22"/>
        <v>hold</v>
      </c>
      <c r="AV29" s="35" t="str">
        <f t="shared" si="23"/>
        <v>hold</v>
      </c>
      <c r="AW29" s="38">
        <f t="shared" si="24"/>
        <v>0.07375383502</v>
      </c>
      <c r="AX29" s="38">
        <f t="shared" si="25"/>
        <v>0.1196388059</v>
      </c>
      <c r="AY29" s="38">
        <f t="shared" si="26"/>
        <v>0.08064475766</v>
      </c>
      <c r="AZ29" s="42">
        <f t="shared" si="27"/>
        <v>0.1187284143</v>
      </c>
      <c r="BA29" s="38">
        <f t="shared" si="28"/>
        <v>0.3119285009</v>
      </c>
      <c r="BB29" s="38">
        <f t="shared" si="29"/>
        <v>0.6880714991</v>
      </c>
      <c r="BC29" s="38">
        <f t="shared" si="30"/>
        <v>0.04717926313</v>
      </c>
      <c r="BD29" s="38">
        <f t="shared" si="31"/>
        <v>0.5402994838</v>
      </c>
      <c r="BE29" s="38">
        <f t="shared" si="32"/>
        <v>0.4597005162</v>
      </c>
      <c r="BF29" s="38">
        <f t="shared" si="33"/>
        <v>0.2563045998</v>
      </c>
      <c r="BG29" s="37">
        <f t="shared" si="34"/>
        <v>0.08571489708</v>
      </c>
      <c r="BH29" s="43">
        <f t="shared" si="35"/>
        <v>0.08317982737</v>
      </c>
      <c r="BI29" s="44">
        <f t="shared" si="36"/>
        <v>0.3939646865</v>
      </c>
      <c r="BJ29" s="38">
        <f t="shared" si="37"/>
        <v>0.303483863</v>
      </c>
      <c r="BK29" s="43">
        <f t="shared" si="38"/>
        <v>0.1948094925</v>
      </c>
      <c r="BL29" s="35">
        <v>8.64</v>
      </c>
      <c r="BM29" s="46">
        <f t="shared" si="39"/>
        <v>0.002691615507</v>
      </c>
      <c r="BN29" s="38">
        <v>0.0</v>
      </c>
      <c r="BO29" s="35">
        <v>1.02</v>
      </c>
      <c r="BP29" s="58">
        <f t="shared" si="40"/>
        <v>0.001409836547</v>
      </c>
      <c r="BQ29" s="35">
        <v>3.43</v>
      </c>
      <c r="BR29" s="47">
        <f t="shared" si="41"/>
        <v>0.161964008</v>
      </c>
      <c r="BS29" s="38">
        <v>0.543</v>
      </c>
      <c r="BT29" s="47">
        <f t="shared" si="42"/>
        <v>0.8833490122</v>
      </c>
      <c r="BU29" s="35">
        <v>4.2</v>
      </c>
      <c r="BV29" s="47">
        <f t="shared" si="43"/>
        <v>0.7920792079</v>
      </c>
      <c r="BW29" s="48">
        <f t="shared" si="44"/>
        <v>1.312094345</v>
      </c>
      <c r="BX29" s="49">
        <f t="shared" si="45"/>
        <v>0.7047495457</v>
      </c>
      <c r="BY29" s="47">
        <f t="shared" si="46"/>
        <v>0.4597005162</v>
      </c>
      <c r="BZ29" s="38">
        <v>0.224</v>
      </c>
      <c r="CA29" s="50">
        <f t="shared" si="47"/>
        <v>0.2444444444</v>
      </c>
      <c r="CB29" s="38">
        <v>0.504</v>
      </c>
      <c r="CC29" s="50">
        <f t="shared" si="48"/>
        <v>0.3346601347</v>
      </c>
      <c r="CD29" s="38">
        <v>0.633</v>
      </c>
      <c r="CE29" s="50">
        <f t="shared" si="49"/>
        <v>0.7017436695</v>
      </c>
      <c r="CF29" s="50">
        <f t="shared" si="50"/>
        <v>0.4269494162</v>
      </c>
      <c r="CG29" s="38">
        <v>0.47</v>
      </c>
      <c r="CH29" s="51">
        <f t="shared" si="51"/>
        <v>0.3786359077</v>
      </c>
      <c r="CI29" s="38">
        <v>0.39</v>
      </c>
      <c r="CJ29" s="51">
        <f t="shared" si="52"/>
        <v>0.5299363057</v>
      </c>
      <c r="CK29" s="38">
        <v>0.572</v>
      </c>
      <c r="CL29" s="51">
        <f t="shared" si="53"/>
        <v>0.7157024793</v>
      </c>
      <c r="CM29" s="38">
        <v>1.802</v>
      </c>
      <c r="CN29" s="51">
        <f t="shared" si="54"/>
        <v>1</v>
      </c>
      <c r="CO29" s="38">
        <v>0.433</v>
      </c>
      <c r="CP29" s="51">
        <f t="shared" si="55"/>
        <v>0.8160828025</v>
      </c>
      <c r="CQ29" s="51">
        <f t="shared" si="56"/>
        <v>0.6880714991</v>
      </c>
      <c r="CR29" s="52">
        <f t="shared" si="57"/>
        <v>0.5249071438</v>
      </c>
      <c r="CS29" s="53">
        <f t="shared" si="68"/>
        <v>0.1851339085</v>
      </c>
      <c r="CT29" s="54">
        <f t="shared" si="59"/>
        <v>0.3147168922</v>
      </c>
      <c r="CU29" s="55">
        <f t="shared" si="60"/>
        <v>0.02441214789</v>
      </c>
      <c r="CV29" s="34">
        <f t="shared" si="61"/>
        <v>0.941150052</v>
      </c>
      <c r="CW29" s="34">
        <f t="shared" si="62"/>
        <v>0.4977410849</v>
      </c>
      <c r="CX29" s="35">
        <f t="shared" si="63"/>
        <v>0.2844324231</v>
      </c>
      <c r="CY29" s="38">
        <f>IFERROR(__xludf.DUMMYFUNCTION("(GOOGLEFINANCE(B29,""price"")/INDEX(GOOGLEFINANCE(B29,""price"",TODAY()-30),2,2))-1"),0.05990356083086046)</f>
        <v>0.05990356083</v>
      </c>
      <c r="CZ29" s="38">
        <f>IFERROR(__xludf.DUMMYFUNCTION("(GOOGLEFINANCE($B29,""price"")/INDEX(GOOGLEFINANCE($B29,""price"",TODAY()-180),2,2))-1"),0.0484314804623005)</f>
        <v>0.04843148046</v>
      </c>
      <c r="DA29" s="38">
        <f>IFERROR(__xludf.DUMMYFUNCTION("(GOOGLEFINANCE($B29,""price"")/INDEX(GOOGLEFINANCE($B29,""price"",TODAY()-365),2,2))-1"),0.08753568030447201)</f>
        <v>0.0875356803</v>
      </c>
      <c r="DB29" s="38">
        <f>IFERROR(__xludf.DUMMYFUNCTION("(GOOGLEFINANCE($B29,""price"")/INDEX(GOOGLEFINANCE($B29,""price"",TODAY()-365*5),2,2))-1"),0.9679752066115703)</f>
        <v>0.9679752066</v>
      </c>
      <c r="DC29" s="38">
        <f>IFERROR(__xludf.DUMMYFUNCTION("(INDEX(GOOGLEFINANCE(B29, ""price"", TODAY()-30, TODAY()), ROWS(GOOGLEFINANCE(B29, ""price"", TODAY()-30, TODAY())), 2) / INDEX(GOOGLEFINANCE(B29, ""price"", TODAY()-30, TODAY()), 2, 2)) - 1"),0.05990356083086046)</f>
        <v>0.05990356083</v>
      </c>
      <c r="DD29" s="38">
        <f>IFERROR(__xludf.DUMMYFUNCTION("(INDEX(GOOGLEFINANCE(B29, ""price"", TODAY()-7, TODAY()), ROWS(GOOGLEFINANCE(B29, ""price"", TODAY()-7, TODAY())), 2) / INDEX(GOOGLEFINANCE(B29, ""price"", TODAY()-7, TODAY()), 2, 2)) - 1"),0.05403909996311329)</f>
        <v>0.05403909996</v>
      </c>
    </row>
    <row r="30">
      <c r="A30" s="34" t="str">
        <f>IFERROR(__xludf.DUMMYFUNCTION("GOOGLEFINANCE(B30,""name"")"),"Hamilton Lane Inc")</f>
        <v>Hamilton Lane Inc</v>
      </c>
      <c r="B30" s="35" t="s">
        <v>134</v>
      </c>
      <c r="C30" s="35" t="s">
        <v>111</v>
      </c>
      <c r="D30" s="35" t="s">
        <v>105</v>
      </c>
      <c r="E30" s="57">
        <v>3.0</v>
      </c>
      <c r="F30" s="35">
        <f>IFERROR(__xludf.DUMMYFUNCTION("IFERROR(MIN(INDEX(GOOGLEFINANCE(B30,""close"",TODAY()-100,TODAY()),0,2)) * GOOGLEFINANCE(""CURRENCY:USDEUR""),""Error en datos"")"),108.35920700000001)</f>
        <v>108.359207</v>
      </c>
      <c r="G30" s="35">
        <f>IFERROR(__xludf.DUMMYFUNCTION("IFERROR(MAX(INDEX(GOOGLEFINANCE(B30,""close"",TODAY()-100,TODAY()),0,2)) * GOOGLEFINANCE(""CURRENCY:USDEUR""),""Error en datos"")"),150.14573420000002)</f>
        <v>150.1457342</v>
      </c>
      <c r="H30" s="35">
        <f>IFERROR(__xludf.DUMMYFUNCTION("IFERROR(AVERAGE(INDEX(GOOGLEFINANCE(B30,""close"",TODAY()-20,TODAY()),0,2)) * GOOGLEFINANCE(""CURRENCY:USDEUR""),""Error en datos"")"),125.01998215384616)</f>
        <v>125.0199822</v>
      </c>
      <c r="I30" s="35">
        <f>IFERROR(__xludf.DUMMYFUNCTION("IFERROR(PERCENTILE(INDEX(GOOGLEFINANCE(B30,""close"",TODAY()-365,TODAY()),0,2),0.05) * GOOGLEFINANCE(""CURRENCY:USDEUR""),""Error en datos"")"),116.96976412)</f>
        <v>116.9697641</v>
      </c>
      <c r="J30" s="35">
        <f>IFERROR(__xludf.DUMMYFUNCTION("AVERAGE(INDEX(GOOGLEFINANCE(B30,""price"",TODAY()-20,TODAY(),""DAILY""),0,2))+(2*STDEV(INDEX(GOOGLEFINANCE(B30,""price"",TODAY()-20,TODAY(),""DAILY""),0,2)))"),152.95288602053293)</f>
        <v>152.952886</v>
      </c>
      <c r="K30" s="35">
        <f>IFERROR(__xludf.DUMMYFUNCTION("AVERAGE(INDEX(GOOGLEFINANCE(B30,""price"",TODAY()-20,TODAY(),""DAILY""),0,2))-(2*STDEV(INDEX(GOOGLEFINANCE(B30,""price"",TODAY()-20,TODAY(),""DAILY""),0,2)))"),139.29326782562092)</f>
        <v>139.2932678</v>
      </c>
      <c r="L30" s="35">
        <v>350.0</v>
      </c>
      <c r="M30" s="35">
        <f t="shared" si="1"/>
        <v>0.05934298834</v>
      </c>
      <c r="N30" s="35">
        <v>0.0</v>
      </c>
      <c r="O30" s="35">
        <f t="shared" si="2"/>
        <v>0.4444444444</v>
      </c>
      <c r="P30" s="35">
        <v>4.37</v>
      </c>
      <c r="Q30" s="35">
        <f t="shared" si="3"/>
        <v>0.2343508501</v>
      </c>
      <c r="R30" s="35" t="str">
        <f>IFERROR(__xludf.DUMMYFUNCTION("IF(B30="""", """", SPARKLINE(INDEX(GOOGLEFINANCE(B30, ""price"", TODAY()-1825, TODAY()), 0, 2)))"),"")</f>
        <v/>
      </c>
      <c r="S30" s="35">
        <f t="shared" si="4"/>
        <v>121.5407463</v>
      </c>
      <c r="T30" s="35">
        <f t="shared" si="5"/>
        <v>138.3880395</v>
      </c>
      <c r="U30" s="34" t="str">
        <f t="shared" si="6"/>
        <v/>
      </c>
      <c r="V30" s="37">
        <f t="shared" si="7"/>
        <v>0.06563193272</v>
      </c>
      <c r="W30" s="37">
        <f t="shared" si="8"/>
        <v>-0.04595078554</v>
      </c>
      <c r="X30" s="34">
        <f>IFERROR(__xludf.DUMMYFUNCTION("AJ30*GOOGLEFINANCE(""CURRENCY:USD/EUR"")"),129.5177004)</f>
        <v>129.5177004</v>
      </c>
      <c r="Y30" s="35">
        <f>IFERROR(__xludf.DUMMYFUNCTION("AI30*GOOGLEFINANCE(""CURRENCY:USD/EUR"")"),135.75578537984552)</f>
        <v>135.7557854</v>
      </c>
      <c r="Z30" s="38">
        <f t="shared" si="9"/>
        <v>0.06848746599</v>
      </c>
      <c r="AA30" s="38">
        <f t="shared" si="10"/>
        <v>0.06016395721</v>
      </c>
      <c r="AB30" s="38">
        <f t="shared" si="11"/>
        <v>0.01877264868</v>
      </c>
      <c r="AC30" s="41">
        <v>147.0</v>
      </c>
      <c r="AD30" s="40">
        <f t="shared" si="12"/>
        <v>0.3326480415</v>
      </c>
      <c r="AE30" s="41">
        <v>159.8</v>
      </c>
      <c r="AF30" s="41">
        <f t="shared" si="13"/>
        <v>0.4614996708</v>
      </c>
      <c r="AG30" s="41">
        <v>175.0</v>
      </c>
      <c r="AH30" s="41">
        <f t="shared" si="14"/>
        <v>0.2058522877</v>
      </c>
      <c r="AI30" s="41">
        <f t="shared" si="15"/>
        <v>158.6710598</v>
      </c>
      <c r="AJ30" s="34">
        <f>IFERROR(__xludf.DUMMYFUNCTION("GOOGLEFINANCE(B30,""price"")"),151.38)</f>
        <v>151.38</v>
      </c>
      <c r="AK30" s="37">
        <f t="shared" si="69"/>
        <v>0.05796557712</v>
      </c>
      <c r="AL30" s="34">
        <v>158.62</v>
      </c>
      <c r="AM30" s="34">
        <f t="shared" si="16"/>
        <v>130.2575261</v>
      </c>
      <c r="AN30" s="34">
        <f t="shared" si="17"/>
        <v>129.5593922</v>
      </c>
      <c r="AO30" s="38">
        <f>IFERROR(__xludf.DUMMYFUNCTION("(GOOGLEFINANCE(B30, ""price"") - INDEX(GOOGLEFINANCE(B30, ""price"", DATE(2025,5,8)), 2, 2)) / INDEX(GOOGLEFINANCE(B30, ""price"", DATE(2025,5,8)), 2, 2)"),-0.06957590657652117)</f>
        <v>-0.06957590658</v>
      </c>
      <c r="AP30" s="37">
        <f t="shared" si="18"/>
        <v>0.0003219004052</v>
      </c>
      <c r="AQ30" s="37">
        <f t="shared" si="19"/>
        <v>-0.04564367671</v>
      </c>
      <c r="AR30" s="37">
        <f t="shared" si="20"/>
        <v>0.04596557712</v>
      </c>
      <c r="AS30" s="34">
        <f>IFERROR(__xludf.DUMMYFUNCTION("IF(X30&lt;K30,1,IF(X30&gt;J30,-1,0)) + IF(X30&lt;F30,1,IF(X30&gt;G30,-1,0)) + IF(X30&lt;I30,1,IF(X30&gt;I30,-1,0)) + IF(X30&lt;H30,1,IF(X30&gt;H30,-1,0))"),-1.0)</f>
        <v>-1</v>
      </c>
      <c r="AT30" s="34" t="str">
        <f t="shared" si="21"/>
        <v>recompra</v>
      </c>
      <c r="AU30" s="35" t="str">
        <f t="shared" si="22"/>
        <v>hold</v>
      </c>
      <c r="AV30" s="35" t="str">
        <f t="shared" si="23"/>
        <v>hold</v>
      </c>
      <c r="AW30" s="38">
        <f t="shared" si="24"/>
        <v>0.04816395721</v>
      </c>
      <c r="AX30" s="38">
        <f t="shared" si="25"/>
        <v>0.07933587922</v>
      </c>
      <c r="AY30" s="38">
        <f t="shared" si="26"/>
        <v>0.07559757173</v>
      </c>
      <c r="AZ30" s="42">
        <f t="shared" si="27"/>
        <v>0.07903154069</v>
      </c>
      <c r="BA30" s="38">
        <f t="shared" si="28"/>
        <v>0.5902572972</v>
      </c>
      <c r="BB30" s="38">
        <f t="shared" si="29"/>
        <v>0.4097427028</v>
      </c>
      <c r="BC30" s="38">
        <f t="shared" si="30"/>
        <v>0.005712158777</v>
      </c>
      <c r="BD30" s="38">
        <f t="shared" si="31"/>
        <v>0.5025636155</v>
      </c>
      <c r="BE30" s="38">
        <f t="shared" si="32"/>
        <v>0.4974363845</v>
      </c>
      <c r="BF30" s="38">
        <f t="shared" si="33"/>
        <v>0.1055689856</v>
      </c>
      <c r="BG30" s="37">
        <f t="shared" si="34"/>
        <v>0.1024225092</v>
      </c>
      <c r="BH30" s="43">
        <f t="shared" si="35"/>
        <v>0.08901004045</v>
      </c>
      <c r="BI30" s="44">
        <f t="shared" si="36"/>
        <v>0.4001754933</v>
      </c>
      <c r="BJ30" s="38">
        <f t="shared" si="37"/>
        <v>0.1112811444</v>
      </c>
      <c r="BK30" s="43">
        <f t="shared" si="38"/>
        <v>0.1667089221</v>
      </c>
      <c r="BL30" s="59">
        <v>6.63</v>
      </c>
      <c r="BM30" s="46">
        <f t="shared" si="39"/>
        <v>0.002055875534</v>
      </c>
      <c r="BN30" s="38">
        <v>0.012</v>
      </c>
      <c r="BO30" s="59">
        <v>0.69</v>
      </c>
      <c r="BP30" s="58">
        <f t="shared" si="40"/>
        <v>0.000925205234</v>
      </c>
      <c r="BQ30" s="59">
        <v>5.42</v>
      </c>
      <c r="BR30" s="47">
        <f t="shared" si="41"/>
        <v>0.2061764052</v>
      </c>
      <c r="BS30" s="60">
        <v>0.457</v>
      </c>
      <c r="BT30" s="47">
        <f t="shared" si="42"/>
        <v>0.8024459078</v>
      </c>
      <c r="BU30" s="59">
        <v>0.4</v>
      </c>
      <c r="BV30" s="47">
        <f t="shared" si="43"/>
        <v>0.9801980198</v>
      </c>
      <c r="BW30" s="48">
        <f t="shared" si="44"/>
        <v>1.339327431</v>
      </c>
      <c r="BX30" s="49">
        <f t="shared" si="45"/>
        <v>0.7113409461</v>
      </c>
      <c r="BY30" s="47">
        <f t="shared" si="46"/>
        <v>0.4974363845</v>
      </c>
      <c r="BZ30" s="60">
        <v>0.412</v>
      </c>
      <c r="CA30" s="50">
        <f t="shared" si="47"/>
        <v>0.3991769547</v>
      </c>
      <c r="CB30" s="60">
        <v>0.489</v>
      </c>
      <c r="CC30" s="50">
        <f t="shared" si="48"/>
        <v>0.3300673607</v>
      </c>
      <c r="CD30" s="60">
        <v>0.668</v>
      </c>
      <c r="CE30" s="50">
        <f t="shared" si="49"/>
        <v>0.7027154598</v>
      </c>
      <c r="CF30" s="50">
        <f t="shared" si="50"/>
        <v>0.4773199251</v>
      </c>
      <c r="CG30" s="60">
        <v>0.251</v>
      </c>
      <c r="CH30" s="51">
        <f t="shared" si="51"/>
        <v>0.2688064193</v>
      </c>
      <c r="CI30" s="60">
        <v>0.212</v>
      </c>
      <c r="CJ30" s="51">
        <f t="shared" si="52"/>
        <v>0.3031847134</v>
      </c>
      <c r="CK30" s="60">
        <v>0.232</v>
      </c>
      <c r="CL30" s="51">
        <f t="shared" si="53"/>
        <v>0.4347107438</v>
      </c>
      <c r="CM30" s="60">
        <v>0.226</v>
      </c>
      <c r="CN30" s="51">
        <f t="shared" si="54"/>
        <v>0.2123938031</v>
      </c>
      <c r="CO30" s="60">
        <v>0.45</v>
      </c>
      <c r="CP30" s="51">
        <f t="shared" si="55"/>
        <v>0.8296178344</v>
      </c>
      <c r="CQ30" s="51">
        <f t="shared" si="56"/>
        <v>0.4097427028</v>
      </c>
      <c r="CR30" s="52">
        <f t="shared" si="57"/>
        <v>0.4614996708</v>
      </c>
      <c r="CS30" s="53">
        <f t="shared" si="68"/>
        <v>0.1993703178</v>
      </c>
      <c r="CT30" s="54">
        <f t="shared" si="59"/>
        <v>0.3120248327</v>
      </c>
      <c r="CU30" s="55">
        <f t="shared" si="60"/>
        <v>0.02421361625</v>
      </c>
      <c r="CV30" s="34">
        <f t="shared" si="61"/>
        <v>1.170693812</v>
      </c>
      <c r="CW30" s="34">
        <f t="shared" si="62"/>
        <v>0.5234232885</v>
      </c>
      <c r="CX30" s="35">
        <f t="shared" si="63"/>
        <v>0.3393976473</v>
      </c>
      <c r="CY30" s="38">
        <f>IFERROR(__xludf.DUMMYFUNCTION("(GOOGLEFINANCE(B30,""price"")/INDEX(GOOGLEFINANCE(B30,""price"",TODAY()-30),2,2))-1"),0.10070530066167382)</f>
        <v>0.1007053007</v>
      </c>
      <c r="CZ30" s="38">
        <f>IFERROR(__xludf.DUMMYFUNCTION("(GOOGLEFINANCE($B30,""price"")/INDEX(GOOGLEFINANCE($B30,""price"",TODAY()-180),2,2))-1"),0.04681557292026817)</f>
        <v>0.04681557292</v>
      </c>
      <c r="DA30" s="38">
        <f>IFERROR(__xludf.DUMMYFUNCTION("(GOOGLEFINANCE($B30,""price"")/INDEX(GOOGLEFINANCE($B30,""price"",TODAY()-365),2,2))-1"),0.10303118624307772)</f>
        <v>0.1030311862</v>
      </c>
      <c r="DB30" s="38">
        <f>IFERROR(__xludf.DUMMYFUNCTION("(GOOGLEFINANCE($B30,""price"")/INDEX(GOOGLEFINANCE($B30,""price"",TODAY()-365*5),2,2))-1"),1.202211230724469)</f>
        <v>1.202211231</v>
      </c>
      <c r="DC30" s="38">
        <f>IFERROR(__xludf.DUMMYFUNCTION("(INDEX(GOOGLEFINANCE(B30, ""price"", TODAY()-30, TODAY()), ROWS(GOOGLEFINANCE(B30, ""price"", TODAY()-30, TODAY())), 2) / INDEX(GOOGLEFINANCE(B30, ""price"", TODAY()-30, TODAY()), 2, 2)) - 1"),0.10070530066167382)</f>
        <v>0.1007053007</v>
      </c>
      <c r="DD30" s="38">
        <f>IFERROR(__xludf.DUMMYFUNCTION("(INDEX(GOOGLEFINANCE(B30, ""price"", TODAY()-7, TODAY()), ROWS(GOOGLEFINANCE(B30, ""price"", TODAY()-7, TODAY())), 2) / INDEX(GOOGLEFINANCE(B30, ""price"", TODAY()-7, TODAY()), 2, 2)) - 1"),0.036139630390143784)</f>
        <v>0.03613963039</v>
      </c>
    </row>
    <row r="31">
      <c r="A31" s="34" t="str">
        <f>IFERROR(__xludf.DUMMYFUNCTION("GOOGLEFINANCE(B31,""name"")"),"Honeywell International Inc")</f>
        <v>Honeywell International Inc</v>
      </c>
      <c r="B31" s="45" t="s">
        <v>135</v>
      </c>
      <c r="C31" s="45" t="s">
        <v>96</v>
      </c>
      <c r="D31" s="35" t="s">
        <v>105</v>
      </c>
      <c r="E31" s="64">
        <v>4.0</v>
      </c>
      <c r="F31" s="35">
        <f>IFERROR(__xludf.DUMMYFUNCTION("IFERROR(MIN(INDEX(GOOGLEFINANCE(B31,""close"",TODAY()-100,TODAY()),0,2)) * GOOGLEFINANCE(""CURRENCY:USDEUR""),""Error en datos"")"),156.4513588)</f>
        <v>156.4513588</v>
      </c>
      <c r="G31" s="35">
        <f>IFERROR(__xludf.DUMMYFUNCTION("IFERROR(MAX(INDEX(GOOGLEFINANCE(B31,""close"",TODAY()-100,TODAY()),0,2)) * GOOGLEFINANCE(""CURRENCY:USDEUR""),""Error en datos"")"),205.681432)</f>
        <v>205.681432</v>
      </c>
      <c r="H31" s="35">
        <f>IFERROR(__xludf.DUMMYFUNCTION("IFERROR(AVERAGE(INDEX(GOOGLEFINANCE(B31,""close"",TODAY()-20,TODAY()),0,2)) * GOOGLEFINANCE(""CURRENCY:USDEUR""),""Error en datos"")"),200.30444076923078)</f>
        <v>200.3044408</v>
      </c>
      <c r="I31" s="35">
        <f>IFERROR(__xludf.DUMMYFUNCTION("IFERROR(PERCENTILE(INDEX(GOOGLEFINANCE(B31,""close"",TODAY()-365,TODAY()),0,2),0.05) * GOOGLEFINANCE(""CURRENCY:USDEUR""),""Error en datos"")"),169.5502886)</f>
        <v>169.5502886</v>
      </c>
      <c r="J31" s="35">
        <f>IFERROR(__xludf.DUMMYFUNCTION("AVERAGE(INDEX(GOOGLEFINANCE(B31,""price"",TODAY()-20,TODAY(),""DAILY""),0,2))+(2*STDEV(INDEX(GOOGLEFINANCE(B31,""price"",TODAY()-20,TODAY(),""DAILY""),0,2)))"),247.15930431099915)</f>
        <v>247.1593043</v>
      </c>
      <c r="K31" s="35">
        <f>IFERROR(__xludf.DUMMYFUNCTION("AVERAGE(INDEX(GOOGLEFINANCE(B31,""price"",TODAY()-20,TODAY(),""DAILY""),0,2))-(2*STDEV(INDEX(GOOGLEFINANCE(B31,""price"",TODAY()-20,TODAY(),""DAILY""),0,2)))"),221.07146491977008)</f>
        <v>221.0714649</v>
      </c>
      <c r="L31" s="45">
        <v>2658.0</v>
      </c>
      <c r="M31" s="35">
        <f t="shared" si="1"/>
        <v>0.4669728011</v>
      </c>
      <c r="N31" s="45">
        <v>100.0</v>
      </c>
      <c r="O31" s="35">
        <f t="shared" si="2"/>
        <v>0.8888888889</v>
      </c>
      <c r="P31" s="45">
        <v>5.82</v>
      </c>
      <c r="Q31" s="35">
        <f t="shared" si="3"/>
        <v>0.2623647604</v>
      </c>
      <c r="R31" s="35" t="str">
        <f>IFERROR(__xludf.DUMMYFUNCTION("IF(B31="""", """", SPARKLINE(INDEX(GOOGLEFINANCE(B31, ""price"", TODAY()-1825, TODAY()), 0, 2)))"),"")</f>
        <v/>
      </c>
      <c r="S31" s="35">
        <f t="shared" si="4"/>
        <v>182.3577041</v>
      </c>
      <c r="T31" s="35">
        <f t="shared" si="5"/>
        <v>211.1834463</v>
      </c>
      <c r="U31" s="34" t="str">
        <f t="shared" si="6"/>
        <v/>
      </c>
      <c r="V31" s="37">
        <f t="shared" si="7"/>
        <v>0.1069287716</v>
      </c>
      <c r="W31" s="37">
        <f t="shared" si="8"/>
        <v>-0.03016811468</v>
      </c>
      <c r="X31" s="34">
        <f>IFERROR(__xludf.DUMMYFUNCTION("AJ31*GOOGLEFINANCE(""CURRENCY:USD/EUR"")"),201.8569894)</f>
        <v>201.8569894</v>
      </c>
      <c r="Y31" s="35">
        <f>IFERROR(__xludf.DUMMYFUNCTION("AI31*GOOGLEFINANCE(""CURRENCY:USD/EUR"")"),208.13606198687967)</f>
        <v>208.136062</v>
      </c>
      <c r="Z31" s="38">
        <f t="shared" si="9"/>
        <v>0.04620328965</v>
      </c>
      <c r="AA31" s="38">
        <f t="shared" si="10"/>
        <v>0.05210654036</v>
      </c>
      <c r="AB31" s="38">
        <f t="shared" si="11"/>
        <v>0.01684878425</v>
      </c>
      <c r="AC31" s="41">
        <v>217.0</v>
      </c>
      <c r="AD31" s="40">
        <f t="shared" si="12"/>
        <v>0.3189126843</v>
      </c>
      <c r="AE31" s="41">
        <v>244.0</v>
      </c>
      <c r="AF31" s="41">
        <f t="shared" si="13"/>
        <v>0.352770293</v>
      </c>
      <c r="AG31" s="41">
        <v>268.0</v>
      </c>
      <c r="AH31" s="41">
        <f t="shared" si="14"/>
        <v>0.3283170226</v>
      </c>
      <c r="AI31" s="41">
        <f t="shared" si="15"/>
        <v>243.2689661</v>
      </c>
      <c r="AJ31" s="34">
        <f>IFERROR(__xludf.DUMMYFUNCTION("GOOGLEFINANCE(B31,""price"")"),235.93)</f>
        <v>235.93</v>
      </c>
      <c r="AK31" s="37">
        <f t="shared" si="69"/>
        <v>0.05545038758</v>
      </c>
      <c r="AL31" s="34">
        <v>213.03</v>
      </c>
      <c r="AM31" s="34">
        <f t="shared" si="16"/>
        <v>191.884451</v>
      </c>
      <c r="AN31" s="34">
        <f t="shared" si="17"/>
        <v>230.5099803</v>
      </c>
      <c r="AO31" s="38">
        <f>IFERROR(__xludf.DUMMYFUNCTION("(GOOGLEFINANCE(B31, ""price"") - INDEX(GOOGLEFINANCE(B31, ""price"", DATE(2025,5,9)), 2, 2)) / INDEX(GOOGLEFINANCE(B31, ""price"", DATE(2025,5,8)), 2, 2)"),0.10674000186445422)</f>
        <v>0.1067400019</v>
      </c>
      <c r="AP31" s="37">
        <f t="shared" si="18"/>
        <v>0.1419469843</v>
      </c>
      <c r="AQ31" s="37">
        <f t="shared" si="19"/>
        <v>0.1074965967</v>
      </c>
      <c r="AR31" s="37">
        <f t="shared" si="20"/>
        <v>0.03445038758</v>
      </c>
      <c r="AS31" s="34">
        <f>IFERROR(__xludf.DUMMYFUNCTION("IF(X31&lt;K31,1,IF(X31&gt;J31,-1,0)) + IF(X31&lt;F31,1,IF(X31&gt;G31,-1,0)) + IF(X31&lt;I31,1,IF(X31&gt;I31,-1,0)) + IF(X31&lt;H31,1,IF(X31&gt;H31,-1,0))"),-1.0)</f>
        <v>-1</v>
      </c>
      <c r="AT31" s="34" t="str">
        <f t="shared" si="21"/>
        <v>Hold</v>
      </c>
      <c r="AU31" s="35" t="str">
        <f t="shared" si="22"/>
        <v>hold</v>
      </c>
      <c r="AV31" s="35" t="str">
        <f t="shared" si="23"/>
        <v>hold</v>
      </c>
      <c r="AW31" s="38">
        <f t="shared" si="24"/>
        <v>0.03110654036</v>
      </c>
      <c r="AX31" s="38">
        <f t="shared" si="25"/>
        <v>0.05458542234</v>
      </c>
      <c r="AY31" s="38">
        <f t="shared" si="26"/>
        <v>0.06239640016</v>
      </c>
      <c r="AZ31" s="42">
        <f t="shared" si="27"/>
        <v>0.04969493408</v>
      </c>
      <c r="BA31" s="38">
        <f t="shared" si="28"/>
        <v>0.7305881747</v>
      </c>
      <c r="BB31" s="38">
        <f t="shared" si="29"/>
        <v>0.2694118253</v>
      </c>
      <c r="BC31" s="38">
        <f t="shared" si="30"/>
        <v>-0.0494039788</v>
      </c>
      <c r="BD31" s="38">
        <f t="shared" si="31"/>
        <v>0.546148464</v>
      </c>
      <c r="BE31" s="38">
        <f t="shared" si="32"/>
        <v>0.453851536</v>
      </c>
      <c r="BF31" s="38">
        <f t="shared" si="33"/>
        <v>0.08037314824</v>
      </c>
      <c r="BG31" s="37">
        <f t="shared" si="34"/>
        <v>0.08390528344</v>
      </c>
      <c r="BH31" s="43">
        <f t="shared" si="35"/>
        <v>0.0731508418</v>
      </c>
      <c r="BI31" s="44">
        <f t="shared" si="36"/>
        <v>0.3542135072</v>
      </c>
      <c r="BJ31" s="38">
        <f t="shared" si="37"/>
        <v>0.03096916944</v>
      </c>
      <c r="BK31" s="43">
        <f t="shared" si="38"/>
        <v>0.09973266875</v>
      </c>
      <c r="BL31" s="45">
        <v>136.91</v>
      </c>
      <c r="BM31" s="46">
        <f t="shared" si="39"/>
        <v>0.04326194701</v>
      </c>
      <c r="BN31" s="38">
        <v>0.021</v>
      </c>
      <c r="BO31" s="45">
        <v>39.22</v>
      </c>
      <c r="BP31" s="47">
        <f t="shared" si="40"/>
        <v>0.05750958248</v>
      </c>
      <c r="BQ31" s="63">
        <v>8.7</v>
      </c>
      <c r="BR31" s="47">
        <f t="shared" si="41"/>
        <v>0.2790491002</v>
      </c>
      <c r="BS31" s="38">
        <v>0.213</v>
      </c>
      <c r="BT31" s="47">
        <f t="shared" si="42"/>
        <v>0.5729068674</v>
      </c>
      <c r="BU31" s="45">
        <v>1.9</v>
      </c>
      <c r="BV31" s="47">
        <f t="shared" si="43"/>
        <v>0.9059405941</v>
      </c>
      <c r="BW31" s="48">
        <f t="shared" si="44"/>
        <v>1.220686011</v>
      </c>
      <c r="BX31" s="49">
        <f t="shared" si="45"/>
        <v>0.6352761726</v>
      </c>
      <c r="BY31" s="47">
        <f t="shared" si="46"/>
        <v>0.453851536</v>
      </c>
      <c r="BZ31" s="38">
        <v>0.063</v>
      </c>
      <c r="CA31" s="50">
        <f t="shared" si="47"/>
        <v>0.1119341564</v>
      </c>
      <c r="CB31" s="38">
        <v>0.093</v>
      </c>
      <c r="CC31" s="50">
        <f t="shared" si="48"/>
        <v>0.2088181261</v>
      </c>
      <c r="CD31" s="38">
        <v>0.008</v>
      </c>
      <c r="CE31" s="50">
        <f t="shared" si="49"/>
        <v>0.684390271</v>
      </c>
      <c r="CF31" s="50">
        <f t="shared" si="50"/>
        <v>0.3350475178</v>
      </c>
      <c r="CG31" s="60">
        <v>0.0</v>
      </c>
      <c r="CH31" s="51">
        <f t="shared" si="51"/>
        <v>0.1429287864</v>
      </c>
      <c r="CI31" s="60">
        <v>0.016</v>
      </c>
      <c r="CJ31" s="51">
        <f t="shared" si="52"/>
        <v>0.05350318471</v>
      </c>
      <c r="CK31" s="60">
        <v>0.024</v>
      </c>
      <c r="CL31" s="51">
        <f t="shared" si="53"/>
        <v>0.2628099174</v>
      </c>
      <c r="CM31" s="60">
        <v>0.303</v>
      </c>
      <c r="CN31" s="51">
        <f t="shared" si="54"/>
        <v>0.2508745627</v>
      </c>
      <c r="CO31" s="38">
        <v>0.208</v>
      </c>
      <c r="CP31" s="51">
        <f t="shared" si="55"/>
        <v>0.6369426752</v>
      </c>
      <c r="CQ31" s="51">
        <f t="shared" si="56"/>
        <v>0.2694118253</v>
      </c>
      <c r="CR31" s="52">
        <f t="shared" si="57"/>
        <v>0.352770293</v>
      </c>
      <c r="CS31" s="53">
        <f t="shared" si="68"/>
        <v>0.5212998129</v>
      </c>
      <c r="CT31" s="54">
        <f t="shared" si="59"/>
        <v>0.3233525798</v>
      </c>
      <c r="CU31" s="55">
        <f t="shared" si="60"/>
        <v>0.02011682738</v>
      </c>
      <c r="CV31" s="34">
        <f t="shared" si="61"/>
        <v>0.903366392</v>
      </c>
      <c r="CW31" s="34">
        <f t="shared" si="62"/>
        <v>0.4022267445</v>
      </c>
      <c r="CX31" s="35">
        <f t="shared" si="63"/>
        <v>0.5756268247</v>
      </c>
      <c r="CY31" s="38">
        <f>IFERROR(__xludf.DUMMYFUNCTION("(GOOGLEFINANCE(B31,""price"")/INDEX(GOOGLEFINANCE(B31,""price"",TODAY()-30),2,2))-1"),0.05283591414163946)</f>
        <v>0.05283591414</v>
      </c>
      <c r="CZ31" s="38">
        <f>IFERROR(__xludf.DUMMYFUNCTION("(GOOGLEFINANCE($B31,""price"")/INDEX(GOOGLEFINANCE($B31,""price"",TODAY()-180),2,2))-1"),0.0746560991163343)</f>
        <v>0.07465609912</v>
      </c>
      <c r="DA31" s="38">
        <f>IFERROR(__xludf.DUMMYFUNCTION("(GOOGLEFINANCE($B31,""price"")/INDEX(GOOGLEFINANCE($B31,""price"",TODAY()-365),2,2))-1"),0.0936862599666235)</f>
        <v>0.09368625997</v>
      </c>
      <c r="DB31" s="38">
        <f>IFERROR(__xludf.DUMMYFUNCTION("(GOOGLEFINANCE($B31,""price"")/INDEX(GOOGLEFINANCE($B31,""price"",TODAY()-365*5),2,2))-1"),0.5528861975909958)</f>
        <v>0.5528861976</v>
      </c>
      <c r="DC31" s="38">
        <f>IFERROR(__xludf.DUMMYFUNCTION("(INDEX(GOOGLEFINANCE(B31, ""price"", TODAY()-30, TODAY()), ROWS(GOOGLEFINANCE(B31, ""price"", TODAY()-30, TODAY())), 2) / INDEX(GOOGLEFINANCE(B31, ""price"", TODAY()-30, TODAY()), 2, 2)) - 1"),0.05283591414163946)</f>
        <v>0.05283591414</v>
      </c>
      <c r="DD31" s="38">
        <f>IFERROR(__xludf.DUMMYFUNCTION("(INDEX(GOOGLEFINANCE(B31, ""price"", TODAY()-7, TODAY()), ROWS(GOOGLEFINANCE(B31, ""price"", TODAY()-7, TODAY())), 2) / INDEX(GOOGLEFINANCE(B31, ""price"", TODAY()-7, TODAY()), 2, 2)) - 1"),-0.014288698558596158)</f>
        <v>-0.01428869856</v>
      </c>
    </row>
    <row r="32">
      <c r="A32" s="34" t="str">
        <f>IFERROR(__xludf.DUMMYFUNCTION("GOOGLEFINANCE(B32,""name"")"),"Healthequity Inc")</f>
        <v>Healthequity Inc</v>
      </c>
      <c r="B32" s="45" t="s">
        <v>136</v>
      </c>
      <c r="C32" s="45" t="s">
        <v>93</v>
      </c>
      <c r="D32" s="45" t="s">
        <v>121</v>
      </c>
      <c r="E32" s="57">
        <v>3.0</v>
      </c>
      <c r="F32" s="35">
        <f>IFERROR(__xludf.DUMMYFUNCTION("IFERROR(MIN(INDEX(GOOGLEFINANCE(B32,""close"",TODAY()-100,TODAY()),0,2)) * GOOGLEFINANCE(""CURRENCY:USDEUR""),""Error en datos"")"),65.6828766)</f>
        <v>65.6828766</v>
      </c>
      <c r="G32" s="35">
        <f>IFERROR(__xludf.DUMMYFUNCTION("IFERROR(MAX(INDEX(GOOGLEFINANCE(B32,""close"",TODAY()-100,TODAY()),0,2)) * GOOGLEFINANCE(""CURRENCY:USDEUR""),""Error en datos"")"),96.7318748)</f>
        <v>96.7318748</v>
      </c>
      <c r="H32" s="35">
        <f>IFERROR(__xludf.DUMMYFUNCTION("IFERROR(AVERAGE(INDEX(GOOGLEFINANCE(B32,""close"",TODAY()-20,TODAY()),0,2)) * GOOGLEFINANCE(""CURRENCY:USDEUR""),""Error en datos"")"),87.24415073846153)</f>
        <v>87.24415074</v>
      </c>
      <c r="I32" s="35">
        <f>IFERROR(__xludf.DUMMYFUNCTION("IFERROR(PERCENTILE(INDEX(GOOGLEFINANCE(B32,""close"",TODAY()-365,TODAY()),0,2),0.05) * GOOGLEFINANCE(""CURRENCY:USDEUR""),""Error en datos"")"),63.96016627)</f>
        <v>63.96016627</v>
      </c>
      <c r="J32" s="35">
        <f>IFERROR(__xludf.DUMMYFUNCTION("AVERAGE(INDEX(GOOGLEFINANCE(B32,""price"",TODAY()-20,TODAY(),""DAILY""),0,2))+(2*STDEV(INDEX(GOOGLEFINANCE(B32,""price"",TODAY()-20,TODAY(),""DAILY""),0,2)))"),108.25567422362556)</f>
        <v>108.2556742</v>
      </c>
      <c r="K32" s="35">
        <f>IFERROR(__xludf.DUMMYFUNCTION("AVERAGE(INDEX(GOOGLEFINANCE(B32,""price"",TODAY()-20,TODAY(),""DAILY""),0,2))-(2*STDEV(INDEX(GOOGLEFINANCE(B32,""price"",TODAY()-20,TODAY(),""DAILY""),0,2)))"),95.68586423791288)</f>
        <v>95.68586424</v>
      </c>
      <c r="L32" s="35">
        <v>453.0</v>
      </c>
      <c r="M32" s="35">
        <f t="shared" si="1"/>
        <v>0.07753444013</v>
      </c>
      <c r="N32" s="35">
        <v>50.0</v>
      </c>
      <c r="O32" s="35">
        <f t="shared" si="2"/>
        <v>0.6666666667</v>
      </c>
      <c r="P32" s="35">
        <v>1.91</v>
      </c>
      <c r="Q32" s="35">
        <f t="shared" si="3"/>
        <v>0.1868238022</v>
      </c>
      <c r="R32" s="35" t="str">
        <f>IFERROR(__xludf.DUMMYFUNCTION("IF(B32="""", """", SPARKLINE(INDEX(GOOGLEFINANCE(B32, ""price"", TODAY()-1825, TODAY()), 0, 2)))"),"")</f>
        <v/>
      </c>
      <c r="S32" s="35">
        <f t="shared" si="4"/>
        <v>75.1096357</v>
      </c>
      <c r="T32" s="35">
        <f t="shared" si="5"/>
        <v>101.5034345</v>
      </c>
      <c r="U32" s="34" t="str">
        <f t="shared" si="6"/>
        <v/>
      </c>
      <c r="V32" s="37">
        <f t="shared" si="7"/>
        <v>0.07668504638</v>
      </c>
      <c r="W32" s="37">
        <f t="shared" si="8"/>
        <v>-0.2017261834</v>
      </c>
      <c r="X32" s="34">
        <f>IFERROR(__xludf.DUMMYFUNCTION("AJ32*GOOGLEFINANCE(""CURRENCY:USD/EUR"")"),80.8694216)</f>
        <v>80.8694216</v>
      </c>
      <c r="Y32" s="35">
        <f>IFERROR(__xludf.DUMMYFUNCTION("AI32*GOOGLEFINANCE(""CURRENCY:USD/EUR"")"),101.30536655548434)</f>
        <v>101.3053666</v>
      </c>
      <c r="Z32" s="38">
        <f t="shared" si="9"/>
        <v>0.2551522261</v>
      </c>
      <c r="AA32" s="38">
        <f t="shared" si="10"/>
        <v>0.2527029939</v>
      </c>
      <c r="AB32" s="38">
        <f t="shared" si="11"/>
        <v>0.08904861921</v>
      </c>
      <c r="AC32" s="41">
        <v>104.0</v>
      </c>
      <c r="AD32" s="40">
        <f t="shared" si="12"/>
        <v>0.3324424539</v>
      </c>
      <c r="AE32" s="41">
        <v>122.0</v>
      </c>
      <c r="AF32" s="41">
        <f t="shared" si="13"/>
        <v>0.3688761515</v>
      </c>
      <c r="AG32" s="41">
        <v>130.0</v>
      </c>
      <c r="AH32" s="41">
        <f t="shared" si="14"/>
        <v>0.2986813946</v>
      </c>
      <c r="AI32" s="41">
        <f t="shared" si="15"/>
        <v>118.405487</v>
      </c>
      <c r="AJ32" s="34">
        <f>IFERROR(__xludf.DUMMYFUNCTION("GOOGLEFINANCE(B32,""price"")"),94.52)</f>
        <v>94.52</v>
      </c>
      <c r="AK32" s="37">
        <f t="shared" si="69"/>
        <v>0.236162616</v>
      </c>
      <c r="AL32" s="35">
        <v>101.14</v>
      </c>
      <c r="AM32" s="34">
        <f t="shared" si="16"/>
        <v>93.63025517</v>
      </c>
      <c r="AN32" s="34">
        <f t="shared" si="17"/>
        <v>94.67454268</v>
      </c>
      <c r="AO32" s="38">
        <f>IFERROR(__xludf.DUMMYFUNCTION("(GOOGLEFINANCE(B32, ""price"") - INDEX(GOOGLEFINANCE(B32, ""price"", DATE(2025,5,9)), 2, 2)) / INDEX(GOOGLEFINANCE(B32, ""price"", DATE(2025,5,8)), 2, 2)"),0.04511113544289927)</f>
        <v>0.04511113544</v>
      </c>
      <c r="AP32" s="37">
        <f t="shared" si="18"/>
        <v>0.1707087897</v>
      </c>
      <c r="AQ32" s="37">
        <f t="shared" si="19"/>
        <v>-0.06545382638</v>
      </c>
      <c r="AR32" s="37">
        <f t="shared" si="20"/>
        <v>0.236162616</v>
      </c>
      <c r="AS32" s="34">
        <f>IFERROR(__xludf.DUMMYFUNCTION("IF(X32&lt;K32,1,IF(X32&gt;J32,-1,0)) + IF(X32&lt;F32,1,IF(X32&gt;G32,-1,0)) + IF(X32&lt;I32,1,IF(X32&gt;I32,-1,0)) + IF(X32&lt;H32,1,IF(X32&gt;H32,-1,0))"),1.0)</f>
        <v>1</v>
      </c>
      <c r="AT32" s="34" t="str">
        <f t="shared" si="21"/>
        <v>recompra</v>
      </c>
      <c r="AU32" s="35" t="str">
        <f t="shared" si="22"/>
        <v>compra</v>
      </c>
      <c r="AV32" s="35" t="str">
        <f t="shared" si="23"/>
        <v>compra</v>
      </c>
      <c r="AW32" s="38">
        <f t="shared" si="24"/>
        <v>0.2527029939</v>
      </c>
      <c r="AX32" s="38">
        <f t="shared" si="25"/>
        <v>0.2339814741</v>
      </c>
      <c r="AY32" s="38">
        <f t="shared" si="26"/>
        <v>0.2396398437</v>
      </c>
      <c r="AZ32" s="42">
        <f t="shared" si="27"/>
        <v>0.1971664655</v>
      </c>
      <c r="BA32" s="38">
        <f t="shared" si="28"/>
        <v>0.6980647846</v>
      </c>
      <c r="BB32" s="38">
        <f t="shared" si="29"/>
        <v>0.3019352154</v>
      </c>
      <c r="BC32" s="38">
        <f t="shared" si="30"/>
        <v>0.157795534</v>
      </c>
      <c r="BD32" s="38">
        <f t="shared" si="31"/>
        <v>0.595397038</v>
      </c>
      <c r="BE32" s="38">
        <f t="shared" si="32"/>
        <v>0.404602962</v>
      </c>
      <c r="BF32" s="38">
        <f t="shared" si="33"/>
        <v>0.3249769752</v>
      </c>
      <c r="BG32" s="37">
        <f t="shared" si="34"/>
        <v>0.1529466763</v>
      </c>
      <c r="BH32" s="43">
        <f t="shared" si="35"/>
        <v>0.19629326</v>
      </c>
      <c r="BI32" s="44">
        <f t="shared" si="36"/>
        <v>0.4610789021</v>
      </c>
      <c r="BJ32" s="38">
        <f t="shared" si="37"/>
        <v>0.4827725092</v>
      </c>
      <c r="BK32" s="43">
        <f t="shared" si="38"/>
        <v>0.6205348436</v>
      </c>
      <c r="BL32" s="45">
        <v>8.58</v>
      </c>
      <c r="BM32" s="46">
        <f t="shared" si="39"/>
        <v>0.002672638194</v>
      </c>
      <c r="BN32" s="45">
        <v>0.0</v>
      </c>
      <c r="BO32" s="45">
        <v>1.2</v>
      </c>
      <c r="BP32" s="47">
        <f t="shared" si="40"/>
        <v>0.0016741809</v>
      </c>
      <c r="BQ32" s="45">
        <v>1.09</v>
      </c>
      <c r="BR32" s="47">
        <f t="shared" si="41"/>
        <v>0.109975561</v>
      </c>
      <c r="BS32" s="38">
        <v>0.169</v>
      </c>
      <c r="BT32" s="47">
        <f t="shared" si="42"/>
        <v>0.5315145814</v>
      </c>
      <c r="BU32" s="45">
        <v>0.5</v>
      </c>
      <c r="BV32" s="47">
        <f t="shared" si="43"/>
        <v>0.9752475248</v>
      </c>
      <c r="BW32" s="48">
        <f t="shared" si="44"/>
        <v>1.141461667</v>
      </c>
      <c r="BX32" s="49">
        <f t="shared" si="45"/>
        <v>0.7258645443</v>
      </c>
      <c r="BY32" s="47">
        <f t="shared" si="46"/>
        <v>0.404602962</v>
      </c>
      <c r="BZ32" s="38">
        <v>0.2</v>
      </c>
      <c r="CA32" s="50">
        <f t="shared" si="47"/>
        <v>0.224691358</v>
      </c>
      <c r="CB32" s="38">
        <v>0.299</v>
      </c>
      <c r="CC32" s="50">
        <f t="shared" si="48"/>
        <v>0.2718922229</v>
      </c>
      <c r="CD32" s="38">
        <v>0.703</v>
      </c>
      <c r="CE32" s="50">
        <f t="shared" si="49"/>
        <v>0.7036872501</v>
      </c>
      <c r="CF32" s="50">
        <f t="shared" si="50"/>
        <v>0.400090277</v>
      </c>
      <c r="CG32" s="38">
        <v>0.134</v>
      </c>
      <c r="CH32" s="51">
        <f t="shared" si="51"/>
        <v>0.2101303912</v>
      </c>
      <c r="CI32" s="38">
        <v>0.177</v>
      </c>
      <c r="CJ32" s="51">
        <f t="shared" si="52"/>
        <v>0.2585987261</v>
      </c>
      <c r="CK32" s="38">
        <v>0.173</v>
      </c>
      <c r="CL32" s="51">
        <f t="shared" si="53"/>
        <v>0.3859504132</v>
      </c>
      <c r="CM32" s="38">
        <v>0.006</v>
      </c>
      <c r="CN32" s="51">
        <f t="shared" si="54"/>
        <v>0.1024487756</v>
      </c>
      <c r="CO32" s="38">
        <v>0.102</v>
      </c>
      <c r="CP32" s="51">
        <f t="shared" si="55"/>
        <v>0.5525477707</v>
      </c>
      <c r="CQ32" s="51">
        <f t="shared" si="56"/>
        <v>0.3019352154</v>
      </c>
      <c r="CR32" s="52">
        <f t="shared" si="57"/>
        <v>0.3688761515</v>
      </c>
      <c r="CS32" s="53">
        <f t="shared" si="68"/>
        <v>0.2521398373</v>
      </c>
      <c r="CT32" s="54">
        <f t="shared" si="59"/>
        <v>0.3523845042</v>
      </c>
      <c r="CU32" s="55">
        <f t="shared" si="60"/>
        <v>0.1055722027</v>
      </c>
      <c r="CV32" s="34">
        <f t="shared" si="61"/>
        <v>1.428964195</v>
      </c>
      <c r="CW32" s="34">
        <f t="shared" si="62"/>
        <v>0.5416791246</v>
      </c>
      <c r="CX32" s="35">
        <f t="shared" si="63"/>
        <v>0.4267452344</v>
      </c>
      <c r="CY32" s="38">
        <f>IFERROR(__xludf.DUMMYFUNCTION("(GOOGLEFINANCE(B32,""price"")/INDEX(GOOGLEFINANCE(B32,""price"",TODAY()-30),2,2))-1"),-0.06489908982983783)</f>
        <v>-0.06489908983</v>
      </c>
      <c r="CZ32" s="38">
        <f>IFERROR(__xludf.DUMMYFUNCTION("(GOOGLEFINANCE($B32,""price"")/INDEX(GOOGLEFINANCE($B32,""price"",TODAY()-180),2,2))-1"),-0.060997417047486624)</f>
        <v>-0.06099741705</v>
      </c>
      <c r="DA32" s="38">
        <f>IFERROR(__xludf.DUMMYFUNCTION("(GOOGLEFINANCE($B32,""price"")/INDEX(GOOGLEFINANCE($B32,""price"",TODAY()-365),2,2))-1"),0.2265766934855955)</f>
        <v>0.2265766935</v>
      </c>
      <c r="DB32" s="38">
        <f>IFERROR(__xludf.DUMMYFUNCTION("(GOOGLEFINANCE($B32,""price"")/INDEX(GOOGLEFINANCE($B32,""price"",TODAY()-365*5),2,2))-1"),0.5628306878306879)</f>
        <v>0.5628306878</v>
      </c>
      <c r="DC32" s="38">
        <f>IFERROR(__xludf.DUMMYFUNCTION("(INDEX(GOOGLEFINANCE(B32, ""price"", TODAY()-30, TODAY()), ROWS(GOOGLEFINANCE(B32, ""price"", TODAY()-30, TODAY())), 2) / INDEX(GOOGLEFINANCE(B32, ""price"", TODAY()-30, TODAY()), 2, 2)) - 1"),-0.06489908982983783)</f>
        <v>-0.06489908983</v>
      </c>
      <c r="DD32" s="38">
        <f>IFERROR(__xludf.DUMMYFUNCTION("(INDEX(GOOGLEFINANCE(B32, ""price"", TODAY()-7, TODAY()), ROWS(GOOGLEFINANCE(B32, ""price"", TODAY()-7, TODAY())), 2) / INDEX(GOOGLEFINANCE(B32, ""price"", TODAY()-7, TODAY()), 2, 2)) - 1"),-0.07178631051752926)</f>
        <v>-0.07178631052</v>
      </c>
    </row>
    <row r="33">
      <c r="A33" s="34" t="str">
        <f>IFERROR(__xludf.DUMMYFUNCTION("GOOGLEFINANCE(B33,""name"")"),"InterDigital Inc")</f>
        <v>InterDigital Inc</v>
      </c>
      <c r="B33" s="35" t="s">
        <v>137</v>
      </c>
      <c r="C33" s="35" t="s">
        <v>90</v>
      </c>
      <c r="D33" s="35" t="s">
        <v>100</v>
      </c>
      <c r="E33" s="57">
        <v>3.0</v>
      </c>
      <c r="F33" s="35">
        <f>IFERROR(__xludf.DUMMYFUNCTION("IFERROR(MIN(INDEX(GOOGLEFINANCE(B33,""close"",TODAY()-100,TODAY()),0,2)) * GOOGLEFINANCE(""CURRENCY:USDEUR""),""Error en datos"")"),156.8877046)</f>
        <v>156.8877046</v>
      </c>
      <c r="G33" s="35">
        <f>IFERROR(__xludf.DUMMYFUNCTION("IFERROR(MAX(INDEX(GOOGLEFINANCE(B33,""close"",TODAY()-100,TODAY()),0,2)) * GOOGLEFINANCE(""CURRENCY:USDEUR""),""Error en datos"")"),200.80462599999998)</f>
        <v>200.804626</v>
      </c>
      <c r="H33" s="35">
        <f>IFERROR(__xludf.DUMMYFUNCTION("IFERROR(AVERAGE(INDEX(GOOGLEFINANCE(B33,""close"",TODAY()-20,TODAY()),0,2)) * GOOGLEFINANCE(""CURRENCY:USDEUR""),""Error en datos"")"),194.0185603230769)</f>
        <v>194.0185603</v>
      </c>
      <c r="I33" s="35">
        <f>IFERROR(__xludf.DUMMYFUNCTION("IFERROR(PERCENTILE(INDEX(GOOGLEFINANCE(B33,""close"",TODAY()-365,TODAY()),0,2),0.05) * GOOGLEFINANCE(""CURRENCY:USDEUR""),""Error en datos"")"),107.93997279999999)</f>
        <v>107.9399728</v>
      </c>
      <c r="J33" s="35">
        <f>IFERROR(__xludf.DUMMYFUNCTION("AVERAGE(INDEX(GOOGLEFINANCE(B33,""price"",TODAY()-20,TODAY(),""DAILY""),0,2))+(2*STDEV(INDEX(GOOGLEFINANCE(B33,""price"",TODAY()-20,TODAY(),""DAILY""),0,2)))"),234.26331686796962)</f>
        <v>234.2633169</v>
      </c>
      <c r="K33" s="35">
        <f>IFERROR(__xludf.DUMMYFUNCTION("AVERAGE(INDEX(GOOGLEFINANCE(B33,""price"",TODAY()-20,TODAY(),""DAILY""),0,2))-(2*STDEV(INDEX(GOOGLEFINANCE(B33,""price"",TODAY()-20,TODAY(),""DAILY""),0,2)))"),219.2736062089534)</f>
        <v>219.2736062</v>
      </c>
      <c r="L33" s="35">
        <v>420.0</v>
      </c>
      <c r="M33" s="35">
        <f t="shared" si="1"/>
        <v>0.07170611091</v>
      </c>
      <c r="N33" s="35">
        <v>25.0</v>
      </c>
      <c r="O33" s="35">
        <f t="shared" si="2"/>
        <v>0.5555555556</v>
      </c>
      <c r="P33" s="35">
        <v>-5.0</v>
      </c>
      <c r="Q33" s="35">
        <f t="shared" si="3"/>
        <v>0.05332302937</v>
      </c>
      <c r="R33" s="35" t="str">
        <f>IFERROR(__xludf.DUMMYFUNCTION("IF(B33="""", """", SPARKLINE(INDEX(GOOGLEFINANCE(B33, ""price"", TODAY()-1825, TODAY()), 0, 2)))"),"")</f>
        <v/>
      </c>
      <c r="S33" s="35">
        <f t="shared" si="4"/>
        <v>161.3670945</v>
      </c>
      <c r="T33" s="35">
        <f t="shared" si="5"/>
        <v>203.314542</v>
      </c>
      <c r="U33" s="34" t="str">
        <f t="shared" si="6"/>
        <v/>
      </c>
      <c r="V33" s="37">
        <f t="shared" si="7"/>
        <v>0.1943978241</v>
      </c>
      <c r="W33" s="37">
        <f t="shared" si="8"/>
        <v>-0.03857995789</v>
      </c>
      <c r="X33" s="34">
        <f>IFERROR(__xludf.DUMMYFUNCTION("AJ33*GOOGLEFINANCE(""CURRENCY:USD/EUR"")"),192.7365066)</f>
        <v>192.7365066</v>
      </c>
      <c r="Y33" s="35">
        <f>IFERROR(__xludf.DUMMYFUNCTION("AI33*GOOGLEFINANCE(""CURRENCY:USD/EUR"")"),200.4706560689572)</f>
        <v>200.4706561</v>
      </c>
      <c r="Z33" s="38">
        <f t="shared" si="9"/>
        <v>0.05488340299</v>
      </c>
      <c r="AA33" s="38">
        <f t="shared" si="10"/>
        <v>0.05112809823</v>
      </c>
      <c r="AB33" s="38">
        <f t="shared" si="11"/>
        <v>0.01456979481</v>
      </c>
      <c r="AC33" s="39">
        <v>230.0</v>
      </c>
      <c r="AD33" s="40">
        <f t="shared" si="12"/>
        <v>0.3327661225</v>
      </c>
      <c r="AE33" s="39">
        <v>235.0</v>
      </c>
      <c r="AF33" s="41">
        <f t="shared" si="13"/>
        <v>0.504985994</v>
      </c>
      <c r="AG33" s="39">
        <v>241.0</v>
      </c>
      <c r="AH33" s="41">
        <f t="shared" si="14"/>
        <v>0.1622478834</v>
      </c>
      <c r="AI33" s="41">
        <f t="shared" si="15"/>
        <v>234.3096567</v>
      </c>
      <c r="AJ33" s="34">
        <f>IFERROR(__xludf.DUMMYFUNCTION("GOOGLEFINANCE(B33,""price"")"),225.27)</f>
        <v>225.27</v>
      </c>
      <c r="AK33" s="37">
        <f t="shared" ref="AK33:AK36" si="70">AP33+BN33</f>
        <v>0.1134780346</v>
      </c>
      <c r="AL33" s="34">
        <v>212.53</v>
      </c>
      <c r="AM33" s="34">
        <f t="shared" si="16"/>
        <v>198.7425723</v>
      </c>
      <c r="AN33" s="34">
        <f t="shared" si="17"/>
        <v>212.487765</v>
      </c>
      <c r="AO33" s="38">
        <f>IFERROR(__xludf.DUMMYFUNCTION("(GOOGLEFINANCE(B33, ""price"") - INDEX(GOOGLEFINANCE(B33, ""price"", DATE(2025,5,8)), 2, 2)) / INDEX(GOOGLEFINANCE(B33, ""price"", DATE(2025,5,8)), 2, 2)"),0.06274472802755113)</f>
        <v>0.06274472803</v>
      </c>
      <c r="AP33" s="37">
        <f t="shared" si="18"/>
        <v>0.1024780346</v>
      </c>
      <c r="AQ33" s="37">
        <f t="shared" si="19"/>
        <v>0.05994447843</v>
      </c>
      <c r="AR33" s="37">
        <f t="shared" si="20"/>
        <v>0.04253355615</v>
      </c>
      <c r="AS33" s="34">
        <f>IFERROR(__xludf.DUMMYFUNCTION("IF(X33&lt;K33,1,IF(X33&gt;J33,-1,0)) + IF(X33&lt;F33,1,IF(X33&gt;G33,-1,0)) + IF(X33&lt;I33,1,IF(X33&gt;I33,-1,0)) + IF(X33&lt;H33,1,IF(X33&gt;H33,-1,0))"),1.0)</f>
        <v>1</v>
      </c>
      <c r="AT33" s="34" t="str">
        <f t="shared" si="21"/>
        <v>recompra</v>
      </c>
      <c r="AU33" s="35" t="str">
        <f t="shared" si="22"/>
        <v>hold</v>
      </c>
      <c r="AV33" s="35" t="str">
        <f t="shared" si="23"/>
        <v>hold</v>
      </c>
      <c r="AW33" s="38">
        <f t="shared" si="24"/>
        <v>0.04012809823</v>
      </c>
      <c r="AX33" s="38">
        <f t="shared" si="25"/>
        <v>0.4438350563</v>
      </c>
      <c r="AY33" s="38">
        <f t="shared" si="26"/>
        <v>0.4415644991</v>
      </c>
      <c r="AZ33" s="42">
        <f t="shared" si="27"/>
        <v>0.08975301823</v>
      </c>
      <c r="BA33" s="38">
        <f t="shared" si="28"/>
        <v>0.5420247577</v>
      </c>
      <c r="BB33" s="38">
        <f t="shared" si="29"/>
        <v>0.4579752423</v>
      </c>
      <c r="BC33" s="38">
        <f t="shared" si="30"/>
        <v>0.03116205536</v>
      </c>
      <c r="BD33" s="38">
        <f t="shared" si="31"/>
        <v>0.4374348623</v>
      </c>
      <c r="BE33" s="38">
        <f t="shared" si="32"/>
        <v>0.5625651377</v>
      </c>
      <c r="BF33" s="38">
        <f t="shared" si="33"/>
        <v>0.05817636981</v>
      </c>
      <c r="BG33" s="37">
        <f t="shared" si="34"/>
        <v>0.1348368239</v>
      </c>
      <c r="BH33" s="43">
        <f t="shared" si="35"/>
        <v>0.2882006615</v>
      </c>
      <c r="BI33" s="44">
        <f t="shared" si="36"/>
        <v>0.4702707112</v>
      </c>
      <c r="BJ33" s="38">
        <f t="shared" si="37"/>
        <v>0.08933842517</v>
      </c>
      <c r="BK33" s="43">
        <f t="shared" si="38"/>
        <v>0.9876409899</v>
      </c>
      <c r="BL33" s="35">
        <v>5.51</v>
      </c>
      <c r="BM33" s="46">
        <f t="shared" si="39"/>
        <v>0.001701632365</v>
      </c>
      <c r="BN33" s="38">
        <v>0.011</v>
      </c>
      <c r="BO33" s="35">
        <v>0.82</v>
      </c>
      <c r="BP33" s="47">
        <f t="shared" si="40"/>
        <v>0.0011161206</v>
      </c>
      <c r="BQ33" s="35">
        <v>12.66</v>
      </c>
      <c r="BR33" s="47">
        <f t="shared" si="41"/>
        <v>0.367029549</v>
      </c>
      <c r="BS33" s="38">
        <v>0.568</v>
      </c>
      <c r="BT33" s="47">
        <f t="shared" si="42"/>
        <v>0.9068673565</v>
      </c>
      <c r="BU33" s="35">
        <v>0.5</v>
      </c>
      <c r="BV33" s="47">
        <f t="shared" si="43"/>
        <v>0.9752475248</v>
      </c>
      <c r="BW33" s="48">
        <f t="shared" si="44"/>
        <v>0.8108610268</v>
      </c>
      <c r="BX33" s="49">
        <f t="shared" si="45"/>
        <v>0.6523407609</v>
      </c>
      <c r="BY33" s="47">
        <f t="shared" si="46"/>
        <v>0.5625651377</v>
      </c>
      <c r="BZ33" s="38">
        <v>0.335</v>
      </c>
      <c r="CA33" s="50">
        <f t="shared" si="47"/>
        <v>0.3358024691</v>
      </c>
      <c r="CB33" s="38">
        <v>0.847</v>
      </c>
      <c r="CC33" s="50">
        <f t="shared" si="48"/>
        <v>0.4396815677</v>
      </c>
      <c r="CD33" s="38">
        <v>0.85</v>
      </c>
      <c r="CE33" s="50">
        <f t="shared" si="49"/>
        <v>0.7077687694</v>
      </c>
      <c r="CF33" s="50">
        <f t="shared" si="50"/>
        <v>0.4944176021</v>
      </c>
      <c r="CG33" s="38">
        <v>0.752</v>
      </c>
      <c r="CH33" s="51">
        <f t="shared" si="51"/>
        <v>0.5200601805</v>
      </c>
      <c r="CI33" s="38">
        <v>0.201</v>
      </c>
      <c r="CJ33" s="51">
        <f t="shared" si="52"/>
        <v>0.2891719745</v>
      </c>
      <c r="CK33" s="38">
        <v>0.347</v>
      </c>
      <c r="CL33" s="51">
        <f t="shared" si="53"/>
        <v>0.5297520661</v>
      </c>
      <c r="CM33" s="38">
        <v>0.246</v>
      </c>
      <c r="CN33" s="51">
        <f t="shared" si="54"/>
        <v>0.2223888056</v>
      </c>
      <c r="CO33" s="38">
        <v>0.323</v>
      </c>
      <c r="CP33" s="51">
        <f t="shared" si="55"/>
        <v>0.7285031847</v>
      </c>
      <c r="CQ33" s="51">
        <f t="shared" si="56"/>
        <v>0.4579752423</v>
      </c>
      <c r="CR33" s="52">
        <f t="shared" si="57"/>
        <v>0.504985994</v>
      </c>
      <c r="CS33" s="53">
        <f t="shared" si="68"/>
        <v>0.1880727017</v>
      </c>
      <c r="CT33" s="54">
        <f t="shared" si="59"/>
        <v>0.2849664923</v>
      </c>
      <c r="CU33" s="55">
        <f t="shared" si="60"/>
        <v>0.05082389782</v>
      </c>
      <c r="CV33" s="34">
        <f t="shared" si="61"/>
        <v>1.43315662</v>
      </c>
      <c r="CW33" s="34">
        <f t="shared" si="62"/>
        <v>0.610782152</v>
      </c>
      <c r="CX33" s="35">
        <f t="shared" si="63"/>
        <v>0.3044392925</v>
      </c>
      <c r="CY33" s="38">
        <f>IFERROR(__xludf.DUMMYFUNCTION("(GOOGLEFINANCE(B33,""price"")/INDEX(GOOGLEFINANCE(B33,""price"",TODAY()-30),2,2))-1"),0.013178015651704733)</f>
        <v>0.01317801565</v>
      </c>
      <c r="CZ33" s="38">
        <f>IFERROR(__xludf.DUMMYFUNCTION("(GOOGLEFINANCE($B33,""price"")/INDEX(GOOGLEFINANCE($B33,""price"",TODAY()-180),2,2))-1"),0.2824205852214505)</f>
        <v>0.2824205852</v>
      </c>
      <c r="DA33" s="38">
        <f>IFERROR(__xludf.DUMMYFUNCTION("(GOOGLEFINANCE($B33,""price"")/INDEX(GOOGLEFINANCE($B33,""price"",TODAY()-365),2,2))-1"),0.843000899942731)</f>
        <v>0.8430008999</v>
      </c>
      <c r="DB33" s="38">
        <f>IFERROR(__xludf.DUMMYFUNCTION("(GOOGLEFINANCE($B33,""price"")/INDEX(GOOGLEFINANCE($B33,""price"",TODAY()-365*5),2,2))-1"),3.0169400855920117)</f>
        <v>3.016940086</v>
      </c>
      <c r="DC33" s="38">
        <f>IFERROR(__xludf.DUMMYFUNCTION("(INDEX(GOOGLEFINANCE(B33, ""price"", TODAY()-30, TODAY()), ROWS(GOOGLEFINANCE(B33, ""price"", TODAY()-30, TODAY())), 2) / INDEX(GOOGLEFINANCE(B33, ""price"", TODAY()-30, TODAY()), 2, 2)) - 1"),0.013178015651704733)</f>
        <v>0.01317801565</v>
      </c>
      <c r="DD33" s="38">
        <f>IFERROR(__xludf.DUMMYFUNCTION("(INDEX(GOOGLEFINANCE(B33, ""price"", TODAY()-7, TODAY()), ROWS(GOOGLEFINANCE(B33, ""price"", TODAY()-7, TODAY())), 2) / INDEX(GOOGLEFINANCE(B33, ""price"", TODAY()-7, TODAY()), 2, 2)) - 1"),-0.0034064767297822263)</f>
        <v>-0.00340647673</v>
      </c>
    </row>
    <row r="34">
      <c r="A34" s="34" t="str">
        <f>IFERROR(__xludf.DUMMYFUNCTION("GOOGLEFINANCE(B34,""name"")"),"Intuitive Surgical Inc")</f>
        <v>Intuitive Surgical Inc</v>
      </c>
      <c r="B34" s="35" t="s">
        <v>138</v>
      </c>
      <c r="C34" s="35" t="s">
        <v>93</v>
      </c>
      <c r="D34" s="35" t="s">
        <v>105</v>
      </c>
      <c r="E34" s="57">
        <v>3.0</v>
      </c>
      <c r="F34" s="35">
        <f>IFERROR(__xludf.DUMMYFUNCTION("IFERROR(MIN(INDEX(GOOGLEFINANCE(B34,""close"",TODAY()-100,TODAY()),0,2)) * GOOGLEFINANCE(""CURRENCY:USDEUR""),""Error en datos"")"),391.5390754)</f>
        <v>391.5390754</v>
      </c>
      <c r="G34" s="35">
        <f>IFERROR(__xludf.DUMMYFUNCTION("IFERROR(MAX(INDEX(GOOGLEFINANCE(B34,""close"",TODAY()-100,TODAY()),0,2)) * GOOGLEFINANCE(""CURRENCY:USDEUR""),""Error en datos"")"),484.20694520000006)</f>
        <v>484.2069452</v>
      </c>
      <c r="H34" s="35">
        <f>IFERROR(__xludf.DUMMYFUNCTION("IFERROR(AVERAGE(INDEX(GOOGLEFINANCE(B34,""close"",TODAY()-20,TODAY()),0,2)) * GOOGLEFINANCE(""CURRENCY:USDEUR""),""Error en datos"")"),454.5979539538461)</f>
        <v>454.597954</v>
      </c>
      <c r="I34" s="35">
        <f>IFERROR(__xludf.DUMMYFUNCTION("IFERROR(PERCENTILE(INDEX(GOOGLEFINANCE(B34,""close"",TODAY()-365,TODAY()),0,2),0.05) * GOOGLEFINANCE(""CURRENCY:USDEUR""),""Error en datos"")"),385.14233153000004)</f>
        <v>385.1423315</v>
      </c>
      <c r="J34" s="35">
        <f>IFERROR(__xludf.DUMMYFUNCTION("AVERAGE(INDEX(GOOGLEFINANCE(B34,""price"",TODAY()-20,TODAY(),""DAILY""),0,2))+(2*STDEV(INDEX(GOOGLEFINANCE(B34,""price"",TODAY()-20,TODAY(),""DAILY""),0,2)))"),550.1478537126385)</f>
        <v>550.1478537</v>
      </c>
      <c r="K34" s="35">
        <f>IFERROR(__xludf.DUMMYFUNCTION("AVERAGE(INDEX(GOOGLEFINANCE(B34,""price"",TODAY()-20,TODAY(),""DAILY""),0,2))-(2*STDEV(INDEX(GOOGLEFINANCE(B34,""price"",TODAY()-20,TODAY(),""DAILY""),0,2)))"),512.5183001335153)</f>
        <v>512.5183001</v>
      </c>
      <c r="L34" s="35">
        <v>2066.0</v>
      </c>
      <c r="M34" s="35">
        <f t="shared" si="1"/>
        <v>0.3624161074</v>
      </c>
      <c r="N34" s="35">
        <v>-15.8</v>
      </c>
      <c r="O34" s="35">
        <f t="shared" si="2"/>
        <v>0.3742222222</v>
      </c>
      <c r="P34" s="35">
        <v>2.47</v>
      </c>
      <c r="Q34" s="35">
        <f t="shared" si="3"/>
        <v>0.1976429675</v>
      </c>
      <c r="R34" s="35" t="str">
        <f>IFERROR(__xludf.DUMMYFUNCTION("IF(B34="""", """", SPARKLINE(INDEX(GOOGLEFINANCE(B34, ""price"", TODAY()-1825, TODAY()), 0, 2)))"),"")</f>
        <v/>
      </c>
      <c r="S34" s="35">
        <f t="shared" si="4"/>
        <v>429.7332357</v>
      </c>
      <c r="T34" s="35">
        <f t="shared" si="5"/>
        <v>494.2736843</v>
      </c>
      <c r="U34" s="34" t="str">
        <f t="shared" si="6"/>
        <v>Compra</v>
      </c>
      <c r="V34" s="37">
        <f t="shared" si="7"/>
        <v>0.01948897227</v>
      </c>
      <c r="W34" s="37">
        <f t="shared" si="8"/>
        <v>-0.1053408005</v>
      </c>
      <c r="X34" s="34">
        <f>IFERROR(__xludf.DUMMYFUNCTION("AJ34*GOOGLEFINANCE(""CURRENCY:USD/EUR"")"),438.10829479999995)</f>
        <v>438.1082948</v>
      </c>
      <c r="Y34" s="35">
        <f>IFERROR(__xludf.DUMMYFUNCTION("AI34*GOOGLEFINANCE(""CURRENCY:USD/EUR"")"),489.692941240657)</f>
        <v>489.6929412</v>
      </c>
      <c r="Z34" s="38">
        <f t="shared" si="9"/>
        <v>0.1281997856</v>
      </c>
      <c r="AA34" s="38">
        <f t="shared" si="10"/>
        <v>0.1177440534</v>
      </c>
      <c r="AB34" s="38">
        <f t="shared" si="11"/>
        <v>0.03435738717</v>
      </c>
      <c r="AC34" s="41">
        <v>440.0</v>
      </c>
      <c r="AD34" s="40">
        <f t="shared" si="12"/>
        <v>0.3130866494</v>
      </c>
      <c r="AE34" s="41">
        <v>601.0</v>
      </c>
      <c r="AF34" s="41">
        <f t="shared" si="13"/>
        <v>0.3928732086</v>
      </c>
      <c r="AG34" s="41">
        <v>675.0</v>
      </c>
      <c r="AH34" s="41">
        <f t="shared" si="14"/>
        <v>0.294040142</v>
      </c>
      <c r="AI34" s="41">
        <f t="shared" si="15"/>
        <v>572.35202</v>
      </c>
      <c r="AJ34" s="34">
        <f>IFERROR(__xludf.DUMMYFUNCTION("GOOGLEFINANCE(B34,""price"")"),512.06)</f>
        <v>512.06</v>
      </c>
      <c r="AK34" s="37">
        <f t="shared" si="70"/>
        <v>0.06752218589</v>
      </c>
      <c r="AL34" s="34">
        <v>536.15</v>
      </c>
      <c r="AM34" s="34">
        <f t="shared" si="16"/>
        <v>420.9606303</v>
      </c>
      <c r="AN34" s="34">
        <f t="shared" si="17"/>
        <v>467.6903245</v>
      </c>
      <c r="AO34" s="38">
        <f>IFERROR(__xludf.DUMMYFUNCTION("(GOOGLEFINANCE(B34, ""price"") - INDEX(GOOGLEFINANCE(B34, ""price"", DATE(2025,5,8)), 2, 2)) / INDEX(GOOGLEFINANCE(B34, ""price"", DATE(2025,5,8)), 2, 2)"),-0.048498587780585745)</f>
        <v>-0.04849858778</v>
      </c>
      <c r="AP34" s="37">
        <f t="shared" si="18"/>
        <v>0.06752218589</v>
      </c>
      <c r="AQ34" s="37">
        <f t="shared" si="19"/>
        <v>-0.04493145575</v>
      </c>
      <c r="AR34" s="37">
        <f t="shared" si="20"/>
        <v>0.1124536416</v>
      </c>
      <c r="AS34" s="34">
        <f>IFERROR(__xludf.DUMMYFUNCTION("IF(X34&lt;K34,1,IF(X34&gt;J34,-1,0)) + IF(X34&lt;F34,1,IF(X34&gt;G34,-1,0)) + IF(X34&lt;I34,1,IF(X34&gt;I34,-1,0)) + IF(X34&lt;H34,1,IF(X34&gt;H34,-1,0))"),1.0)</f>
        <v>1</v>
      </c>
      <c r="AT34" s="34" t="str">
        <f t="shared" si="21"/>
        <v>Hold</v>
      </c>
      <c r="AU34" s="35" t="str">
        <f t="shared" si="22"/>
        <v>hold</v>
      </c>
      <c r="AV34" s="35" t="str">
        <f t="shared" si="23"/>
        <v>hold</v>
      </c>
      <c r="AW34" s="38">
        <f t="shared" si="24"/>
        <v>0.1177440534</v>
      </c>
      <c r="AX34" s="38">
        <f t="shared" si="25"/>
        <v>0.1358510844</v>
      </c>
      <c r="AY34" s="38">
        <f t="shared" si="26"/>
        <v>0.144418053</v>
      </c>
      <c r="AZ34" s="42">
        <f t="shared" si="27"/>
        <v>0.1079915783</v>
      </c>
      <c r="BA34" s="38">
        <f t="shared" si="28"/>
        <v>0.676907777</v>
      </c>
      <c r="BB34" s="38">
        <f t="shared" si="29"/>
        <v>0.323092223</v>
      </c>
      <c r="BC34" s="38">
        <f t="shared" si="30"/>
        <v>-0.03914024157</v>
      </c>
      <c r="BD34" s="38">
        <f t="shared" si="31"/>
        <v>0.5386623746</v>
      </c>
      <c r="BE34" s="38">
        <f t="shared" si="32"/>
        <v>0.4613376254</v>
      </c>
      <c r="BF34" s="38">
        <f t="shared" si="33"/>
        <v>0.2403604739</v>
      </c>
      <c r="BG34" s="37">
        <f t="shared" si="34"/>
        <v>0.1153730405</v>
      </c>
      <c r="BH34" s="43">
        <f t="shared" si="35"/>
        <v>0.1298955467</v>
      </c>
      <c r="BI34" s="44">
        <f t="shared" si="36"/>
        <v>0.3875080239</v>
      </c>
      <c r="BJ34" s="38">
        <f t="shared" si="37"/>
        <v>0.2012202324</v>
      </c>
      <c r="BK34" s="43">
        <f t="shared" si="38"/>
        <v>0.1994739969</v>
      </c>
      <c r="BL34" s="35">
        <v>192.17</v>
      </c>
      <c r="BM34" s="46">
        <f t="shared" si="39"/>
        <v>0.06074005193</v>
      </c>
      <c r="BN34" s="38">
        <v>0.0</v>
      </c>
      <c r="BO34" s="35">
        <v>8.71</v>
      </c>
      <c r="BP34" s="47">
        <f t="shared" si="40"/>
        <v>0.01270321472</v>
      </c>
      <c r="BQ34" s="35">
        <v>6.83</v>
      </c>
      <c r="BR34" s="47">
        <f t="shared" si="41"/>
        <v>0.2375027772</v>
      </c>
      <c r="BS34" s="38">
        <v>0.284</v>
      </c>
      <c r="BT34" s="47">
        <f t="shared" si="42"/>
        <v>0.6396989652</v>
      </c>
      <c r="BU34" s="35">
        <v>0.9</v>
      </c>
      <c r="BV34" s="47">
        <f t="shared" si="43"/>
        <v>0.9554455446</v>
      </c>
      <c r="BW34" s="48">
        <f t="shared" si="44"/>
        <v>1.190504004</v>
      </c>
      <c r="BX34" s="49">
        <f t="shared" si="45"/>
        <v>0.6451205011</v>
      </c>
      <c r="BY34" s="47">
        <f t="shared" si="46"/>
        <v>0.4613376254</v>
      </c>
      <c r="BZ34" s="38">
        <v>0.191</v>
      </c>
      <c r="CA34" s="50">
        <f t="shared" si="47"/>
        <v>0.2172839506</v>
      </c>
      <c r="CB34" s="38">
        <v>0.308</v>
      </c>
      <c r="CC34" s="50">
        <f t="shared" si="48"/>
        <v>0.2746478873</v>
      </c>
      <c r="CD34" s="38">
        <v>0.233</v>
      </c>
      <c r="CE34" s="50">
        <f t="shared" si="49"/>
        <v>0.6906374944</v>
      </c>
      <c r="CF34" s="50">
        <f t="shared" si="50"/>
        <v>0.3941897775</v>
      </c>
      <c r="CG34" s="38">
        <v>0.121</v>
      </c>
      <c r="CH34" s="51">
        <f t="shared" si="51"/>
        <v>0.2036108325</v>
      </c>
      <c r="CI34" s="38">
        <v>0.136</v>
      </c>
      <c r="CJ34" s="51">
        <f t="shared" si="52"/>
        <v>0.2063694268</v>
      </c>
      <c r="CK34" s="38">
        <v>0.128</v>
      </c>
      <c r="CL34" s="51">
        <f t="shared" si="53"/>
        <v>0.3487603306</v>
      </c>
      <c r="CM34" s="38">
        <v>0.142</v>
      </c>
      <c r="CN34" s="51">
        <f t="shared" si="54"/>
        <v>0.1704147926</v>
      </c>
      <c r="CO34" s="38">
        <v>0.27</v>
      </c>
      <c r="CP34" s="51">
        <f t="shared" si="55"/>
        <v>0.6863057325</v>
      </c>
      <c r="CQ34" s="51">
        <f t="shared" si="56"/>
        <v>0.323092223</v>
      </c>
      <c r="CR34" s="52">
        <f t="shared" si="57"/>
        <v>0.3928732086</v>
      </c>
      <c r="CS34" s="53">
        <f t="shared" si="68"/>
        <v>0.3241743511</v>
      </c>
      <c r="CT34" s="54">
        <f t="shared" si="59"/>
        <v>0.2917972176</v>
      </c>
      <c r="CU34" s="55">
        <f t="shared" si="60"/>
        <v>0.03135468863</v>
      </c>
      <c r="CV34" s="34">
        <f t="shared" si="61"/>
        <v>1.761954948</v>
      </c>
      <c r="CW34" s="34">
        <f t="shared" si="62"/>
        <v>0.6369253412</v>
      </c>
      <c r="CX34" s="35">
        <f t="shared" si="63"/>
        <v>0.2859325949</v>
      </c>
      <c r="CY34" s="38">
        <f>IFERROR(__xludf.DUMMYFUNCTION("(GOOGLEFINANCE(B34,""price"")/INDEX(GOOGLEFINANCE(B34,""price"",TODAY()-30),2,2))-1"),-0.013447903822441432)</f>
        <v>-0.01344790382</v>
      </c>
      <c r="CZ34" s="38">
        <f>IFERROR(__xludf.DUMMYFUNCTION("(GOOGLEFINANCE($B34,""price"")/INDEX(GOOGLEFINANCE($B34,""price"",TODAY()-180),2,2))-1"),-0.11730533864267134)</f>
        <v>-0.1173053386</v>
      </c>
      <c r="DA34" s="38">
        <f>IFERROR(__xludf.DUMMYFUNCTION("(GOOGLEFINANCE($B34,""price"")/INDEX(GOOGLEFINANCE($B34,""price"",TODAY()-365),2,2))-1"),0.17109205260148652)</f>
        <v>0.1710920526</v>
      </c>
      <c r="DB34" s="38">
        <f>IFERROR(__xludf.DUMMYFUNCTION("(GOOGLEFINANCE($B34,""price"")/INDEX(GOOGLEFINANCE($B34,""price"",TODAY()-365*5),2,2))-1"),1.5274432379072063)</f>
        <v>1.527443238</v>
      </c>
      <c r="DC34" s="38">
        <f>IFERROR(__xludf.DUMMYFUNCTION("(INDEX(GOOGLEFINANCE(B34, ""price"", TODAY()-30, TODAY()), ROWS(GOOGLEFINANCE(B34, ""price"", TODAY()-30, TODAY())), 2) / INDEX(GOOGLEFINANCE(B34, ""price"", TODAY()-30, TODAY()), 2, 2)) - 1"),-0.013447903822441432)</f>
        <v>-0.01344790382</v>
      </c>
      <c r="DD34" s="38">
        <f>IFERROR(__xludf.DUMMYFUNCTION("(INDEX(GOOGLEFINANCE(B34, ""price"", TODAY()-7, TODAY()), ROWS(GOOGLEFINANCE(B34, ""price"", TODAY()-7, TODAY())), 2) / INDEX(GOOGLEFINANCE(B34, ""price"", TODAY()-7, TODAY()), 2, 2)) - 1"),-0.04235940977352226)</f>
        <v>-0.04235940977</v>
      </c>
    </row>
    <row r="35">
      <c r="A35" s="34" t="str">
        <f>IFERROR(__xludf.DUMMYFUNCTION("GOOGLEFINANCE(B35,""name"")"),"Johnson &amp; Johnson")</f>
        <v>Johnson &amp; Johnson</v>
      </c>
      <c r="B35" s="35" t="s">
        <v>139</v>
      </c>
      <c r="C35" s="35" t="s">
        <v>93</v>
      </c>
      <c r="D35" s="35" t="s">
        <v>94</v>
      </c>
      <c r="E35" s="57">
        <v>3.0</v>
      </c>
      <c r="F35" s="35">
        <f>IFERROR(__xludf.DUMMYFUNCTION("IFERROR(MIN(INDEX(GOOGLEFINANCE(B35,""close"",TODAY()-100,TODAY()),0,2)) * GOOGLEFINANCE(""CURRENCY:USDEUR""),""Error en datos"")"),125.22268880000001)</f>
        <v>125.2226888</v>
      </c>
      <c r="G35" s="35">
        <f>IFERROR(__xludf.DUMMYFUNCTION("IFERROR(MAX(INDEX(GOOGLEFINANCE(B35,""close"",TODAY()-100,TODAY()),0,2)) * GOOGLEFINANCE(""CURRENCY:USDEUR""),""Error en datos"")"),134.967745)</f>
        <v>134.967745</v>
      </c>
      <c r="H35" s="35">
        <f>IFERROR(__xludf.DUMMYFUNCTION("IFERROR(AVERAGE(INDEX(GOOGLEFINANCE(B35,""close"",TODAY()-20,TODAY()),0,2)) * GOOGLEFINANCE(""CURRENCY:USDEUR""),""Error en datos"")"),132.35559344615385)</f>
        <v>132.3555934</v>
      </c>
      <c r="I35" s="35">
        <f>IFERROR(__xludf.DUMMYFUNCTION("IFERROR(PERCENTILE(INDEX(GOOGLEFINANCE(B35,""close"",TODAY()-365,TODAY()),0,2),0.05) * GOOGLEFINANCE(""CURRENCY:USDEUR""),""Error en datos"")"),123.92049603999999)</f>
        <v>123.920496</v>
      </c>
      <c r="J35" s="35">
        <f>IFERROR(__xludf.DUMMYFUNCTION("AVERAGE(INDEX(GOOGLEFINANCE(B35,""price"",TODAY()-20,TODAY(),""DAILY""),0,2))+(2*STDEV(INDEX(GOOGLEFINANCE(B35,""price"",TODAY()-20,TODAY(),""DAILY""),0,2)))"),158.78644941147888)</f>
        <v>158.7864494</v>
      </c>
      <c r="K35" s="35">
        <f>IFERROR(__xludf.DUMMYFUNCTION("AVERAGE(INDEX(GOOGLEFINANCE(B35,""price"",TODAY()-20,TODAY(),""DAILY""),0,2))-(2*STDEV(INDEX(GOOGLEFINANCE(B35,""price"",TODAY()-20,TODAY(),""DAILY""),0,2)))"),150.60739674236726)</f>
        <v>150.6073967</v>
      </c>
      <c r="L35" s="35">
        <v>3995.0</v>
      </c>
      <c r="M35" s="35">
        <f t="shared" si="1"/>
        <v>0.7031084422</v>
      </c>
      <c r="N35" s="35">
        <v>-20.59</v>
      </c>
      <c r="O35" s="35">
        <f t="shared" si="2"/>
        <v>0.3529333333</v>
      </c>
      <c r="P35" s="35">
        <v>2.48</v>
      </c>
      <c r="Q35" s="35">
        <f t="shared" si="3"/>
        <v>0.1978361669</v>
      </c>
      <c r="R35" s="35" t="str">
        <f>IFERROR(__xludf.DUMMYFUNCTION("IF(B35="""", """", SPARKLINE(INDEX(GOOGLEFINANCE(B35, ""price"", TODAY()-1825, TODAY()), 0, 2)))"),"")</f>
        <v/>
      </c>
      <c r="S35" s="35">
        <f t="shared" si="4"/>
        <v>133.2501939</v>
      </c>
      <c r="T35" s="35">
        <f t="shared" si="5"/>
        <v>147.5564524</v>
      </c>
      <c r="U35" s="34" t="str">
        <f t="shared" si="6"/>
        <v>Compra</v>
      </c>
      <c r="V35" s="37">
        <f t="shared" si="7"/>
        <v>0.007431945204</v>
      </c>
      <c r="W35" s="37">
        <f t="shared" si="8"/>
        <v>-0.09108003146</v>
      </c>
      <c r="X35" s="34">
        <f>IFERROR(__xludf.DUMMYFUNCTION("AJ35*GOOGLEFINANCE(""CURRENCY:USD/EUR"")"),134.240502)</f>
        <v>134.240502</v>
      </c>
      <c r="Y35" s="35">
        <f>IFERROR(__xludf.DUMMYFUNCTION("AI35*GOOGLEFINANCE(""CURRENCY:USD/EUR"")"),147.69232346801275)</f>
        <v>147.6923235</v>
      </c>
      <c r="Z35" s="38">
        <f t="shared" si="9"/>
        <v>0.09919473055</v>
      </c>
      <c r="AA35" s="38">
        <f t="shared" si="10"/>
        <v>0.133206877</v>
      </c>
      <c r="AB35" s="38">
        <f t="shared" si="11"/>
        <v>0.04379719253</v>
      </c>
      <c r="AC35" s="41">
        <v>159.0</v>
      </c>
      <c r="AD35" s="40">
        <f t="shared" si="12"/>
        <v>0.2934440765</v>
      </c>
      <c r="AE35" s="41">
        <v>172.0</v>
      </c>
      <c r="AF35" s="41">
        <f t="shared" si="13"/>
        <v>0.3652303858</v>
      </c>
      <c r="AG35" s="41">
        <v>185.0</v>
      </c>
      <c r="AH35" s="41">
        <f t="shared" si="14"/>
        <v>0.3413255377</v>
      </c>
      <c r="AI35" s="41">
        <f t="shared" si="15"/>
        <v>172.622459</v>
      </c>
      <c r="AJ35" s="34">
        <f>IFERROR(__xludf.DUMMYFUNCTION("GOOGLEFINANCE(B35,""price"")"),156.9)</f>
        <v>156.9</v>
      </c>
      <c r="AK35" s="37">
        <f t="shared" si="70"/>
        <v>0.1304091481</v>
      </c>
      <c r="AL35" s="34">
        <v>157.3</v>
      </c>
      <c r="AM35" s="34">
        <f t="shared" si="16"/>
        <v>139.1945167</v>
      </c>
      <c r="AN35" s="34">
        <f t="shared" si="17"/>
        <v>147.3167549</v>
      </c>
      <c r="AO35" s="38">
        <f>IFERROR(__xludf.DUMMYFUNCTION("(GOOGLEFINANCE(B35, ""price"") - INDEX(GOOGLEFINANCE(B35, ""price"", DATE(2025,5,8)), 2, 2)) / INDEX(GOOGLEFINANCE(B35, ""price"", DATE(2025,5,8)), 2, 2)"),0.007966079917769556)</f>
        <v>0.007966079918</v>
      </c>
      <c r="AP35" s="37">
        <f t="shared" si="18"/>
        <v>0.0974091481</v>
      </c>
      <c r="AQ35" s="37">
        <f t="shared" si="19"/>
        <v>-0.002542911634</v>
      </c>
      <c r="AR35" s="37">
        <f t="shared" si="20"/>
        <v>0.09995205973</v>
      </c>
      <c r="AS35" s="34">
        <f>IFERROR(__xludf.DUMMYFUNCTION("IF(X35&lt;K35,1,IF(X35&gt;J35,-1,0)) + IF(X35&lt;F35,1,IF(X35&gt;G35,-1,0)) + IF(X35&lt;I35,1,IF(X35&gt;I35,-1,0)) + IF(X35&lt;H35,1,IF(X35&gt;H35,-1,0))"),-1.0)</f>
        <v>-1</v>
      </c>
      <c r="AT35" s="34" t="str">
        <f t="shared" si="21"/>
        <v>recompra</v>
      </c>
      <c r="AU35" s="35" t="str">
        <f t="shared" si="22"/>
        <v>hold</v>
      </c>
      <c r="AV35" s="35" t="str">
        <f t="shared" si="23"/>
        <v>hold</v>
      </c>
      <c r="AW35" s="38">
        <f t="shared" si="24"/>
        <v>0.100206877</v>
      </c>
      <c r="AX35" s="38">
        <f t="shared" si="25"/>
        <v>0.06927094606</v>
      </c>
      <c r="AY35" s="38">
        <f t="shared" si="26"/>
        <v>0.07576679951</v>
      </c>
      <c r="AZ35" s="42">
        <f t="shared" si="27"/>
        <v>0.1147284205</v>
      </c>
      <c r="BA35" s="38">
        <f t="shared" si="28"/>
        <v>0.71613528</v>
      </c>
      <c r="BB35" s="38">
        <f t="shared" si="29"/>
        <v>0.28386472</v>
      </c>
      <c r="BC35" s="38">
        <f t="shared" si="30"/>
        <v>0.03690402396</v>
      </c>
      <c r="BD35" s="38">
        <f t="shared" si="31"/>
        <v>0.5017016151</v>
      </c>
      <c r="BE35" s="38">
        <f t="shared" si="32"/>
        <v>0.4982983849</v>
      </c>
      <c r="BF35" s="38">
        <f t="shared" si="33"/>
        <v>0.1375263162</v>
      </c>
      <c r="BG35" s="37">
        <f t="shared" si="34"/>
        <v>0.1422416709</v>
      </c>
      <c r="BH35" s="43">
        <f t="shared" si="35"/>
        <v>0.1090042352</v>
      </c>
      <c r="BI35" s="44">
        <f t="shared" si="36"/>
        <v>0.3941822104</v>
      </c>
      <c r="BJ35" s="38">
        <f t="shared" si="37"/>
        <v>0.1744303401</v>
      </c>
      <c r="BK35" s="43">
        <f t="shared" si="38"/>
        <v>0.2186398941</v>
      </c>
      <c r="BL35" s="35">
        <v>378.48</v>
      </c>
      <c r="BM35" s="46">
        <f t="shared" si="39"/>
        <v>0.1196677705</v>
      </c>
      <c r="BN35" s="38">
        <v>0.033</v>
      </c>
      <c r="BO35" s="35">
        <v>89.33</v>
      </c>
      <c r="BP35" s="47">
        <f t="shared" si="40"/>
        <v>0.1311001131</v>
      </c>
      <c r="BQ35" s="35">
        <v>8.98</v>
      </c>
      <c r="BR35" s="47">
        <f t="shared" si="41"/>
        <v>0.28526994</v>
      </c>
      <c r="BS35" s="38">
        <v>0.254</v>
      </c>
      <c r="BT35" s="47">
        <f t="shared" si="42"/>
        <v>0.611476952</v>
      </c>
      <c r="BU35" s="35">
        <v>0.7</v>
      </c>
      <c r="BV35" s="47">
        <f t="shared" si="43"/>
        <v>0.9653465347</v>
      </c>
      <c r="BW35" s="48">
        <f t="shared" si="44"/>
        <v>1.249400424</v>
      </c>
      <c r="BX35" s="49">
        <f t="shared" si="45"/>
        <v>0.6793601856</v>
      </c>
      <c r="BY35" s="47">
        <f t="shared" si="46"/>
        <v>0.4982983849</v>
      </c>
      <c r="BZ35" s="38">
        <v>0.043</v>
      </c>
      <c r="CA35" s="50">
        <f t="shared" si="47"/>
        <v>0.09547325103</v>
      </c>
      <c r="CB35" s="38">
        <v>-0.026</v>
      </c>
      <c r="CC35" s="50">
        <f t="shared" si="48"/>
        <v>0.1723821188</v>
      </c>
      <c r="CD35" s="38">
        <v>-0.412</v>
      </c>
      <c r="CE35" s="50">
        <f t="shared" si="49"/>
        <v>0.6727287872</v>
      </c>
      <c r="CF35" s="50">
        <f t="shared" si="50"/>
        <v>0.3135280523</v>
      </c>
      <c r="CG35" s="38">
        <v>0.07</v>
      </c>
      <c r="CH35" s="51">
        <f t="shared" si="51"/>
        <v>0.1780341023</v>
      </c>
      <c r="CI35" s="38">
        <v>0.015</v>
      </c>
      <c r="CJ35" s="51">
        <f t="shared" si="52"/>
        <v>0.05222929936</v>
      </c>
      <c r="CK35" s="38">
        <v>0.011</v>
      </c>
      <c r="CL35" s="51">
        <f t="shared" si="53"/>
        <v>0.2520661157</v>
      </c>
      <c r="CM35" s="38">
        <v>0.309</v>
      </c>
      <c r="CN35" s="51">
        <f t="shared" si="54"/>
        <v>0.2538730635</v>
      </c>
      <c r="CO35" s="38">
        <v>0.266</v>
      </c>
      <c r="CP35" s="51">
        <f t="shared" si="55"/>
        <v>0.6831210191</v>
      </c>
      <c r="CQ35" s="51">
        <f t="shared" si="56"/>
        <v>0.28386472</v>
      </c>
      <c r="CR35" s="52">
        <f t="shared" si="57"/>
        <v>0.3652303858</v>
      </c>
      <c r="CS35" s="53">
        <f t="shared" si="68"/>
        <v>0.4892465962</v>
      </c>
      <c r="CT35" s="54">
        <f t="shared" si="59"/>
        <v>0.3287907767</v>
      </c>
      <c r="CU35" s="55">
        <f t="shared" si="60"/>
        <v>0.05622095136</v>
      </c>
      <c r="CV35" s="34">
        <f t="shared" si="61"/>
        <v>1.403272288</v>
      </c>
      <c r="CW35" s="34">
        <f t="shared" si="62"/>
        <v>0.5334332649</v>
      </c>
      <c r="CX35" s="35">
        <f t="shared" si="63"/>
        <v>0.2753847501</v>
      </c>
      <c r="CY35" s="38">
        <f>IFERROR(__xludf.DUMMYFUNCTION("(GOOGLEFINANCE(B35,""price"")/INDEX(GOOGLEFINANCE(B35,""price"",TODAY()-30),2,2))-1"),0.010823347506764724)</f>
        <v>0.01082334751</v>
      </c>
      <c r="CZ35" s="38">
        <f>IFERROR(__xludf.DUMMYFUNCTION("(GOOGLEFINANCE($B35,""price"")/INDEX(GOOGLEFINANCE($B35,""price"",TODAY()-180),2,2))-1"),0.08229288818376213)</f>
        <v>0.08229288818</v>
      </c>
      <c r="DA35" s="38">
        <f>IFERROR(__xludf.DUMMYFUNCTION("(GOOGLEFINANCE($B35,""price"")/INDEX(GOOGLEFINANCE($B35,""price"",TODAY()-365),2,2))-1"),0.05132672205842925)</f>
        <v>0.05132672206</v>
      </c>
      <c r="DB35" s="38">
        <f>IFERROR(__xludf.DUMMYFUNCTION("(GOOGLEFINANCE($B35,""price"")/INDEX(GOOGLEFINANCE($B35,""price"",TODAY()-365*5),2,2))-1"),0.058276001618777995)</f>
        <v>0.05827600162</v>
      </c>
      <c r="DC35" s="38">
        <f>IFERROR(__xludf.DUMMYFUNCTION("(INDEX(GOOGLEFINANCE(B35, ""price"", TODAY()-30, TODAY()), ROWS(GOOGLEFINANCE(B35, ""price"", TODAY()-30, TODAY())), 2) / INDEX(GOOGLEFINANCE(B35, ""price"", TODAY()-30, TODAY()), 2, 2)) - 1"),0.010823347506764724)</f>
        <v>0.01082334751</v>
      </c>
      <c r="DD35" s="38">
        <f>IFERROR(__xludf.DUMMYFUNCTION("(INDEX(GOOGLEFINANCE(B35, ""price"", TODAY()-7, TODAY()), ROWS(GOOGLEFINANCE(B35, ""price"", TODAY()-7, TODAY())), 2) / INDEX(GOOGLEFINANCE(B35, ""price"", TODAY()-7, TODAY()), 2, 2)) - 1"),0.010497842467958929)</f>
        <v>0.01049784247</v>
      </c>
    </row>
    <row r="36">
      <c r="A36" s="34" t="str">
        <f>IFERROR(__xludf.DUMMYFUNCTION("GOOGLEFINANCE(B36,""name"")"),"JPMorgan Chase &amp; Co")</f>
        <v>JPMorgan Chase &amp; Co</v>
      </c>
      <c r="B36" s="35" t="s">
        <v>140</v>
      </c>
      <c r="C36" s="35" t="s">
        <v>111</v>
      </c>
      <c r="D36" s="35" t="s">
        <v>105</v>
      </c>
      <c r="E36" s="64">
        <v>4.0</v>
      </c>
      <c r="F36" s="35">
        <f>IFERROR(__xludf.DUMMYFUNCTION("IFERROR(MIN(INDEX(GOOGLEFINANCE(B36,""close"",TODAY()-100,TODAY()),0,2)) * GOOGLEFINANCE(""CURRENCY:USDEUR""),""Error en datos"")"),183.4705752)</f>
        <v>183.4705752</v>
      </c>
      <c r="G36" s="35">
        <f>IFERROR(__xludf.DUMMYFUNCTION("IFERROR(MAX(INDEX(GOOGLEFINANCE(B36,""close"",TODAY()-100,TODAY()),0,2)) * GOOGLEFINANCE(""CURRENCY:USDEUR""),""Error en datos"")"),253.25168)</f>
        <v>253.25168</v>
      </c>
      <c r="H36" s="35">
        <f>IFERROR(__xludf.DUMMYFUNCTION("IFERROR(AVERAGE(INDEX(GOOGLEFINANCE(B36,""close"",TODAY()-20,TODAY()),0,2)) * GOOGLEFINANCE(""CURRENCY:USDEUR""),""Error en datos"")"),246.30568667692307)</f>
        <v>246.3056867</v>
      </c>
      <c r="I36" s="35">
        <f>IFERROR(__xludf.DUMMYFUNCTION("IFERROR(PERCENTILE(INDEX(GOOGLEFINANCE(B36,""close"",TODAY()-365,TODAY()),0,2),0.05) * GOOGLEFINANCE(""CURRENCY:USDEUR""),""Error en datos"")"),177.32237732)</f>
        <v>177.3223773</v>
      </c>
      <c r="J36" s="35">
        <f>IFERROR(__xludf.DUMMYFUNCTION("AVERAGE(INDEX(GOOGLEFINANCE(B36,""price"",TODAY()-20,TODAY(),""DAILY""),0,2))+(2*STDEV(INDEX(GOOGLEFINANCE(B36,""price"",TODAY()-20,TODAY(),""DAILY""),0,2)))"),296.4323701799693)</f>
        <v>296.4323702</v>
      </c>
      <c r="K36" s="35">
        <f>IFERROR(__xludf.DUMMYFUNCTION("AVERAGE(INDEX(GOOGLEFINANCE(B36,""price"",TODAY()-20,TODAY(),""DAILY""),0,2))-(2*STDEV(INDEX(GOOGLEFINANCE(B36,""price"",TODAY()-20,TODAY(),""DAILY""),0,2)))"),279.3307067431076)</f>
        <v>279.3307067</v>
      </c>
      <c r="L36" s="35">
        <v>4521.0</v>
      </c>
      <c r="M36" s="35">
        <f t="shared" si="1"/>
        <v>0.7960084776</v>
      </c>
      <c r="N36" s="35">
        <v>23.26</v>
      </c>
      <c r="O36" s="35">
        <f t="shared" si="2"/>
        <v>0.5478222222</v>
      </c>
      <c r="P36" s="35">
        <v>2.45</v>
      </c>
      <c r="Q36" s="35">
        <f t="shared" si="3"/>
        <v>0.1972565688</v>
      </c>
      <c r="R36" s="35" t="str">
        <f>IFERROR(__xludf.DUMMYFUNCTION("IF(B36="""", """", SPARKLINE(INDEX(GOOGLEFINANCE(B36, ""price"", TODAY()-1825, TODAY()), 0, 2)))"),"")</f>
        <v/>
      </c>
      <c r="S36" s="35">
        <f t="shared" si="4"/>
        <v>213.3745531</v>
      </c>
      <c r="T36" s="35">
        <f t="shared" si="5"/>
        <v>255.0102329</v>
      </c>
      <c r="U36" s="34" t="str">
        <f t="shared" si="6"/>
        <v/>
      </c>
      <c r="V36" s="37">
        <f t="shared" si="7"/>
        <v>0.150238748</v>
      </c>
      <c r="W36" s="37">
        <f t="shared" si="8"/>
        <v>-0.02235543766</v>
      </c>
      <c r="X36" s="34">
        <f>IFERROR(__xludf.DUMMYFUNCTION("AJ36*GOOGLEFINANCE(""CURRENCY:USD/EUR"")"),245.43167880000001)</f>
        <v>245.4316788</v>
      </c>
      <c r="Y36" s="35">
        <f>IFERROR(__xludf.DUMMYFUNCTION("AI36*GOOGLEFINANCE(""CURRENCY:USD/EUR"")"),251.04387448550597)</f>
        <v>251.0438745</v>
      </c>
      <c r="Z36" s="38">
        <f t="shared" si="9"/>
        <v>0.03902737481</v>
      </c>
      <c r="AA36" s="38">
        <f t="shared" si="10"/>
        <v>0.04586663121</v>
      </c>
      <c r="AB36" s="38">
        <f t="shared" si="11"/>
        <v>0.01568566674</v>
      </c>
      <c r="AC36" s="41">
        <v>235.0</v>
      </c>
      <c r="AD36" s="40">
        <f t="shared" si="12"/>
        <v>0.2610086863</v>
      </c>
      <c r="AE36" s="41">
        <v>288.0</v>
      </c>
      <c r="AF36" s="41">
        <f t="shared" si="13"/>
        <v>0.3378875178</v>
      </c>
      <c r="AG36" s="41">
        <v>336.0</v>
      </c>
      <c r="AH36" s="41">
        <f t="shared" si="14"/>
        <v>0.4011037959</v>
      </c>
      <c r="AI36" s="41">
        <f t="shared" si="15"/>
        <v>293.4195218</v>
      </c>
      <c r="AJ36" s="34">
        <f>IFERROR(__xludf.DUMMYFUNCTION("GOOGLEFINANCE(B36,""price"")"),286.86)</f>
        <v>286.86</v>
      </c>
      <c r="AK36" s="37">
        <f t="shared" si="70"/>
        <v>0.1995488665</v>
      </c>
      <c r="AL36" s="34">
        <v>249.39</v>
      </c>
      <c r="AM36" s="34">
        <f t="shared" si="16"/>
        <v>209.8053096</v>
      </c>
      <c r="AN36" s="34">
        <f t="shared" si="17"/>
        <v>288.7623635</v>
      </c>
      <c r="AO36" s="38">
        <f>IFERROR(__xludf.DUMMYFUNCTION("(GOOGLEFINANCE(B36, ""price"") - INDEX(GOOGLEFINANCE(B36, ""price"", DATE(2025,5,8)), 2, 2)) / INDEX(GOOGLEFINANCE(B36, ""price"", DATE(2025,5,8)), 2, 2)"),0.131731565865783)</f>
        <v>0.1317315659</v>
      </c>
      <c r="AP36" s="37">
        <f t="shared" si="18"/>
        <v>0.1765488665</v>
      </c>
      <c r="AQ36" s="37">
        <f t="shared" si="19"/>
        <v>0.1502466017</v>
      </c>
      <c r="AR36" s="37">
        <f t="shared" si="20"/>
        <v>0.02630226484</v>
      </c>
      <c r="AS36" s="34">
        <f>IFERROR(__xludf.DUMMYFUNCTION("IF(X36&lt;K36,1,IF(X36&gt;J36,-1,0)) + IF(X36&lt;F36,1,IF(X36&gt;G36,-1,0)) + IF(X36&lt;I36,1,IF(X36&gt;I36,-1,0)) + IF(X36&lt;H36,1,IF(X36&gt;H36,-1,0))"),1.0)</f>
        <v>1</v>
      </c>
      <c r="AT36" s="34" t="str">
        <f t="shared" si="21"/>
        <v>Hold</v>
      </c>
      <c r="AU36" s="35" t="str">
        <f t="shared" si="22"/>
        <v>hold</v>
      </c>
      <c r="AV36" s="35" t="str">
        <f t="shared" si="23"/>
        <v>hold</v>
      </c>
      <c r="AW36" s="38">
        <f t="shared" si="24"/>
        <v>0.02286663121</v>
      </c>
      <c r="AX36" s="38">
        <f t="shared" si="25"/>
        <v>0.1639914383</v>
      </c>
      <c r="AY36" s="38">
        <f t="shared" si="26"/>
        <v>0.1942707353</v>
      </c>
      <c r="AZ36" s="42">
        <f t="shared" si="27"/>
        <v>0.04569359033</v>
      </c>
      <c r="BA36" s="38">
        <f t="shared" si="28"/>
        <v>0.8071702086</v>
      </c>
      <c r="BB36" s="38">
        <f t="shared" si="29"/>
        <v>0.1928297914</v>
      </c>
      <c r="BC36" s="38">
        <f t="shared" si="30"/>
        <v>-0.1451579901</v>
      </c>
      <c r="BD36" s="38">
        <f t="shared" si="31"/>
        <v>0.6067627467</v>
      </c>
      <c r="BE36" s="38">
        <f t="shared" si="32"/>
        <v>0.3932372533</v>
      </c>
      <c r="BF36" s="38">
        <f t="shared" si="33"/>
        <v>0.06977406455</v>
      </c>
      <c r="BG36" s="37">
        <f t="shared" si="34"/>
        <v>0.1290791435</v>
      </c>
      <c r="BH36" s="43">
        <f t="shared" si="35"/>
        <v>0.1616749394</v>
      </c>
      <c r="BI36" s="44">
        <f t="shared" si="36"/>
        <v>0.3946808621</v>
      </c>
      <c r="BJ36" s="38">
        <f t="shared" si="37"/>
        <v>-0.0753839256</v>
      </c>
      <c r="BK36" s="43">
        <f t="shared" si="38"/>
        <v>0.4200657157</v>
      </c>
      <c r="BL36" s="47">
        <v>686.13</v>
      </c>
      <c r="BM36" s="46">
        <f t="shared" si="39"/>
        <v>0.216973941</v>
      </c>
      <c r="BN36" s="38">
        <v>0.023</v>
      </c>
      <c r="BO36" s="47">
        <v>168.73</v>
      </c>
      <c r="BP36" s="47">
        <f t="shared" si="40"/>
        <v>0.2477053442</v>
      </c>
      <c r="BQ36" s="47">
        <v>20.39</v>
      </c>
      <c r="BR36" s="47">
        <f t="shared" si="41"/>
        <v>0.5387691624</v>
      </c>
      <c r="BS36" s="47" t="s">
        <v>141</v>
      </c>
      <c r="BT36" s="47" t="s">
        <v>141</v>
      </c>
      <c r="BU36" s="47" t="s">
        <v>141</v>
      </c>
      <c r="BV36" s="47" t="s">
        <v>141</v>
      </c>
      <c r="BW36" s="48">
        <f t="shared" si="44"/>
        <v>1.045340712</v>
      </c>
      <c r="BX36" s="49">
        <f t="shared" si="45"/>
        <v>0.6276867848</v>
      </c>
      <c r="BY36" s="47">
        <f t="shared" si="46"/>
        <v>0.3932372533</v>
      </c>
      <c r="BZ36" s="50">
        <v>0.127</v>
      </c>
      <c r="CA36" s="50">
        <f t="shared" si="47"/>
        <v>0.1646090535</v>
      </c>
      <c r="CB36" s="50" t="s">
        <v>141</v>
      </c>
      <c r="CC36" s="50" t="s">
        <v>141</v>
      </c>
      <c r="CD36" s="50">
        <v>0.231</v>
      </c>
      <c r="CE36" s="50">
        <f t="shared" si="49"/>
        <v>0.6905819636</v>
      </c>
      <c r="CF36" s="50">
        <f t="shared" si="50"/>
        <v>0.4275955085</v>
      </c>
      <c r="CG36" s="51">
        <v>0.18</v>
      </c>
      <c r="CH36" s="51">
        <f t="shared" si="51"/>
        <v>0.2331995988</v>
      </c>
      <c r="CI36" s="51">
        <v>0.105</v>
      </c>
      <c r="CJ36" s="51">
        <f t="shared" si="52"/>
        <v>0.1668789809</v>
      </c>
      <c r="CK36" s="51" t="s">
        <v>141</v>
      </c>
      <c r="CL36" s="51" t="s">
        <v>141</v>
      </c>
      <c r="CM36" s="51">
        <v>0.158</v>
      </c>
      <c r="CN36" s="51">
        <f t="shared" si="54"/>
        <v>0.1784107946</v>
      </c>
      <c r="CO36" s="51" t="s">
        <v>141</v>
      </c>
      <c r="CP36" s="51" t="s">
        <v>141</v>
      </c>
      <c r="CQ36" s="51">
        <f t="shared" si="56"/>
        <v>0.1928297914</v>
      </c>
      <c r="CR36" s="52">
        <f t="shared" si="57"/>
        <v>0.3378875178</v>
      </c>
      <c r="CS36" s="53">
        <f t="shared" si="68"/>
        <v>0.5842739365</v>
      </c>
      <c r="CT36" s="54">
        <f t="shared" si="59"/>
        <v>0.3419842775</v>
      </c>
      <c r="CU36" s="55">
        <f t="shared" si="60"/>
        <v>0.08863618485</v>
      </c>
      <c r="CV36" s="34">
        <f t="shared" si="61"/>
        <v>1.509750678</v>
      </c>
      <c r="CW36" s="34">
        <f t="shared" si="62"/>
        <v>0.5463814284</v>
      </c>
      <c r="CX36" s="35">
        <f t="shared" si="63"/>
        <v>0.3725393955</v>
      </c>
      <c r="CY36" s="38">
        <f>IFERROR(__xludf.DUMMYFUNCTION("(GOOGLEFINANCE(B36,""price"")/INDEX(GOOGLEFINANCE(B36,""price"",TODAY()-30),2,2))-1"),0.06102973812694179)</f>
        <v>0.06102973813</v>
      </c>
      <c r="CZ36" s="38">
        <f>IFERROR(__xludf.DUMMYFUNCTION("(GOOGLEFINANCE($B36,""price"")/INDEX(GOOGLEFINANCE($B36,""price"",TODAY()-180),2,2))-1"),0.1367545076282941)</f>
        <v>0.1367545076</v>
      </c>
      <c r="DA36" s="38">
        <f>IFERROR(__xludf.DUMMYFUNCTION("(GOOGLEFINANCE($B36,""price"")/INDEX(GOOGLEFINANCE($B36,""price"",TODAY()-365),2,2))-1"),0.3656748393239704)</f>
        <v>0.3656748393</v>
      </c>
      <c r="DB36" s="38">
        <f>IFERROR(__xludf.DUMMYFUNCTION("(GOOGLEFINANCE($B36,""price"")/INDEX(GOOGLEFINANCE($B36,""price"",TODAY()-365*5),2,2))-1"),1.8763661887095155)</f>
        <v>1.876366189</v>
      </c>
      <c r="DC36" s="38">
        <f>IFERROR(__xludf.DUMMYFUNCTION("(INDEX(GOOGLEFINANCE(B36, ""price"", TODAY()-30, TODAY()), ROWS(GOOGLEFINANCE(B36, ""price"", TODAY()-30, TODAY())), 2) / INDEX(GOOGLEFINANCE(B36, ""price"", TODAY()-30, TODAY()), 2, 2)) - 1"),0.06102973812694179)</f>
        <v>0.06102973813</v>
      </c>
      <c r="DD36" s="38">
        <f>IFERROR(__xludf.DUMMYFUNCTION("(INDEX(GOOGLEFINANCE(B36, ""price"", TODAY()-7, TODAY()), ROWS(GOOGLEFINANCE(B36, ""price"", TODAY()-7, TODAY())), 2) / INDEX(GOOGLEFINANCE(B36, ""price"", TODAY()-7, TODAY()), 2, 2)) - 1"),-0.0175017981299449)</f>
        <v>-0.01750179813</v>
      </c>
    </row>
    <row r="37">
      <c r="A37" s="34" t="str">
        <f>IFERROR(__xludf.DUMMYFUNCTION("GOOGLEFINANCE(B37,""name"")"),"KLA Corp")</f>
        <v>KLA Corp</v>
      </c>
      <c r="B37" s="35" t="s">
        <v>142</v>
      </c>
      <c r="C37" s="35" t="s">
        <v>90</v>
      </c>
      <c r="D37" s="35" t="s">
        <v>100</v>
      </c>
      <c r="E37" s="57">
        <v>3.0</v>
      </c>
      <c r="F37" s="35">
        <f>IFERROR(__xludf.DUMMYFUNCTION("IFERROR(MIN(INDEX(GOOGLEFINANCE(B37,""close"",TODAY()-100,TODAY()),0,2)) * GOOGLEFINANCE(""CURRENCY:USDEUR""),""Error en datos"")"),512.9287658)</f>
        <v>512.9287658</v>
      </c>
      <c r="G37" s="35">
        <f>IFERROR(__xludf.DUMMYFUNCTION("IFERROR(MAX(INDEX(GOOGLEFINANCE(B37,""close"",TODAY()-100,TODAY()),0,2)) * GOOGLEFINANCE(""CURRENCY:USDEUR""),""Error en datos"")"),794.5086996)</f>
        <v>794.5086996</v>
      </c>
      <c r="H37" s="35">
        <f>IFERROR(__xludf.DUMMYFUNCTION("IFERROR(AVERAGE(INDEX(GOOGLEFINANCE(B37,""close"",TODAY()-20,TODAY()),0,2)) * GOOGLEFINANCE(""CURRENCY:USDEUR""),""Error en datos"")"),775.17344718)</f>
        <v>775.1734472</v>
      </c>
      <c r="I37" s="35">
        <f>IFERROR(__xludf.DUMMYFUNCTION("IFERROR(PERCENTILE(INDEX(GOOGLEFINANCE(B37,""close"",TODAY()-365,TODAY()),0,2),0.05) * GOOGLEFINANCE(""CURRENCY:USDEUR""),""Error en datos"")"),539.8239231)</f>
        <v>539.8239231</v>
      </c>
      <c r="J37" s="35">
        <f>IFERROR(__xludf.DUMMYFUNCTION("AVERAGE(INDEX(GOOGLEFINANCE(B37,""price"",TODAY()-20,TODAY(),""DAILY""),0,2))+(2*STDEV(INDEX(GOOGLEFINANCE(B37,""price"",TODAY()-20,TODAY(),""DAILY""),0,2)))"),936.9629563412243)</f>
        <v>936.9629563</v>
      </c>
      <c r="K37" s="35">
        <f>IFERROR(__xludf.DUMMYFUNCTION("AVERAGE(INDEX(GOOGLEFINANCE(B37,""price"",TODAY()-20,TODAY(),""DAILY""),0,2))-(2*STDEV(INDEX(GOOGLEFINANCE(B37,""price"",TODAY()-20,TODAY(),""DAILY""),0,2)))"),875.0790436587758)</f>
        <v>875.0790437</v>
      </c>
      <c r="L37" s="35">
        <v>1511.0</v>
      </c>
      <c r="M37" s="35">
        <f t="shared" si="1"/>
        <v>0.264394207</v>
      </c>
      <c r="N37" s="35">
        <v>-18.18</v>
      </c>
      <c r="O37" s="35">
        <f t="shared" si="2"/>
        <v>0.3636444444</v>
      </c>
      <c r="P37" s="35">
        <v>1.69</v>
      </c>
      <c r="Q37" s="35">
        <f t="shared" si="3"/>
        <v>0.1825734158</v>
      </c>
      <c r="R37" s="35" t="str">
        <f>IFERROR(__xludf.DUMMYFUNCTION("IF(B37="""", """", SPARKLINE(INDEX(GOOGLEFINANCE(B37, ""price"", TODAY()-1825, TODAY()), 0, 2)))"),"")</f>
        <v/>
      </c>
      <c r="S37" s="35">
        <f t="shared" si="4"/>
        <v>642.6105775</v>
      </c>
      <c r="T37" s="35">
        <f t="shared" si="5"/>
        <v>714.2109379</v>
      </c>
      <c r="U37" s="34" t="str">
        <f t="shared" si="6"/>
        <v>Venta</v>
      </c>
      <c r="V37" s="37">
        <f t="shared" si="7"/>
        <v>0.230997721</v>
      </c>
      <c r="W37" s="37">
        <f t="shared" si="8"/>
        <v>0.1566680257</v>
      </c>
      <c r="X37" s="34">
        <f>IFERROR(__xludf.DUMMYFUNCTION("AJ37*GOOGLEFINANCE(""CURRENCY:USD/EUR"")"),791.0521564000001)</f>
        <v>791.0521564</v>
      </c>
      <c r="Y37" s="35">
        <f>IFERROR(__xludf.DUMMYFUNCTION("AI37*GOOGLEFINANCE(""CURRENCY:USD/EUR"")"),683.9059599078696)</f>
        <v>683.9059599</v>
      </c>
      <c r="Z37" s="38">
        <f t="shared" si="9"/>
        <v>-0.09713799256</v>
      </c>
      <c r="AA37" s="38">
        <f t="shared" si="10"/>
        <v>-0.1244477017</v>
      </c>
      <c r="AB37" s="38">
        <f t="shared" si="11"/>
        <v>-0.02804838944</v>
      </c>
      <c r="AC37" s="41">
        <v>590.0</v>
      </c>
      <c r="AD37" s="40">
        <f t="shared" si="12"/>
        <v>0.3236665011</v>
      </c>
      <c r="AE37" s="41">
        <v>847.0</v>
      </c>
      <c r="AF37" s="41">
        <f t="shared" si="13"/>
        <v>0.4873438458</v>
      </c>
      <c r="AG37" s="41">
        <v>1035.0</v>
      </c>
      <c r="AH37" s="41">
        <f t="shared" si="14"/>
        <v>0.1889896531</v>
      </c>
      <c r="AI37" s="41">
        <f t="shared" si="15"/>
        <v>799.347764</v>
      </c>
      <c r="AJ37" s="34">
        <f>IFERROR(__xludf.DUMMYFUNCTION("GOOGLEFINANCE(B37,""price"")"),924.58)</f>
        <v>924.58</v>
      </c>
      <c r="AK37" s="37">
        <f>AR37+BN37</f>
        <v>-0.1693589487</v>
      </c>
      <c r="AL37" s="34">
        <v>694.35</v>
      </c>
      <c r="AM37" s="34">
        <f t="shared" si="16"/>
        <v>607.3440917</v>
      </c>
      <c r="AN37" s="34">
        <f t="shared" si="17"/>
        <v>910.6729638</v>
      </c>
      <c r="AO37" s="38">
        <f>IFERROR(__xludf.DUMMYFUNCTION("(GOOGLEFINANCE(B37, ""price"") - INDEX(GOOGLEFINANCE(B37, ""price"", DATE(2025,5,8)), 2, 2)) / INDEX(GOOGLEFINANCE(B37, ""price"", DATE(2025,5,8)), 2, 2)"),0.3145749505921829)</f>
        <v>0.3145749506</v>
      </c>
      <c r="AP37" s="37">
        <f t="shared" si="18"/>
        <v>0.1512173457</v>
      </c>
      <c r="AQ37" s="37">
        <f t="shared" si="19"/>
        <v>0.3315762944</v>
      </c>
      <c r="AR37" s="37">
        <f t="shared" si="20"/>
        <v>-0.1803589487</v>
      </c>
      <c r="AS37" s="34">
        <f>IFERROR(__xludf.DUMMYFUNCTION("IF(X37&lt;K37,1,IF(X37&gt;J37,-1,0)) + IF(X37&lt;F37,1,IF(X37&gt;G37,-1,0)) + IF(X37&lt;I37,1,IF(X37&gt;I37,-1,0)) + IF(X37&lt;H37,1,IF(X37&gt;H37,-1,0))"),-1.0)</f>
        <v>-1</v>
      </c>
      <c r="AT37" s="34" t="str">
        <f t="shared" si="21"/>
        <v>venta</v>
      </c>
      <c r="AU37" s="35" t="str">
        <f t="shared" si="22"/>
        <v>venta</v>
      </c>
      <c r="AV37" s="35" t="str">
        <f t="shared" si="23"/>
        <v>venta</v>
      </c>
      <c r="AW37" s="38">
        <f t="shared" si="24"/>
        <v>-0.1354477017</v>
      </c>
      <c r="AX37" s="38">
        <f t="shared" si="25"/>
        <v>-0.009939902844</v>
      </c>
      <c r="AY37" s="38">
        <f t="shared" si="26"/>
        <v>-0.02899966308</v>
      </c>
      <c r="AZ37" s="42">
        <f t="shared" si="27"/>
        <v>-0.02156029068</v>
      </c>
      <c r="BA37" s="38">
        <f t="shared" si="28"/>
        <v>0.5336092497</v>
      </c>
      <c r="BB37" s="38">
        <f t="shared" si="29"/>
        <v>0.4663907503</v>
      </c>
      <c r="BC37" s="38">
        <f t="shared" si="30"/>
        <v>-0.2322325566</v>
      </c>
      <c r="BD37" s="38">
        <f t="shared" si="31"/>
        <v>0.402541502</v>
      </c>
      <c r="BE37" s="38">
        <f t="shared" si="32"/>
        <v>0.597458498</v>
      </c>
      <c r="BF37" s="38">
        <f t="shared" si="33"/>
        <v>0.03757619419</v>
      </c>
      <c r="BG37" s="37">
        <f t="shared" si="34"/>
        <v>0.05420759986</v>
      </c>
      <c r="BH37" s="43">
        <f t="shared" si="35"/>
        <v>0.01260396839</v>
      </c>
      <c r="BI37" s="44">
        <f t="shared" si="36"/>
        <v>0.2902038798</v>
      </c>
      <c r="BJ37" s="38">
        <f t="shared" si="37"/>
        <v>-0.1946563624</v>
      </c>
      <c r="BK37" s="43">
        <f t="shared" si="38"/>
        <v>-0.3241431298</v>
      </c>
      <c r="BL37" s="35">
        <v>91.82</v>
      </c>
      <c r="BM37" s="46">
        <f t="shared" si="39"/>
        <v>0.02900049657</v>
      </c>
      <c r="BN37" s="38">
        <v>0.011</v>
      </c>
      <c r="BO37" s="35">
        <v>11.55</v>
      </c>
      <c r="BP37" s="58">
        <f t="shared" si="40"/>
        <v>0.01687398117</v>
      </c>
      <c r="BQ37" s="35">
        <v>27.49</v>
      </c>
      <c r="BR37" s="47">
        <f t="shared" si="41"/>
        <v>0.6965118862</v>
      </c>
      <c r="BS37" s="38">
        <v>0.402</v>
      </c>
      <c r="BT37" s="47">
        <f t="shared" ref="BT37:BT50" si="71">(BS37 - MIN(BS:BS)) / (MAX(BS:BS) - MIN(BS:BS))</f>
        <v>0.7507055503</v>
      </c>
      <c r="BU37" s="35">
        <v>1.5</v>
      </c>
      <c r="BV37" s="47">
        <f t="shared" ref="BV37:BV78" si="72">1-(BU37 - MIN(BU:BU)) / (MAX(BU:BU) - MIN(BU:BU))</f>
        <v>0.9257425743</v>
      </c>
      <c r="BW37" s="48">
        <f t="shared" si="44"/>
        <v>1.297679147</v>
      </c>
      <c r="BX37" s="49">
        <f t="shared" si="45"/>
        <v>0.5678037912</v>
      </c>
      <c r="BY37" s="47">
        <f t="shared" si="46"/>
        <v>0.597458498</v>
      </c>
      <c r="BZ37" s="38">
        <v>0.203</v>
      </c>
      <c r="CA37" s="50">
        <f t="shared" si="47"/>
        <v>0.2271604938</v>
      </c>
      <c r="CB37" s="38">
        <v>0.296</v>
      </c>
      <c r="CC37" s="50">
        <f t="shared" ref="CC37:CC50" si="73">(CB37 - MIN(CB:CB)) / (MAX(CB:CB) - MIN(CB:CB))</f>
        <v>0.2709736681</v>
      </c>
      <c r="CD37" s="38">
        <v>0.441</v>
      </c>
      <c r="CE37" s="50">
        <f t="shared" si="49"/>
        <v>0.6964127055</v>
      </c>
      <c r="CF37" s="50">
        <f t="shared" si="50"/>
        <v>0.3981822891</v>
      </c>
      <c r="CG37" s="38">
        <v>0.338</v>
      </c>
      <c r="CH37" s="51">
        <f t="shared" si="51"/>
        <v>0.3124373119</v>
      </c>
      <c r="CI37" s="38">
        <v>0.156</v>
      </c>
      <c r="CJ37" s="51">
        <f t="shared" si="52"/>
        <v>0.2318471338</v>
      </c>
      <c r="CK37" s="38">
        <v>0.207</v>
      </c>
      <c r="CL37" s="51">
        <f t="shared" ref="CL37:CL50" si="74">(CK37 - MIN(CK:CK)) / (MAX(CK:CK) - MIN(CK:CK))</f>
        <v>0.4140495868</v>
      </c>
      <c r="CM37" s="38">
        <v>1.017</v>
      </c>
      <c r="CN37" s="51">
        <f t="shared" si="54"/>
        <v>0.6076961519</v>
      </c>
      <c r="CO37" s="38">
        <v>0.37</v>
      </c>
      <c r="CP37" s="51">
        <f t="shared" ref="CP37:CP50" si="75">(CO37 - MIN(CO:CO)) / (MAX(CO:CO) - MIN(CO:CO))</f>
        <v>0.7659235669</v>
      </c>
      <c r="CQ37" s="51">
        <f t="shared" si="56"/>
        <v>0.4663907503</v>
      </c>
      <c r="CR37" s="52">
        <f t="shared" si="57"/>
        <v>0.4873438458</v>
      </c>
      <c r="CS37" s="53">
        <f t="shared" si="68"/>
        <v>0.2687515685</v>
      </c>
      <c r="CT37" s="54">
        <f t="shared" si="59"/>
        <v>0.2253829445</v>
      </c>
      <c r="CU37" s="55">
        <f t="shared" si="60"/>
        <v>-0.06247762092</v>
      </c>
      <c r="CV37" s="34">
        <f t="shared" si="61"/>
        <v>1.075032715</v>
      </c>
      <c r="CW37" s="34">
        <f t="shared" si="62"/>
        <v>0.5124301018</v>
      </c>
      <c r="CX37" s="35">
        <f t="shared" si="63"/>
        <v>0.2731089301</v>
      </c>
      <c r="CY37" s="38">
        <f>IFERROR(__xludf.DUMMYFUNCTION("(GOOGLEFINANCE(B37,""price"")/INDEX(GOOGLEFINANCE(B37,""price"",TODAY()-30),2,2))-1"),0.036083282906385294)</f>
        <v>0.03608328291</v>
      </c>
      <c r="CZ37" s="38">
        <f>IFERROR(__xludf.DUMMYFUNCTION("(GOOGLEFINANCE($B37,""price"")/INDEX(GOOGLEFINANCE($B37,""price"",TODAY()-180),2,2))-1"),0.29086212914485166)</f>
        <v>0.2908621291</v>
      </c>
      <c r="DA37" s="38">
        <f>IFERROR(__xludf.DUMMYFUNCTION("(GOOGLEFINANCE($B37,""price"")/INDEX(GOOGLEFINANCE($B37,""price"",TODAY()-365),2,2))-1"),0.07744837551857553)</f>
        <v>0.07744837552</v>
      </c>
      <c r="DB37" s="38">
        <f>IFERROR(__xludf.DUMMYFUNCTION("(GOOGLEFINANCE($B37,""price"")/INDEX(GOOGLEFINANCE($B37,""price"",TODAY()-365*5),2,2))-1"),3.716282391348705)</f>
        <v>3.716282391</v>
      </c>
      <c r="DC37" s="38">
        <f>IFERROR(__xludf.DUMMYFUNCTION("(INDEX(GOOGLEFINANCE(B37, ""price"", TODAY()-30, TODAY()), ROWS(GOOGLEFINANCE(B37, ""price"", TODAY()-30, TODAY())), 2) / INDEX(GOOGLEFINANCE(B37, ""price"", TODAY()-30, TODAY()), 2, 2)) - 1"),0.036083282906385294)</f>
        <v>0.03608328291</v>
      </c>
      <c r="DD37" s="38">
        <f>IFERROR(__xludf.DUMMYFUNCTION("(INDEX(GOOGLEFINANCE(B37, ""price"", TODAY()-7, TODAY()), ROWS(GOOGLEFINANCE(B37, ""price"", TODAY()-7, TODAY())), 2) / INDEX(GOOGLEFINANCE(B37, ""price"", TODAY()-7, TODAY()), 2, 2)) - 1"),0.005831030656426206)</f>
        <v>0.005831030656</v>
      </c>
    </row>
    <row r="38">
      <c r="A38" s="50" t="str">
        <f>IFERROR(__xludf.DUMMYFUNCTION("GOOGLEFINANCE(B38,""name"")"),"Eli Lilly And Co")</f>
        <v>Eli Lilly And Co</v>
      </c>
      <c r="B38" s="35" t="s">
        <v>143</v>
      </c>
      <c r="C38" s="35" t="s">
        <v>93</v>
      </c>
      <c r="D38" s="35" t="s">
        <v>98</v>
      </c>
      <c r="E38" s="56">
        <v>2.0</v>
      </c>
      <c r="F38" s="35">
        <f>IFERROR(__xludf.DUMMYFUNCTION("IFERROR(MIN(INDEX(GOOGLEFINANCE(B38,""close"",TODAY()-100,TODAY()),0,2)) * GOOGLEFINANCE(""CURRENCY:USDEUR""),""Error en datos"")"),610.6360018)</f>
        <v>610.6360018</v>
      </c>
      <c r="G38" s="35">
        <f>IFERROR(__xludf.DUMMYFUNCTION("IFERROR(MAX(INDEX(GOOGLEFINANCE(B38,""close"",TODAY()-100,TODAY()),0,2)) * GOOGLEFINANCE(""CURRENCY:USDEUR""),""Error en datos"")"),769.123641)</f>
        <v>769.123641</v>
      </c>
      <c r="H38" s="35">
        <f>IFERROR(__xludf.DUMMYFUNCTION("IFERROR(AVERAGE(INDEX(GOOGLEFINANCE(B38,""close"",TODAY()-20,TODAY()),0,2)) * GOOGLEFINANCE(""CURRENCY:USDEUR""),""Error en datos"")"),669.8164704)</f>
        <v>669.8164704</v>
      </c>
      <c r="I38" s="35">
        <f>IFERROR(__xludf.DUMMYFUNCTION("IFERROR(PERCENTILE(INDEX(GOOGLEFINANCE(B38,""close"",TODAY()-365,TODAY()),0,2),0.05) * GOOGLEFINANCE(""CURRENCY:USDEUR""),""Error en datos"")"),625.25957516)</f>
        <v>625.2595752</v>
      </c>
      <c r="J38" s="35">
        <f>IFERROR(__xludf.DUMMYFUNCTION("AVERAGE(INDEX(GOOGLEFINANCE(B38,""price"",TODAY()-20,TODAY(),""DAILY""),0,2))+(2*STDEV(INDEX(GOOGLEFINANCE(B38,""price"",TODAY()-20,TODAY(),""DAILY""),0,2)))"),798.1699291474267)</f>
        <v>798.1699291</v>
      </c>
      <c r="K38" s="35">
        <f>IFERROR(__xludf.DUMMYFUNCTION("AVERAGE(INDEX(GOOGLEFINANCE(B38,""price"",TODAY()-20,TODAY(),""DAILY""),0,2))-(2*STDEV(INDEX(GOOGLEFINANCE(B38,""price"",TODAY()-20,TODAY(),""DAILY""),0,2)))"),767.590070852573)</f>
        <v>767.5900709</v>
      </c>
      <c r="L38" s="35">
        <v>3801.0</v>
      </c>
      <c r="M38" s="35">
        <f t="shared" si="1"/>
        <v>0.6688449311</v>
      </c>
      <c r="N38" s="35">
        <v>-28.3</v>
      </c>
      <c r="O38" s="35">
        <f t="shared" si="2"/>
        <v>0.3186666667</v>
      </c>
      <c r="P38" s="35">
        <v>1.71</v>
      </c>
      <c r="Q38" s="35">
        <f t="shared" si="3"/>
        <v>0.1829598145</v>
      </c>
      <c r="R38" s="35" t="str">
        <f>IFERROR(__xludf.DUMMYFUNCTION("IF(B38="""", """", SPARKLINE(INDEX(GOOGLEFINANCE(B38, ""price"", TODAY()-1825, TODAY()), 0, 2)))"),"")</f>
        <v/>
      </c>
      <c r="S38" s="35">
        <f t="shared" si="4"/>
        <v>667.8285493</v>
      </c>
      <c r="T38" s="35">
        <f t="shared" si="5"/>
        <v>826.5371818</v>
      </c>
      <c r="U38" s="34" t="str">
        <f t="shared" si="6"/>
        <v>Compra</v>
      </c>
      <c r="V38" s="37">
        <f t="shared" si="7"/>
        <v>0.01595461371</v>
      </c>
      <c r="W38" s="37">
        <f t="shared" si="8"/>
        <v>-0.1875570626</v>
      </c>
      <c r="X38" s="34">
        <f>IFERROR(__xludf.DUMMYFUNCTION("AJ38*GOOGLEFINANCE(""CURRENCY:USD/EUR"")"),678.4834958)</f>
        <v>678.4834958</v>
      </c>
      <c r="Y38" s="35">
        <f>IFERROR(__xludf.DUMMYFUNCTION("AI38*GOOGLEFINANCE(""CURRENCY:USD/EUR"")"),835.1152611105309)</f>
        <v>835.1152611</v>
      </c>
      <c r="Z38" s="38">
        <f t="shared" si="9"/>
        <v>0.2182126564</v>
      </c>
      <c r="AA38" s="38">
        <f t="shared" si="10"/>
        <v>0.2388556749</v>
      </c>
      <c r="AB38" s="38">
        <f t="shared" si="11"/>
        <v>0.107667089</v>
      </c>
      <c r="AC38" s="41">
        <v>700.0</v>
      </c>
      <c r="AD38" s="40">
        <f t="shared" si="12"/>
        <v>0.259832093</v>
      </c>
      <c r="AE38" s="41">
        <v>1006.0</v>
      </c>
      <c r="AF38" s="41">
        <f t="shared" si="13"/>
        <v>0.4706598681</v>
      </c>
      <c r="AG38" s="41">
        <v>1190.0</v>
      </c>
      <c r="AH38" s="41">
        <f t="shared" si="14"/>
        <v>0.269508039</v>
      </c>
      <c r="AI38" s="41">
        <f t="shared" si="15"/>
        <v>976.0808587</v>
      </c>
      <c r="AJ38" s="34">
        <f>IFERROR(__xludf.DUMMYFUNCTION("GOOGLEFINANCE(B38,""price"")"),793.01)</f>
        <v>793.01</v>
      </c>
      <c r="AK38" s="37">
        <f>AP38+BN38</f>
        <v>0.2646701755</v>
      </c>
      <c r="AL38" s="34">
        <v>776.72</v>
      </c>
      <c r="AM38" s="34">
        <f t="shared" si="16"/>
        <v>706.9269659</v>
      </c>
      <c r="AN38" s="34">
        <f t="shared" si="17"/>
        <v>852.6299738</v>
      </c>
      <c r="AO38" s="38">
        <f>IFERROR(__xludf.DUMMYFUNCTION("(GOOGLEFINANCE(B38, ""price"") - INDEX(GOOGLEFINANCE(B38, ""price"", DATE(2025,5,8)), 2, 2)) / INDEX(GOOGLEFINANCE(B38, ""price"", DATE(2025,5,8)), 2, 2)"),0.05530640761195015)</f>
        <v>0.05530640761</v>
      </c>
      <c r="AP38" s="37">
        <f t="shared" si="18"/>
        <v>0.2566701755</v>
      </c>
      <c r="AQ38" s="37">
        <f t="shared" si="19"/>
        <v>0.02097280873</v>
      </c>
      <c r="AR38" s="37">
        <f t="shared" si="20"/>
        <v>0.2356973668</v>
      </c>
      <c r="AS38" s="34">
        <f>IFERROR(__xludf.DUMMYFUNCTION("IF(X38&lt;K38,1,IF(X38&gt;J38,-1,0)) + IF(X38&lt;F38,1,IF(X38&gt;G38,-1,0)) + IF(X38&lt;I38,1,IF(X38&gt;I38,-1,0)) + IF(X38&lt;H38,1,IF(X38&gt;H38,-1,0))"),-1.0)</f>
        <v>-1</v>
      </c>
      <c r="AT38" s="34" t="str">
        <f t="shared" si="21"/>
        <v>recompra</v>
      </c>
      <c r="AU38" s="35" t="str">
        <f t="shared" si="22"/>
        <v>compra</v>
      </c>
      <c r="AV38" s="35" t="str">
        <f t="shared" si="23"/>
        <v>compra</v>
      </c>
      <c r="AW38" s="38">
        <f t="shared" si="24"/>
        <v>0.2308556749</v>
      </c>
      <c r="AX38" s="38">
        <f t="shared" si="25"/>
        <v>0.02484556624</v>
      </c>
      <c r="AY38" s="38">
        <f t="shared" si="26"/>
        <v>0.03259952272</v>
      </c>
      <c r="AZ38" s="42">
        <f t="shared" si="27"/>
        <v>0.2276703972</v>
      </c>
      <c r="BA38" s="38">
        <f t="shared" si="28"/>
        <v>0.5874030571</v>
      </c>
      <c r="BB38" s="38">
        <f t="shared" si="29"/>
        <v>0.4125969429</v>
      </c>
      <c r="BC38" s="38">
        <f t="shared" si="30"/>
        <v>0.04192212521</v>
      </c>
      <c r="BD38" s="38">
        <f t="shared" si="31"/>
        <v>0.4820043868</v>
      </c>
      <c r="BE38" s="38">
        <f t="shared" si="32"/>
        <v>0.5179956132</v>
      </c>
      <c r="BF38" s="38">
        <f t="shared" si="33"/>
        <v>0.3887733986</v>
      </c>
      <c r="BG38" s="37">
        <f t="shared" si="34"/>
        <v>0.2399930325</v>
      </c>
      <c r="BH38" s="43">
        <f t="shared" si="35"/>
        <v>0.1362962776</v>
      </c>
      <c r="BI38" s="44">
        <f t="shared" si="36"/>
        <v>0.5296432121</v>
      </c>
      <c r="BJ38" s="38">
        <f t="shared" si="37"/>
        <v>0.4306955238</v>
      </c>
      <c r="BK38" s="43">
        <f t="shared" si="38"/>
        <v>0.1409356713</v>
      </c>
      <c r="BL38" s="35">
        <v>697.29</v>
      </c>
      <c r="BM38" s="46">
        <f t="shared" si="39"/>
        <v>0.2205037211</v>
      </c>
      <c r="BN38" s="38">
        <v>0.008</v>
      </c>
      <c r="BO38" s="35">
        <v>49.0</v>
      </c>
      <c r="BP38" s="47">
        <f t="shared" si="40"/>
        <v>0.07187229231</v>
      </c>
      <c r="BQ38" s="35">
        <v>12.29</v>
      </c>
      <c r="BR38" s="47">
        <f t="shared" si="41"/>
        <v>0.3588091535</v>
      </c>
      <c r="BS38" s="38">
        <v>0.412</v>
      </c>
      <c r="BT38" s="47">
        <f t="shared" si="71"/>
        <v>0.7601128881</v>
      </c>
      <c r="BU38" s="35">
        <v>2.4</v>
      </c>
      <c r="BV38" s="47">
        <f t="shared" si="72"/>
        <v>0.8811881188</v>
      </c>
      <c r="BW38" s="48">
        <f t="shared" si="44"/>
        <v>1.775512457</v>
      </c>
      <c r="BX38" s="49">
        <f t="shared" si="45"/>
        <v>0.9229901465</v>
      </c>
      <c r="BY38" s="47">
        <f t="shared" si="46"/>
        <v>0.5179956132</v>
      </c>
      <c r="BZ38" s="38">
        <v>0.364</v>
      </c>
      <c r="CA38" s="50">
        <f t="shared" si="47"/>
        <v>0.3596707819</v>
      </c>
      <c r="CB38" s="38">
        <v>0.645</v>
      </c>
      <c r="CC38" s="50">
        <f t="shared" si="73"/>
        <v>0.3778322107</v>
      </c>
      <c r="CD38" s="38">
        <v>0.81</v>
      </c>
      <c r="CE38" s="50">
        <f t="shared" si="49"/>
        <v>0.7066581519</v>
      </c>
      <c r="CF38" s="50">
        <f t="shared" si="50"/>
        <v>0.4813870482</v>
      </c>
      <c r="CG38" s="38">
        <v>0.153</v>
      </c>
      <c r="CH38" s="51">
        <f t="shared" si="51"/>
        <v>0.2196589769</v>
      </c>
      <c r="CI38" s="38">
        <v>0.162</v>
      </c>
      <c r="CJ38" s="51">
        <f t="shared" si="52"/>
        <v>0.2394904459</v>
      </c>
      <c r="CK38" s="38">
        <v>0.236</v>
      </c>
      <c r="CL38" s="51">
        <f t="shared" si="74"/>
        <v>0.4380165289</v>
      </c>
      <c r="CM38" s="38">
        <v>0.692</v>
      </c>
      <c r="CN38" s="51">
        <f t="shared" si="54"/>
        <v>0.4452773613</v>
      </c>
      <c r="CO38" s="38">
        <v>0.313</v>
      </c>
      <c r="CP38" s="51">
        <f t="shared" si="75"/>
        <v>0.7205414013</v>
      </c>
      <c r="CQ38" s="51">
        <f t="shared" si="56"/>
        <v>0.4125969429</v>
      </c>
      <c r="CR38" s="52">
        <f t="shared" si="57"/>
        <v>0.4706598681</v>
      </c>
      <c r="CS38" s="53">
        <f t="shared" si="68"/>
        <v>0.4598290859</v>
      </c>
      <c r="CT38" s="54">
        <f t="shared" si="59"/>
        <v>0.450762114</v>
      </c>
      <c r="CU38" s="55">
        <f t="shared" si="60"/>
        <v>0.1628514236</v>
      </c>
      <c r="CV38" s="34">
        <f t="shared" si="61"/>
        <v>2.178027715</v>
      </c>
      <c r="CW38" s="34">
        <f t="shared" si="62"/>
        <v>0.7798368628</v>
      </c>
      <c r="CX38" s="35">
        <f t="shared" si="63"/>
        <v>0.2508132406</v>
      </c>
      <c r="CY38" s="38">
        <f>IFERROR(__xludf.DUMMYFUNCTION("(GOOGLEFINANCE(B38,""price"")/INDEX(GOOGLEFINANCE(B38,""price"",TODAY()-30),2,2))-1"),-0.018041556254488778)</f>
        <v>-0.01804155625</v>
      </c>
      <c r="CZ38" s="38">
        <f>IFERROR(__xludf.DUMMYFUNCTION("(GOOGLEFINANCE($B38,""price"")/INDEX(GOOGLEFINANCE($B38,""price"",TODAY()-180),2,2))-1"),0.06196266438117681)</f>
        <v>0.06196266438</v>
      </c>
      <c r="DA38" s="38">
        <f>IFERROR(__xludf.DUMMYFUNCTION("(GOOGLEFINANCE($B38,""price"")/INDEX(GOOGLEFINANCE($B38,""price"",TODAY()-365),2,2))-1"),-0.16565662942154324)</f>
        <v>-0.1656566294</v>
      </c>
      <c r="DB38" s="38">
        <f>IFERROR(__xludf.DUMMYFUNCTION("(GOOGLEFINANCE($B38,""price"")/INDEX(GOOGLEFINANCE($B38,""price"",TODAY()-365*5),2,2))-1"),3.793049259595044)</f>
        <v>3.79304926</v>
      </c>
      <c r="DC38" s="38">
        <f>IFERROR(__xludf.DUMMYFUNCTION("(INDEX(GOOGLEFINANCE(B38, ""price"", TODAY()-30, TODAY()), ROWS(GOOGLEFINANCE(B38, ""price"", TODAY()-30, TODAY())), 2) / INDEX(GOOGLEFINANCE(B38, ""price"", TODAY()-30, TODAY()), 2, 2)) - 1"),-0.018041556254488778)</f>
        <v>-0.01804155625</v>
      </c>
      <c r="DD38" s="38">
        <f>IFERROR(__xludf.DUMMYFUNCTION("(INDEX(GOOGLEFINANCE(B38, ""price"", TODAY()-7, TODAY()), ROWS(GOOGLEFINANCE(B38, ""price"", TODAY()-7, TODAY())), 2) / INDEX(GOOGLEFINANCE(B38, ""price"", TODAY()-7, TODAY()), 2, 2)) - 1"),0.026058716213593458)</f>
        <v>0.02605871621</v>
      </c>
    </row>
    <row r="39">
      <c r="A39" s="34" t="str">
        <f>IFERROR(__xludf.DUMMYFUNCTION("GOOGLEFINANCE(B39,""name"")"),"Lockheed Martin Corp")</f>
        <v>Lockheed Martin Corp</v>
      </c>
      <c r="B39" s="45" t="s">
        <v>144</v>
      </c>
      <c r="C39" s="45" t="s">
        <v>145</v>
      </c>
      <c r="D39" s="35" t="s">
        <v>94</v>
      </c>
      <c r="E39" s="57">
        <v>3.0</v>
      </c>
      <c r="F39" s="35">
        <f>IFERROR(__xludf.DUMMYFUNCTION("IFERROR(MIN(INDEX(GOOGLEFINANCE(B39,""close"",TODAY()-100,TODAY()),0,2)) * GOOGLEFINANCE(""CURRENCY:USDEUR""),""Error en datos"")"),368.60097559999997)</f>
        <v>368.6009756</v>
      </c>
      <c r="G39" s="35">
        <f>IFERROR(__xludf.DUMMYFUNCTION("IFERROR(MAX(INDEX(GOOGLEFINANCE(B39,""close"",TODAY()-100,TODAY()),0,2)) * GOOGLEFINANCE(""CURRENCY:USDEUR""),""Error en datos"")"),416.196891)</f>
        <v>416.196891</v>
      </c>
      <c r="H39" s="35">
        <f>IFERROR(__xludf.DUMMYFUNCTION("IFERROR(AVERAGE(INDEX(GOOGLEFINANCE(B39,""close"",TODAY()-20,TODAY()),0,2)) * GOOGLEFINANCE(""CURRENCY:USDEUR""),""Error en datos"")"),395.9479449538463)</f>
        <v>395.947945</v>
      </c>
      <c r="I39" s="35">
        <f>IFERROR(__xludf.DUMMYFUNCTION("IFERROR(PERCENTILE(INDEX(GOOGLEFINANCE(B39,""close"",TODAY()-365,TODAY()),0,2),0.05) * GOOGLEFINANCE(""CURRENCY:USDEUR""),""Error en datos"")"),377.89941904)</f>
        <v>377.899419</v>
      </c>
      <c r="J39" s="35">
        <f>IFERROR(__xludf.DUMMYFUNCTION("AVERAGE(INDEX(GOOGLEFINANCE(B39,""price"",TODAY()-20,TODAY(),""DAILY""),0,2))+(2*STDEV(INDEX(GOOGLEFINANCE(B39,""price"",TODAY()-20,TODAY(),""DAILY""),0,2)))"),469.65859088987924)</f>
        <v>469.6585909</v>
      </c>
      <c r="K39" s="35">
        <f>IFERROR(__xludf.DUMMYFUNCTION("AVERAGE(INDEX(GOOGLEFINANCE(B39,""price"",TODAY()-20,TODAY(),""DAILY""),0,2))-(2*STDEV(INDEX(GOOGLEFINANCE(B39,""price"",TODAY()-20,TODAY(),""DAILY""),0,2)))"),455.90756295627483)</f>
        <v>455.907563</v>
      </c>
      <c r="L39" s="45">
        <v>2620.0</v>
      </c>
      <c r="M39" s="35">
        <f t="shared" si="1"/>
        <v>0.4602613917</v>
      </c>
      <c r="N39" s="45">
        <v>42.86</v>
      </c>
      <c r="O39" s="35">
        <f t="shared" si="2"/>
        <v>0.6349333333</v>
      </c>
      <c r="P39" s="45">
        <v>0.36</v>
      </c>
      <c r="Q39" s="35">
        <f t="shared" si="3"/>
        <v>0.156877898</v>
      </c>
      <c r="R39" s="35" t="str">
        <f>IFERROR(__xludf.DUMMYFUNCTION("IF(B39="""", """", SPARKLINE(INDEX(GOOGLEFINANCE(B39, ""price"", TODAY()-1825, TODAY()), 0, 2)))"),"")</f>
        <v/>
      </c>
      <c r="S39" s="35">
        <f t="shared" si="4"/>
        <v>400.8026525</v>
      </c>
      <c r="T39" s="35">
        <f t="shared" si="5"/>
        <v>451.9408508</v>
      </c>
      <c r="U39" s="34" t="str">
        <f t="shared" si="6"/>
        <v>Compra</v>
      </c>
      <c r="V39" s="37">
        <f t="shared" si="7"/>
        <v>-0.002022059303</v>
      </c>
      <c r="W39" s="37">
        <f t="shared" si="8"/>
        <v>-0.1184617966</v>
      </c>
      <c r="X39" s="34">
        <f>IFERROR(__xludf.DUMMYFUNCTION("AJ39*GOOGLEFINANCE(""CURRENCY:USD/EUR"")"),399.9922058)</f>
        <v>399.9922058</v>
      </c>
      <c r="Y39" s="35">
        <f>IFERROR(__xludf.DUMMYFUNCTION("AI39*GOOGLEFINANCE(""CURRENCY:USD/EUR"")"),453.7434727857223)</f>
        <v>453.7434728</v>
      </c>
      <c r="Z39" s="38">
        <f t="shared" si="9"/>
        <v>0.1298741432</v>
      </c>
      <c r="AA39" s="38">
        <f t="shared" si="10"/>
        <v>0.1623807859</v>
      </c>
      <c r="AB39" s="38">
        <f t="shared" si="11"/>
        <v>0.05677608063</v>
      </c>
      <c r="AC39" s="41">
        <v>472.0</v>
      </c>
      <c r="AD39" s="40">
        <f t="shared" si="12"/>
        <v>0.3216506888</v>
      </c>
      <c r="AE39" s="41">
        <v>523.0</v>
      </c>
      <c r="AF39" s="41">
        <f t="shared" si="13"/>
        <v>0.3700565012</v>
      </c>
      <c r="AG39" s="41">
        <v>600.0</v>
      </c>
      <c r="AH39" s="41">
        <f t="shared" si="14"/>
        <v>0.3082928099</v>
      </c>
      <c r="AI39" s="41">
        <f t="shared" si="15"/>
        <v>530.3343612</v>
      </c>
      <c r="AJ39" s="34">
        <f>IFERROR(__xludf.DUMMYFUNCTION("GOOGLEFINANCE(B39,""price"")"),467.51)</f>
        <v>467.51</v>
      </c>
      <c r="AK39" s="37">
        <f>AR39+BN39</f>
        <v>0.1606752011</v>
      </c>
      <c r="AL39" s="34">
        <v>473.52</v>
      </c>
      <c r="AM39" s="34">
        <f t="shared" si="16"/>
        <v>417.0362688</v>
      </c>
      <c r="AN39" s="34">
        <f t="shared" si="17"/>
        <v>447.98448</v>
      </c>
      <c r="AO39" s="38">
        <f>IFERROR(__xludf.DUMMYFUNCTION("(GOOGLEFINANCE(B39, ""price"") - INDEX(GOOGLEFINANCE(B39, ""price"", DATE(2025,5,9)), 2, 2)) / INDEX(GOOGLEFINANCE(B39, ""price"", DATE(2025,5,8)), 2, 2)"),-0.012665163424862477)</f>
        <v>-0.01266516342</v>
      </c>
      <c r="AP39" s="37">
        <f t="shared" si="18"/>
        <v>0.1199830234</v>
      </c>
      <c r="AQ39" s="37">
        <f t="shared" si="19"/>
        <v>-0.01269217773</v>
      </c>
      <c r="AR39" s="37">
        <f t="shared" si="20"/>
        <v>0.1326752011</v>
      </c>
      <c r="AS39" s="34">
        <f>IFERROR(__xludf.DUMMYFUNCTION("IF(X39&lt;K39,1,IF(X39&gt;J39,-1,0)) + IF(X39&lt;F39,1,IF(X39&gt;G39,-1,0)) + IF(X39&lt;I39,1,IF(X39&gt;I39,-1,0)) + IF(X39&lt;H39,1,IF(X39&gt;H39,-1,0))"),-1.0)</f>
        <v>-1</v>
      </c>
      <c r="AT39" s="34" t="str">
        <f t="shared" si="21"/>
        <v>recompra</v>
      </c>
      <c r="AU39" s="35" t="str">
        <f t="shared" si="22"/>
        <v>hold</v>
      </c>
      <c r="AV39" s="35" t="str">
        <f t="shared" si="23"/>
        <v>hold</v>
      </c>
      <c r="AW39" s="38">
        <f t="shared" si="24"/>
        <v>0.1343807859</v>
      </c>
      <c r="AX39" s="38">
        <f t="shared" si="25"/>
        <v>0.06510238577</v>
      </c>
      <c r="AY39" s="38">
        <f t="shared" si="26"/>
        <v>0.07110304279</v>
      </c>
      <c r="AZ39" s="42">
        <f t="shared" si="27"/>
        <v>0.1285357363</v>
      </c>
      <c r="BA39" s="38">
        <f t="shared" si="28"/>
        <v>0.6974301391</v>
      </c>
      <c r="BB39" s="38">
        <f t="shared" si="29"/>
        <v>0.3025698609</v>
      </c>
      <c r="BC39" s="38">
        <f t="shared" si="30"/>
        <v>0.0426109878</v>
      </c>
      <c r="BD39" s="38">
        <f t="shared" si="31"/>
        <v>0.493296222</v>
      </c>
      <c r="BE39" s="38">
        <f t="shared" si="32"/>
        <v>0.506703778</v>
      </c>
      <c r="BF39" s="38">
        <f t="shared" si="33"/>
        <v>0.202147956</v>
      </c>
      <c r="BG39" s="37">
        <f t="shared" si="34"/>
        <v>0.1346920006</v>
      </c>
      <c r="BH39" s="43">
        <f t="shared" si="35"/>
        <v>0.1028975217</v>
      </c>
      <c r="BI39" s="44">
        <f t="shared" si="36"/>
        <v>0.4005364487</v>
      </c>
      <c r="BJ39" s="38">
        <f t="shared" si="37"/>
        <v>0.2447589438</v>
      </c>
      <c r="BK39" s="43">
        <f t="shared" si="38"/>
        <v>0.2111114886</v>
      </c>
      <c r="BL39" s="45">
        <v>110.94</v>
      </c>
      <c r="BM39" s="46">
        <f t="shared" si="39"/>
        <v>0.03504793353</v>
      </c>
      <c r="BN39" s="38">
        <v>0.028</v>
      </c>
      <c r="BO39" s="45">
        <v>71.81</v>
      </c>
      <c r="BP39" s="47">
        <f t="shared" si="40"/>
        <v>0.1053705961</v>
      </c>
      <c r="BQ39" s="63">
        <v>23.17</v>
      </c>
      <c r="BR39" s="47">
        <f t="shared" si="41"/>
        <v>0.6005332148</v>
      </c>
      <c r="BS39" s="38">
        <v>0.103</v>
      </c>
      <c r="BT39" s="47">
        <f t="shared" si="71"/>
        <v>0.4694261524</v>
      </c>
      <c r="BU39" s="45">
        <v>3.0</v>
      </c>
      <c r="BV39" s="47">
        <f t="shared" si="72"/>
        <v>0.8514851485</v>
      </c>
      <c r="BW39" s="48">
        <f t="shared" si="44"/>
        <v>1.290795007</v>
      </c>
      <c r="BX39" s="49">
        <f t="shared" si="45"/>
        <v>0.6981753757</v>
      </c>
      <c r="BY39" s="47">
        <f t="shared" si="46"/>
        <v>0.506703778</v>
      </c>
      <c r="BZ39" s="38">
        <v>0.031</v>
      </c>
      <c r="CA39" s="50">
        <f t="shared" si="47"/>
        <v>0.08559670782</v>
      </c>
      <c r="CB39" s="38">
        <v>-0.141</v>
      </c>
      <c r="CC39" s="50">
        <f t="shared" si="73"/>
        <v>0.1371708512</v>
      </c>
      <c r="CD39" s="38">
        <v>-0.153</v>
      </c>
      <c r="CE39" s="50">
        <f t="shared" si="49"/>
        <v>0.6799200355</v>
      </c>
      <c r="CF39" s="50">
        <f t="shared" si="50"/>
        <v>0.3008958649</v>
      </c>
      <c r="CG39" s="60">
        <v>0.01</v>
      </c>
      <c r="CH39" s="51">
        <f t="shared" si="51"/>
        <v>0.1479438315</v>
      </c>
      <c r="CI39" s="60">
        <v>0.033</v>
      </c>
      <c r="CJ39" s="51">
        <f t="shared" si="52"/>
        <v>0.07515923567</v>
      </c>
      <c r="CK39" s="60">
        <v>-0.006</v>
      </c>
      <c r="CL39" s="51">
        <f t="shared" si="74"/>
        <v>0.2380165289</v>
      </c>
      <c r="CM39" s="60">
        <v>0.768</v>
      </c>
      <c r="CN39" s="51">
        <f t="shared" si="54"/>
        <v>0.4832583708</v>
      </c>
      <c r="CO39" s="38">
        <v>0.122</v>
      </c>
      <c r="CP39" s="51">
        <f t="shared" si="75"/>
        <v>0.5684713376</v>
      </c>
      <c r="CQ39" s="51">
        <f t="shared" si="56"/>
        <v>0.3025698609</v>
      </c>
      <c r="CR39" s="52">
        <f t="shared" si="57"/>
        <v>0.3700565012</v>
      </c>
      <c r="CS39" s="53">
        <f t="shared" si="68"/>
        <v>0.4280835037</v>
      </c>
      <c r="CT39" s="54">
        <f t="shared" si="59"/>
        <v>0.3496477758</v>
      </c>
      <c r="CU39" s="55">
        <f t="shared" si="60"/>
        <v>0.09431631531</v>
      </c>
      <c r="CV39" s="34">
        <f t="shared" si="61"/>
        <v>2.557294513</v>
      </c>
      <c r="CW39" s="34">
        <f t="shared" si="62"/>
        <v>0.8243518788</v>
      </c>
      <c r="CX39" s="35">
        <f t="shared" si="63"/>
        <v>0.3959056157</v>
      </c>
      <c r="CY39" s="38">
        <f>IFERROR(__xludf.DUMMYFUNCTION("(GOOGLEFINANCE(B39,""price"")/INDEX(GOOGLEFINANCE(B39,""price"",TODAY()-30),2,2))-1"),9.634736436432423E-4)</f>
        <v>0.0009634736436</v>
      </c>
      <c r="CZ39" s="38">
        <f>IFERROR(__xludf.DUMMYFUNCTION("(GOOGLEFINANCE($B39,""price"")/INDEX(GOOGLEFINANCE($B39,""price"",TODAY()-180),2,2))-1"),-0.03401037254375283)</f>
        <v>-0.03401037254</v>
      </c>
      <c r="DA39" s="38">
        <f>IFERROR(__xludf.DUMMYFUNCTION("(GOOGLEFINANCE($B39,""price"")/INDEX(GOOGLEFINANCE($B39,""price"",TODAY()-365),2,2))-1"),0.007825299646460282)</f>
        <v>0.007825299646</v>
      </c>
      <c r="DB39" s="38">
        <f>IFERROR(__xludf.DUMMYFUNCTION("(GOOGLEFINANCE($B39,""price"")/INDEX(GOOGLEFINANCE($B39,""price"",TODAY()-365*5),2,2))-1"),0.2823952161509764)</f>
        <v>0.2823952162</v>
      </c>
      <c r="DC39" s="38">
        <f>IFERROR(__xludf.DUMMYFUNCTION("(INDEX(GOOGLEFINANCE(B39, ""price"", TODAY()-30, TODAY()), ROWS(GOOGLEFINANCE(B39, ""price"", TODAY()-30, TODAY())), 2) / INDEX(GOOGLEFINANCE(B39, ""price"", TODAY()-30, TODAY()), 2, 2)) - 1"),9.634736436432423E-4)</f>
        <v>0.0009634736436</v>
      </c>
      <c r="DD39" s="38">
        <f>IFERROR(__xludf.DUMMYFUNCTION("(INDEX(GOOGLEFINANCE(B39, ""price"", TODAY()-7, TODAY()), ROWS(GOOGLEFINANCE(B39, ""price"", TODAY()-7, TODAY())), 2) / INDEX(GOOGLEFINANCE(B39, ""price"", TODAY()-7, TODAY()), 2, 2)) - 1"),-0.0033044813030316256)</f>
        <v>-0.003304481303</v>
      </c>
    </row>
    <row r="40">
      <c r="A40" s="34" t="str">
        <f>IFERROR(__xludf.DUMMYFUNCTION("GOOGLEFINANCE(B40,""name"")"),"Lam Research Corp")</f>
        <v>Lam Research Corp</v>
      </c>
      <c r="B40" s="35" t="s">
        <v>146</v>
      </c>
      <c r="C40" s="35" t="s">
        <v>90</v>
      </c>
      <c r="D40" s="35" t="s">
        <v>94</v>
      </c>
      <c r="E40" s="57">
        <v>3.0</v>
      </c>
      <c r="F40" s="35">
        <f>IFERROR(__xludf.DUMMYFUNCTION("IFERROR(MIN(INDEX(GOOGLEFINANCE(B40,""close"",TODAY()-100,TODAY()),0,2)) * GOOGLEFINANCE(""CURRENCY:USDEUR""),""Error en datos"")"),51.548695)</f>
        <v>51.548695</v>
      </c>
      <c r="G40" s="35">
        <f>IFERROR(__xludf.DUMMYFUNCTION("IFERROR(MAX(INDEX(GOOGLEFINANCE(B40,""close"",TODAY()-100,TODAY()),0,2)) * GOOGLEFINANCE(""CURRENCY:USDEUR""),""Error en datos"")"),87.0381534)</f>
        <v>87.0381534</v>
      </c>
      <c r="H40" s="35">
        <f>IFERROR(__xludf.DUMMYFUNCTION("IFERROR(AVERAGE(INDEX(GOOGLEFINANCE(B40,""close"",TODAY()-20,TODAY()),0,2)) * GOOGLEFINANCE(""CURRENCY:USDEUR""),""Error en datos"")"),84.11338607692308)</f>
        <v>84.11338608</v>
      </c>
      <c r="I40" s="35">
        <f>IFERROR(__xludf.DUMMYFUNCTION("IFERROR(PERCENTILE(INDEX(GOOGLEFINANCE(B40,""close"",TODAY()-365,TODAY()),0,2),0.05) * GOOGLEFINANCE(""CURRENCY:USDEUR""),""Error en datos"")"),59.10688872)</f>
        <v>59.10688872</v>
      </c>
      <c r="J40" s="35">
        <f>IFERROR(__xludf.DUMMYFUNCTION("AVERAGE(INDEX(GOOGLEFINANCE(B40,""price"",TODAY()-20,TODAY(),""DAILY""),0,2))+(2*STDEV(INDEX(GOOGLEFINANCE(B40,""price"",TODAY()-20,TODAY(),""DAILY""),0,2)))"),102.11412395173542)</f>
        <v>102.114124</v>
      </c>
      <c r="K40" s="35">
        <f>IFERROR(__xludf.DUMMYFUNCTION("AVERAGE(INDEX(GOOGLEFINANCE(B40,""price"",TODAY()-20,TODAY(),""DAILY""),0,2))-(2*STDEV(INDEX(GOOGLEFINANCE(B40,""price"",TODAY()-20,TODAY(),""DAILY""),0,2)))"),94.5089529713415)</f>
        <v>94.50895297</v>
      </c>
      <c r="L40" s="35">
        <v>1641.0</v>
      </c>
      <c r="M40" s="35">
        <f t="shared" si="1"/>
        <v>0.2873542918</v>
      </c>
      <c r="N40" s="35">
        <v>-28.5</v>
      </c>
      <c r="O40" s="35">
        <f t="shared" si="2"/>
        <v>0.3177777778</v>
      </c>
      <c r="P40" s="35">
        <v>-7.76</v>
      </c>
      <c r="Q40" s="35">
        <f t="shared" si="3"/>
        <v>0</v>
      </c>
      <c r="R40" s="35" t="str">
        <f>IFERROR(__xludf.DUMMYFUNCTION("IF(B40="""", """", SPARKLINE(INDEX(GOOGLEFINANCE(B40, ""price"", TODAY()-1825, TODAY()), 0, 2)))"),"")</f>
        <v/>
      </c>
      <c r="S40" s="35">
        <f t="shared" si="4"/>
        <v>68.3881789</v>
      </c>
      <c r="T40" s="35">
        <f t="shared" si="5"/>
        <v>81.91553655</v>
      </c>
      <c r="U40" s="34" t="str">
        <f t="shared" si="6"/>
        <v>Venta</v>
      </c>
      <c r="V40" s="37">
        <f t="shared" si="7"/>
        <v>0.2727075761</v>
      </c>
      <c r="W40" s="37">
        <f t="shared" si="8"/>
        <v>0.09642741075</v>
      </c>
      <c r="X40" s="34">
        <f>IFERROR(__xludf.DUMMYFUNCTION("AJ40*GOOGLEFINANCE(""CURRENCY:USD/EUR"")"),87.0381534)</f>
        <v>87.0381534</v>
      </c>
      <c r="Y40" s="35">
        <f>IFERROR(__xludf.DUMMYFUNCTION("AI40*GOOGLEFINANCE(""CURRENCY:USD/EUR"")"),79.38341612622771)</f>
        <v>79.38341613</v>
      </c>
      <c r="Z40" s="38">
        <f t="shared" si="9"/>
        <v>-0.05885484295</v>
      </c>
      <c r="AA40" s="38">
        <f t="shared" si="10"/>
        <v>-0.07594691724</v>
      </c>
      <c r="AB40" s="38">
        <f t="shared" si="11"/>
        <v>-0.02782314254</v>
      </c>
      <c r="AC40" s="41">
        <v>70.0</v>
      </c>
      <c r="AD40" s="40">
        <f t="shared" si="12"/>
        <v>0.3232247515</v>
      </c>
      <c r="AE40" s="41">
        <v>96.4</v>
      </c>
      <c r="AF40" s="41">
        <f t="shared" si="13"/>
        <v>0.4124583911</v>
      </c>
      <c r="AG40" s="41">
        <v>115.0</v>
      </c>
      <c r="AH40" s="41">
        <f t="shared" si="14"/>
        <v>0.2643168574</v>
      </c>
      <c r="AI40" s="41">
        <f t="shared" si="15"/>
        <v>92.78316011</v>
      </c>
      <c r="AJ40" s="34">
        <f>IFERROR(__xludf.DUMMYFUNCTION("GOOGLEFINANCE(B40,""price"")"),101.73)</f>
        <v>101.73</v>
      </c>
      <c r="AK40" s="37">
        <f>AP40+BN40</f>
        <v>0.2481199055</v>
      </c>
      <c r="AL40" s="34">
        <v>75.06</v>
      </c>
      <c r="AM40" s="34">
        <f t="shared" si="16"/>
        <v>68.57695037</v>
      </c>
      <c r="AN40" s="34">
        <f t="shared" si="17"/>
        <v>107.589594</v>
      </c>
      <c r="AO40" s="38">
        <f>IFERROR(__xludf.DUMMYFUNCTION("(GOOGLEFINANCE(B40, ""price"") - INDEX(GOOGLEFINANCE(B40, ""price"", DATE(2025,5,8)), 2, 2)) / INDEX(GOOGLEFINANCE(B40, ""price"", DATE(2025,5,8)), 2, 2)"),0.35821094793057406)</f>
        <v>0.3582109479</v>
      </c>
      <c r="AP40" s="37">
        <f t="shared" si="18"/>
        <v>0.2361199055</v>
      </c>
      <c r="AQ40" s="37">
        <f t="shared" si="19"/>
        <v>0.3553157474</v>
      </c>
      <c r="AR40" s="37">
        <f t="shared" si="20"/>
        <v>-0.1191958419</v>
      </c>
      <c r="AS40" s="34">
        <f>IFERROR(__xludf.DUMMYFUNCTION("IF(X40&lt;K40,1,IF(X40&gt;J40,-1,0)) + IF(X40&lt;F40,1,IF(X40&gt;G40,-1,0)) + IF(X40&lt;I40,1,IF(X40&gt;I40,-1,0)) + IF(X40&lt;H40,1,IF(X40&gt;H40,-1,0))"),-1.0)</f>
        <v>-1</v>
      </c>
      <c r="AT40" s="34" t="str">
        <f t="shared" si="21"/>
        <v>venta</v>
      </c>
      <c r="AU40" s="35" t="str">
        <f t="shared" si="22"/>
        <v>venta</v>
      </c>
      <c r="AV40" s="35" t="str">
        <f t="shared" si="23"/>
        <v>venta</v>
      </c>
      <c r="AW40" s="38">
        <f t="shared" si="24"/>
        <v>-0.08794691724</v>
      </c>
      <c r="AX40" s="38">
        <f t="shared" si="25"/>
        <v>-0.0694492512</v>
      </c>
      <c r="AY40" s="38">
        <f t="shared" si="26"/>
        <v>-0.06819944309</v>
      </c>
      <c r="AZ40" s="42">
        <f t="shared" si="27"/>
        <v>0.01574483841</v>
      </c>
      <c r="BA40" s="38">
        <f t="shared" si="28"/>
        <v>0.6154323111</v>
      </c>
      <c r="BB40" s="38">
        <f t="shared" si="29"/>
        <v>0.3845676889</v>
      </c>
      <c r="BC40" s="38">
        <f t="shared" si="30"/>
        <v>-0.2121047185</v>
      </c>
      <c r="BD40" s="38">
        <f t="shared" si="31"/>
        <v>0.5427332626</v>
      </c>
      <c r="BE40" s="38">
        <f t="shared" si="32"/>
        <v>0.4572667374</v>
      </c>
      <c r="BF40" s="38">
        <f t="shared" si="33"/>
        <v>0.03121165159</v>
      </c>
      <c r="BG40" s="37">
        <f t="shared" si="34"/>
        <v>0.1219362103</v>
      </c>
      <c r="BH40" s="43">
        <f t="shared" si="35"/>
        <v>0.02686838359</v>
      </c>
      <c r="BI40" s="44">
        <f t="shared" si="36"/>
        <v>0.3785297004</v>
      </c>
      <c r="BJ40" s="38">
        <f t="shared" si="37"/>
        <v>-0.1808930669</v>
      </c>
      <c r="BK40" s="43">
        <f t="shared" si="38"/>
        <v>-0.01243678192</v>
      </c>
      <c r="BL40" s="35">
        <v>96.01</v>
      </c>
      <c r="BM40" s="46">
        <f t="shared" si="39"/>
        <v>0.03032574557</v>
      </c>
      <c r="BN40" s="38">
        <v>0.012</v>
      </c>
      <c r="BO40" s="35">
        <v>17.14</v>
      </c>
      <c r="BP40" s="47">
        <f t="shared" si="40"/>
        <v>0.0250833419</v>
      </c>
      <c r="BQ40" s="35">
        <v>3.59</v>
      </c>
      <c r="BR40" s="47">
        <f t="shared" si="41"/>
        <v>0.1655187736</v>
      </c>
      <c r="BS40" s="38">
        <v>0.309</v>
      </c>
      <c r="BT40" s="47">
        <f t="shared" si="71"/>
        <v>0.6632173095</v>
      </c>
      <c r="BU40" s="35">
        <v>0.5</v>
      </c>
      <c r="BV40" s="47">
        <f t="shared" si="72"/>
        <v>0.9752475248</v>
      </c>
      <c r="BW40" s="48">
        <f t="shared" si="44"/>
        <v>1.466600425</v>
      </c>
      <c r="BX40" s="49">
        <f t="shared" si="45"/>
        <v>0.7301910171</v>
      </c>
      <c r="BY40" s="47">
        <f t="shared" si="46"/>
        <v>0.4572667374</v>
      </c>
      <c r="BZ40" s="38">
        <v>0.203</v>
      </c>
      <c r="CA40" s="50">
        <f t="shared" si="47"/>
        <v>0.2271604938</v>
      </c>
      <c r="CB40" s="38">
        <v>0.281</v>
      </c>
      <c r="CC40" s="50">
        <f t="shared" si="73"/>
        <v>0.2663808941</v>
      </c>
      <c r="CD40" s="38">
        <v>0.321</v>
      </c>
      <c r="CE40" s="50">
        <f t="shared" si="49"/>
        <v>0.693080853</v>
      </c>
      <c r="CF40" s="50">
        <f t="shared" si="50"/>
        <v>0.3955407469</v>
      </c>
      <c r="CG40" s="38">
        <v>0.209</v>
      </c>
      <c r="CH40" s="51">
        <f t="shared" si="51"/>
        <v>0.2477432297</v>
      </c>
      <c r="CI40" s="38">
        <v>0.123</v>
      </c>
      <c r="CJ40" s="51">
        <f t="shared" si="52"/>
        <v>0.1898089172</v>
      </c>
      <c r="CK40" s="38">
        <v>0.152</v>
      </c>
      <c r="CL40" s="51">
        <f t="shared" si="74"/>
        <v>0.3685950413</v>
      </c>
      <c r="CM40" s="38">
        <v>0.616</v>
      </c>
      <c r="CN40" s="51">
        <f t="shared" si="54"/>
        <v>0.4072963518</v>
      </c>
      <c r="CO40" s="38">
        <v>0.299</v>
      </c>
      <c r="CP40" s="51">
        <f t="shared" si="75"/>
        <v>0.7093949045</v>
      </c>
      <c r="CQ40" s="51">
        <f t="shared" si="56"/>
        <v>0.3845676889</v>
      </c>
      <c r="CR40" s="52">
        <f t="shared" si="57"/>
        <v>0.4124583911</v>
      </c>
      <c r="CS40" s="53">
        <f t="shared" si="68"/>
        <v>0.2231215903</v>
      </c>
      <c r="CT40" s="54">
        <f t="shared" si="59"/>
        <v>0.3663498605</v>
      </c>
      <c r="CU40" s="55">
        <f t="shared" si="60"/>
        <v>0.09835945968</v>
      </c>
      <c r="CV40" s="34">
        <f t="shared" si="61"/>
        <v>0.8810362546</v>
      </c>
      <c r="CW40" s="34">
        <f t="shared" si="62"/>
        <v>0.4264882592</v>
      </c>
      <c r="CX40" s="35">
        <f t="shared" si="63"/>
        <v>0.1588888889</v>
      </c>
      <c r="CY40" s="38">
        <f>IFERROR(__xludf.DUMMYFUNCTION("(GOOGLEFINANCE(B40,""price"")/INDEX(GOOGLEFINANCE(B40,""price"",TODAY()-30),2,2))-1"),0.08906969275238197)</f>
        <v>0.08906969275</v>
      </c>
      <c r="CZ40" s="38">
        <f>IFERROR(__xludf.DUMMYFUNCTION("(GOOGLEFINANCE($B40,""price"")/INDEX(GOOGLEFINANCE($B40,""price"",TODAY()-180),2,2))-1"),0.33591595535128027)</f>
        <v>0.3359159554</v>
      </c>
      <c r="DA40" s="38">
        <f>IFERROR(__xludf.DUMMYFUNCTION("(GOOGLEFINANCE($B40,""price"")/INDEX(GOOGLEFINANCE($B40,""price"",TODAY()-365),2,2))-1"),-0.04845196894584225)</f>
        <v>-0.04845196895</v>
      </c>
      <c r="DB40" s="38">
        <f>IFERROR(__xludf.DUMMYFUNCTION("(GOOGLEFINANCE($B40,""price"")/INDEX(GOOGLEFINANCE($B40,""price"",TODAY()-365*5),2,2))-1"),1.9641608391608392)</f>
        <v>1.964160839</v>
      </c>
      <c r="DC40" s="38">
        <f>IFERROR(__xludf.DUMMYFUNCTION("(INDEX(GOOGLEFINANCE(B40, ""price"", TODAY()-30, TODAY()), ROWS(GOOGLEFINANCE(B40, ""price"", TODAY()-30, TODAY())), 2) / INDEX(GOOGLEFINANCE(B40, ""price"", TODAY()-30, TODAY()), 2, 2)) - 1"),0.08906969275238197)</f>
        <v>0.08906969275</v>
      </c>
      <c r="DD40" s="38">
        <f>IFERROR(__xludf.DUMMYFUNCTION("(INDEX(GOOGLEFINANCE(B40, ""price"", TODAY()-7, TODAY()), ROWS(GOOGLEFINANCE(B40, ""price"", TODAY()-7, TODAY())), 2) / INDEX(GOOGLEFINANCE(B40, ""price"", TODAY()-7, TODAY()), 2, 2)) - 1"),0.0365803953535766)</f>
        <v>0.03658039535</v>
      </c>
    </row>
    <row r="41">
      <c r="A41" s="34" t="str">
        <f>IFERROR(__xludf.DUMMYFUNCTION("GOOGLEFINANCE(B41,""name"")"),"Lululemon Athletica Inc")</f>
        <v>Lululemon Athletica Inc</v>
      </c>
      <c r="B41" s="45" t="s">
        <v>147</v>
      </c>
      <c r="C41" s="45" t="s">
        <v>119</v>
      </c>
      <c r="D41" s="45" t="s">
        <v>121</v>
      </c>
      <c r="E41" s="57">
        <v>3.0</v>
      </c>
      <c r="F41" s="35">
        <f>IFERROR(__xludf.DUMMYFUNCTION("IFERROR(MIN(INDEX(GOOGLEFINANCE(B41,""close"",TODAY()-100,TODAY()),0,2)) * GOOGLEFINANCE(""CURRENCY:USDEUR""),""Error en datos"")"),192.9846248)</f>
        <v>192.9846248</v>
      </c>
      <c r="G41" s="35">
        <f>IFERROR(__xludf.DUMMYFUNCTION("IFERROR(MAX(INDEX(GOOGLEFINANCE(B41,""close"",TODAY()-100,TODAY()),0,2)) * GOOGLEFINANCE(""CURRENCY:USDEUR""),""Error en datos"")"),286.7818602)</f>
        <v>286.7818602</v>
      </c>
      <c r="H41" s="35">
        <f>IFERROR(__xludf.DUMMYFUNCTION("IFERROR(AVERAGE(INDEX(GOOGLEFINANCE(B41,""close"",TODAY()-20,TODAY()),0,2)) * GOOGLEFINANCE(""CURRENCY:USDEUR""),""Error en datos"")"),203.67805852307694)</f>
        <v>203.6780585</v>
      </c>
      <c r="I41" s="35">
        <f>IFERROR(__xludf.DUMMYFUNCTION("IFERROR(PERCENTILE(INDEX(GOOGLEFINANCE(B41,""close"",TODAY()-365,TODAY()),0,2),0.05) * GOOGLEFINANCE(""CURRENCY:USDEUR""),""Error en datos"")"),202.48669628)</f>
        <v>202.4866963</v>
      </c>
      <c r="J41" s="35">
        <f>IFERROR(__xludf.DUMMYFUNCTION("AVERAGE(INDEX(GOOGLEFINANCE(B41,""price"",TODAY()-20,TODAY(),""DAILY""),0,2))+(2*STDEV(INDEX(GOOGLEFINANCE(B41,""price"",TODAY()-20,TODAY(),""DAILY""),0,2)))"),248.68280417272632)</f>
        <v>248.6828042</v>
      </c>
      <c r="K41" s="35">
        <f>IFERROR(__xludf.DUMMYFUNCTION("AVERAGE(INDEX(GOOGLEFINANCE(B41,""price"",TODAY()-20,TODAY(),""DAILY""),0,2))-(2*STDEV(INDEX(GOOGLEFINANCE(B41,""price"",TODAY()-20,TODAY(),""DAILY""),0,2)))"),227.4341189041968)</f>
        <v>227.4341189</v>
      </c>
      <c r="L41" s="35">
        <v>1100.0</v>
      </c>
      <c r="M41" s="35">
        <f t="shared" si="1"/>
        <v>0.1918050159</v>
      </c>
      <c r="N41" s="35">
        <v>-70.0</v>
      </c>
      <c r="O41" s="35">
        <f t="shared" si="2"/>
        <v>0.1333333333</v>
      </c>
      <c r="P41" s="35">
        <v>2.53</v>
      </c>
      <c r="Q41" s="35">
        <f t="shared" si="3"/>
        <v>0.1988021638</v>
      </c>
      <c r="R41" s="35" t="str">
        <f>IFERROR(__xludf.DUMMYFUNCTION("IF(B41="""", """", SPARKLINE(INDEX(GOOGLEFINANCE(B41, ""price"", TODAY()-1825, TODAY()), 0, 2)))"),"")</f>
        <v/>
      </c>
      <c r="S41" s="35">
        <f t="shared" si="4"/>
        <v>207.6351467</v>
      </c>
      <c r="T41" s="35">
        <f t="shared" si="5"/>
        <v>248.1419184</v>
      </c>
      <c r="U41" s="34" t="str">
        <f t="shared" si="6"/>
        <v>Compra</v>
      </c>
      <c r="V41" s="37">
        <f t="shared" si="7"/>
        <v>-0.02543847198</v>
      </c>
      <c r="W41" s="37">
        <f t="shared" si="8"/>
        <v>-0.1714435846</v>
      </c>
      <c r="X41" s="34">
        <f>IFERROR(__xludf.DUMMYFUNCTION("AJ41*GOOGLEFINANCE(""CURRENCY:USD/EUR"")"),202.3532258)</f>
        <v>202.3532258</v>
      </c>
      <c r="Y41" s="35">
        <f>IFERROR(__xludf.DUMMYFUNCTION("AI41*GOOGLEFINANCE(""CURRENCY:USD/EUR"")"),244.22383561504)</f>
        <v>244.2238356</v>
      </c>
      <c r="Z41" s="38">
        <f t="shared" si="9"/>
        <v>0.2262810113</v>
      </c>
      <c r="AA41" s="38">
        <f t="shared" si="10"/>
        <v>0.2069184203</v>
      </c>
      <c r="AB41" s="38">
        <f t="shared" si="11"/>
        <v>0.07234685558</v>
      </c>
      <c r="AC41" s="41">
        <v>175.0</v>
      </c>
      <c r="AD41" s="40">
        <f t="shared" si="12"/>
        <v>0.3294103011</v>
      </c>
      <c r="AE41" s="41">
        <v>299.0</v>
      </c>
      <c r="AF41" s="41">
        <f t="shared" si="13"/>
        <v>0.4130882564</v>
      </c>
      <c r="AG41" s="41">
        <v>405.0</v>
      </c>
      <c r="AH41" s="41">
        <f t="shared" si="14"/>
        <v>0.2575014425</v>
      </c>
      <c r="AI41" s="41">
        <f t="shared" si="15"/>
        <v>285.4482756</v>
      </c>
      <c r="AJ41" s="34">
        <f>IFERROR(__xludf.DUMMYFUNCTION("GOOGLEFINANCE(B41,""price"")"),236.51)</f>
        <v>236.51</v>
      </c>
      <c r="AK41" s="37">
        <f>AR41+BN41</f>
        <v>0.1523607583</v>
      </c>
      <c r="AL41" s="35">
        <v>321.2</v>
      </c>
      <c r="AM41" s="34">
        <f t="shared" si="16"/>
        <v>190.7497546</v>
      </c>
      <c r="AN41" s="34">
        <f t="shared" si="17"/>
        <v>179.8299482</v>
      </c>
      <c r="AO41" s="38">
        <f>IFERROR(__xludf.DUMMYFUNCTION("(GOOGLEFINANCE(B41, ""price"") - INDEX(GOOGLEFINANCE(B41, ""price"", DATE(2025,5,9)), 2, 2)) / INDEX(GOOGLEFINANCE(B41, ""price"", DATE(2025,5,8)), 2, 2)"),-0.15317069716389897)</f>
        <v>-0.1531706972</v>
      </c>
      <c r="AP41" s="37">
        <f t="shared" si="18"/>
        <v>-0.1113067386</v>
      </c>
      <c r="AQ41" s="37">
        <f t="shared" si="19"/>
        <v>-0.2636674969</v>
      </c>
      <c r="AR41" s="37">
        <f t="shared" si="20"/>
        <v>0.1523607583</v>
      </c>
      <c r="AS41" s="34">
        <f>IFERROR(__xludf.DUMMYFUNCTION("IF(X41&lt;K41,1,IF(X41&gt;J41,-1,0)) + IF(X41&lt;F41,1,IF(X41&gt;G41,-1,0)) + IF(X41&lt;I41,1,IF(X41&gt;I41,-1,0)) + IF(X41&lt;H41,1,IF(X41&gt;H41,-1,0))"),3.0)</f>
        <v>3</v>
      </c>
      <c r="AT41" s="34" t="str">
        <f t="shared" si="21"/>
        <v>Hold</v>
      </c>
      <c r="AU41" s="35" t="str">
        <f t="shared" si="22"/>
        <v>compra</v>
      </c>
      <c r="AV41" s="35" t="str">
        <f t="shared" si="23"/>
        <v>venta</v>
      </c>
      <c r="AW41" s="38">
        <f t="shared" si="24"/>
        <v>0.2069184203</v>
      </c>
      <c r="AX41" s="38">
        <f t="shared" si="25"/>
        <v>0.02460408786</v>
      </c>
      <c r="AY41" s="38">
        <f t="shared" si="26"/>
        <v>0.02026098652</v>
      </c>
      <c r="AZ41" s="42">
        <f t="shared" si="27"/>
        <v>0.1631090456</v>
      </c>
      <c r="BA41" s="38">
        <f t="shared" si="28"/>
        <v>0.6133234781</v>
      </c>
      <c r="BB41" s="38">
        <f t="shared" si="29"/>
        <v>0.3866765219</v>
      </c>
      <c r="BC41" s="38">
        <f t="shared" si="30"/>
        <v>-0.05734265477</v>
      </c>
      <c r="BD41" s="38">
        <f t="shared" si="31"/>
        <v>0.4994583961</v>
      </c>
      <c r="BE41" s="38">
        <f t="shared" si="32"/>
        <v>0.5005416039</v>
      </c>
      <c r="BF41" s="38">
        <f t="shared" si="33"/>
        <v>0.4885519006</v>
      </c>
      <c r="BG41" s="37">
        <f t="shared" si="34"/>
        <v>0.1106134683</v>
      </c>
      <c r="BH41" s="43">
        <f t="shared" si="35"/>
        <v>0.06543722741</v>
      </c>
      <c r="BI41" s="44">
        <f t="shared" si="36"/>
        <v>0.4292788306</v>
      </c>
      <c r="BJ41" s="38">
        <f t="shared" si="37"/>
        <v>0.4312092459</v>
      </c>
      <c r="BK41" s="43">
        <f t="shared" si="38"/>
        <v>-0.07137834365</v>
      </c>
      <c r="BL41" s="45">
        <v>37.34</v>
      </c>
      <c r="BM41" s="46">
        <f t="shared" si="39"/>
        <v>0.01176909671</v>
      </c>
      <c r="BN41" s="45">
        <v>0.0</v>
      </c>
      <c r="BO41" s="45">
        <v>10.59</v>
      </c>
      <c r="BP41" s="47">
        <f t="shared" si="40"/>
        <v>0.01546414463</v>
      </c>
      <c r="BQ41" s="45">
        <v>14.64</v>
      </c>
      <c r="BR41" s="47">
        <f t="shared" si="41"/>
        <v>0.4110197734</v>
      </c>
      <c r="BS41" s="38">
        <v>0.237</v>
      </c>
      <c r="BT41" s="47">
        <f t="shared" si="71"/>
        <v>0.5954844779</v>
      </c>
      <c r="BU41" s="45">
        <v>0.4</v>
      </c>
      <c r="BV41" s="47">
        <f t="shared" si="72"/>
        <v>0.9801980198</v>
      </c>
      <c r="BW41" s="48">
        <f t="shared" si="44"/>
        <v>1.621930039</v>
      </c>
      <c r="BX41" s="49">
        <f t="shared" si="45"/>
        <v>0.7931204338</v>
      </c>
      <c r="BY41" s="47">
        <f t="shared" si="46"/>
        <v>0.5005416039</v>
      </c>
      <c r="BZ41" s="38">
        <v>0.101</v>
      </c>
      <c r="CA41" s="50">
        <f t="shared" si="47"/>
        <v>0.1432098765</v>
      </c>
      <c r="CB41" s="38">
        <v>0.14</v>
      </c>
      <c r="CC41" s="50">
        <f t="shared" si="73"/>
        <v>0.2232088181</v>
      </c>
      <c r="CD41" s="38">
        <v>0.2</v>
      </c>
      <c r="CE41" s="50">
        <f t="shared" si="49"/>
        <v>0.689721235</v>
      </c>
      <c r="CF41" s="50">
        <f t="shared" si="50"/>
        <v>0.3520466432</v>
      </c>
      <c r="CG41" s="38">
        <v>0.243</v>
      </c>
      <c r="CH41" s="51">
        <f t="shared" si="51"/>
        <v>0.2647943831</v>
      </c>
      <c r="CI41" s="38">
        <v>0.216</v>
      </c>
      <c r="CJ41" s="51">
        <f t="shared" si="52"/>
        <v>0.3082802548</v>
      </c>
      <c r="CK41" s="38">
        <v>0.229</v>
      </c>
      <c r="CL41" s="51">
        <f t="shared" si="74"/>
        <v>0.432231405</v>
      </c>
      <c r="CM41" s="38">
        <v>0.374</v>
      </c>
      <c r="CN41" s="51">
        <f t="shared" si="54"/>
        <v>0.2863568216</v>
      </c>
      <c r="CO41" s="38">
        <v>0.214</v>
      </c>
      <c r="CP41" s="51">
        <f t="shared" si="75"/>
        <v>0.6417197452</v>
      </c>
      <c r="CQ41" s="51">
        <f t="shared" si="56"/>
        <v>0.3866765219</v>
      </c>
      <c r="CR41" s="52">
        <f t="shared" si="57"/>
        <v>0.4130882564</v>
      </c>
      <c r="CS41" s="53">
        <f t="shared" si="68"/>
        <v>0.1789363822</v>
      </c>
      <c r="CT41" s="54">
        <f t="shared" si="59"/>
        <v>0.3496395125</v>
      </c>
      <c r="CU41" s="55">
        <f t="shared" si="60"/>
        <v>0.07314362111</v>
      </c>
      <c r="CV41" s="34">
        <f t="shared" si="61"/>
        <v>1.615814509</v>
      </c>
      <c r="CW41" s="34">
        <f t="shared" si="62"/>
        <v>0.6104977553</v>
      </c>
      <c r="CX41" s="35">
        <f t="shared" si="63"/>
        <v>0.1660677486</v>
      </c>
      <c r="CY41" s="38">
        <f>IFERROR(__xludf.DUMMYFUNCTION("(GOOGLEFINANCE(B41,""price"")/INDEX(GOOGLEFINANCE(B41,""price"",TODAY()-30),2,2))-1"),-0.019810186912014638)</f>
        <v>-0.01981018691</v>
      </c>
      <c r="CZ41" s="38">
        <f>IFERROR(__xludf.DUMMYFUNCTION("(GOOGLEFINANCE($B41,""price"")/INDEX(GOOGLEFINANCE($B41,""price"",TODAY()-180),2,2))-1"),-0.3720862316147189)</f>
        <v>-0.3720862316</v>
      </c>
      <c r="DA41" s="38">
        <f>IFERROR(__xludf.DUMMYFUNCTION("(GOOGLEFINANCE($B41,""price"")/INDEX(GOOGLEFINANCE($B41,""price"",TODAY()-365),2,2))-1"),-0.1663964472014664)</f>
        <v>-0.1663964472</v>
      </c>
      <c r="DB41" s="38">
        <f>IFERROR(__xludf.DUMMYFUNCTION("(GOOGLEFINANCE($B41,""price"")/INDEX(GOOGLEFINANCE($B41,""price"",TODAY()-365*5),2,2))-1"),-0.2431922178490289)</f>
        <v>-0.2431922178</v>
      </c>
      <c r="DC41" s="38">
        <f>IFERROR(__xludf.DUMMYFUNCTION("(INDEX(GOOGLEFINANCE(B41, ""price"", TODAY()-30, TODAY()), ROWS(GOOGLEFINANCE(B41, ""price"", TODAY()-30, TODAY())), 2) / INDEX(GOOGLEFINANCE(B41, ""price"", TODAY()-30, TODAY()), 2, 2)) - 1"),-0.019810186912014638)</f>
        <v>-0.01981018691</v>
      </c>
      <c r="DD41" s="38">
        <f>IFERROR(__xludf.DUMMYFUNCTION("(INDEX(GOOGLEFINANCE(B41, ""price"", TODAY()-7, TODAY()), ROWS(GOOGLEFINANCE(B41, ""price"", TODAY()-7, TODAY())), 2) / INDEX(GOOGLEFINANCE(B41, ""price"", TODAY()-7, TODAY()), 2, 2)) - 1"),-0.004461842825272511)</f>
        <v>-0.004461842825</v>
      </c>
    </row>
    <row r="42">
      <c r="A42" s="34" t="str">
        <f>IFERROR(__xludf.DUMMYFUNCTION("GOOGLEFINANCE(B42,""name"")"),"Mastercard Inc")</f>
        <v>Mastercard Inc</v>
      </c>
      <c r="B42" s="35" t="s">
        <v>148</v>
      </c>
      <c r="C42" s="35" t="s">
        <v>111</v>
      </c>
      <c r="D42" s="35" t="s">
        <v>94</v>
      </c>
      <c r="E42" s="56">
        <v>2.0</v>
      </c>
      <c r="F42" s="35">
        <f>IFERROR(__xludf.DUMMYFUNCTION("IFERROR(MIN(INDEX(GOOGLEFINANCE(B42,""close"",TODAY()-100,TODAY()),0,2)) * GOOGLEFINANCE(""CURRENCY:USDEUR""),""Error en datos"")"),410.60995360000004)</f>
        <v>410.6099536</v>
      </c>
      <c r="G42" s="35">
        <f>IFERROR(__xludf.DUMMYFUNCTION("IFERROR(MAX(INDEX(GOOGLEFINANCE(B42,""close"",TODAY()-100,TODAY()),0,2)) * GOOGLEFINANCE(""CURRENCY:USDEUR""),""Error en datos"")"),505.4253292)</f>
        <v>505.4253292</v>
      </c>
      <c r="H42" s="35">
        <f>IFERROR(__xludf.DUMMYFUNCTION("IFERROR(AVERAGE(INDEX(GOOGLEFINANCE(B42,""close"",TODAY()-20,TODAY()),0,2)) * GOOGLEFINANCE(""CURRENCY:USDEUR""),""Error en datos"")"),478.2718525538461)</f>
        <v>478.2718526</v>
      </c>
      <c r="I42" s="35">
        <f>IFERROR(__xludf.DUMMYFUNCTION("IFERROR(PERCENTILE(INDEX(GOOGLEFINANCE(B42,""close"",TODAY()-365,TODAY()),0,2),0.05) * GOOGLEFINANCE(""CURRENCY:USDEUR""),""Error en datos"")"),384.29915744)</f>
        <v>384.2991574</v>
      </c>
      <c r="J42" s="35">
        <f>IFERROR(__xludf.DUMMYFUNCTION("AVERAGE(INDEX(GOOGLEFINANCE(B42,""price"",TODAY()-20,TODAY(),""DAILY""),0,2))+(2*STDEV(INDEX(GOOGLEFINANCE(B42,""price"",TODAY()-20,TODAY(),""DAILY""),0,2)))"),573.9934724807117)</f>
        <v>573.9934725</v>
      </c>
      <c r="K42" s="35">
        <f>IFERROR(__xludf.DUMMYFUNCTION("AVERAGE(INDEX(GOOGLEFINANCE(B42,""price"",TODAY()-20,TODAY(),""DAILY""),0,2))-(2*STDEV(INDEX(GOOGLEFINANCE(B42,""price"",TODAY()-20,TODAY(),""DAILY""),0,2)))"),544.012681365442)</f>
        <v>544.0126814</v>
      </c>
      <c r="L42" s="35">
        <v>3334.0</v>
      </c>
      <c r="M42" s="35">
        <f t="shared" si="1"/>
        <v>0.586365242</v>
      </c>
      <c r="N42" s="35">
        <v>5.41</v>
      </c>
      <c r="O42" s="35">
        <f t="shared" si="2"/>
        <v>0.4684888889</v>
      </c>
      <c r="P42" s="35">
        <v>14.75</v>
      </c>
      <c r="Q42" s="35">
        <f t="shared" si="3"/>
        <v>0.4348918083</v>
      </c>
      <c r="R42" s="35" t="str">
        <f>IFERROR(__xludf.DUMMYFUNCTION("IF(B42="""", """", SPARKLINE(INDEX(GOOGLEFINANCE(B42, ""price"", TODAY()-1825, TODAY()), 0, 2)))"),"")</f>
        <v/>
      </c>
      <c r="S42" s="35">
        <f t="shared" si="4"/>
        <v>446.3072641</v>
      </c>
      <c r="T42" s="35">
        <f t="shared" si="5"/>
        <v>542.5654097</v>
      </c>
      <c r="U42" s="34" t="str">
        <f t="shared" si="6"/>
        <v/>
      </c>
      <c r="V42" s="37">
        <f t="shared" si="7"/>
        <v>0.0547061234</v>
      </c>
      <c r="W42" s="37">
        <f t="shared" si="8"/>
        <v>-0.1333248496</v>
      </c>
      <c r="X42" s="34">
        <f>IFERROR(__xludf.DUMMYFUNCTION("AJ42*GOOGLEFINANCE(""CURRENCY:USD/EUR"")"),470.7230044)</f>
        <v>470.7230044</v>
      </c>
      <c r="Y42" s="35">
        <f>IFERROR(__xludf.DUMMYFUNCTION("AI42*GOOGLEFINANCE(""CURRENCY:USD/EUR"")"),543.1366114155738)</f>
        <v>543.1366114</v>
      </c>
      <c r="Z42" s="38">
        <f t="shared" si="9"/>
        <v>0.1526214028</v>
      </c>
      <c r="AA42" s="38">
        <f t="shared" si="10"/>
        <v>0.158834859</v>
      </c>
      <c r="AB42" s="38">
        <f t="shared" si="11"/>
        <v>0.05548235449</v>
      </c>
      <c r="AC42" s="41">
        <v>594.0</v>
      </c>
      <c r="AD42" s="40">
        <f t="shared" si="12"/>
        <v>0.2791299113</v>
      </c>
      <c r="AE42" s="41">
        <v>638.0</v>
      </c>
      <c r="AF42" s="41">
        <f t="shared" si="13"/>
        <v>0.4749625528</v>
      </c>
      <c r="AG42" s="41">
        <v>675.0</v>
      </c>
      <c r="AH42" s="41">
        <f t="shared" si="14"/>
        <v>0.2459075359</v>
      </c>
      <c r="AI42" s="41">
        <f t="shared" si="15"/>
        <v>634.8168627</v>
      </c>
      <c r="AJ42" s="34">
        <f>IFERROR(__xludf.DUMMYFUNCTION("GOOGLEFINANCE(B42,""price"")"),550.18)</f>
        <v>550.18</v>
      </c>
      <c r="AK42" s="37">
        <f t="shared" ref="AK42:AK43" si="76">AP42+BN42</f>
        <v>0.1259310168</v>
      </c>
      <c r="AL42" s="34">
        <v>566.33</v>
      </c>
      <c r="AM42" s="34">
        <f t="shared" si="16"/>
        <v>527.3210046</v>
      </c>
      <c r="AN42" s="34">
        <f t="shared" si="17"/>
        <v>527.6480159</v>
      </c>
      <c r="AO42" s="38">
        <f>IFERROR(__xludf.DUMMYFUNCTION("(GOOGLEFINANCE(B42, ""price"") - INDEX(GOOGLEFINANCE(B42, ""price"", DATE(2025,5,8)), 2, 2)) / INDEX(GOOGLEFINANCE(B42, ""price"", DATE(2025,5,8)), 2, 2)"),-0.029870221469883013)</f>
        <v>-0.02987022147</v>
      </c>
      <c r="AP42" s="37">
        <f t="shared" si="18"/>
        <v>0.1209310168</v>
      </c>
      <c r="AQ42" s="37">
        <f t="shared" si="19"/>
        <v>-0.02851694242</v>
      </c>
      <c r="AR42" s="37">
        <f t="shared" si="20"/>
        <v>0.1494479592</v>
      </c>
      <c r="AS42" s="34">
        <f>IFERROR(__xludf.DUMMYFUNCTION("IF(X42&lt;K42,1,IF(X42&gt;J42,-1,0)) + IF(X42&lt;F42,1,IF(X42&gt;G42,-1,0)) + IF(X42&lt;I42,1,IF(X42&gt;I42,-1,0)) + IF(X42&lt;H42,1,IF(X42&gt;H42,-1,0))"),1.0)</f>
        <v>1</v>
      </c>
      <c r="AT42" s="34" t="str">
        <f t="shared" si="21"/>
        <v>recompra</v>
      </c>
      <c r="AU42" s="35" t="str">
        <f t="shared" si="22"/>
        <v>hold</v>
      </c>
      <c r="AV42" s="35" t="str">
        <f t="shared" si="23"/>
        <v>hold</v>
      </c>
      <c r="AW42" s="38">
        <f t="shared" si="24"/>
        <v>0.153834859</v>
      </c>
      <c r="AX42" s="38">
        <f t="shared" si="25"/>
        <v>0.1989108863</v>
      </c>
      <c r="AY42" s="38">
        <f t="shared" si="26"/>
        <v>0.1964895016</v>
      </c>
      <c r="AZ42" s="42">
        <f t="shared" si="27"/>
        <v>0.1830018689</v>
      </c>
      <c r="BA42" s="38">
        <f t="shared" si="28"/>
        <v>0.492463256</v>
      </c>
      <c r="BB42" s="38">
        <f t="shared" si="29"/>
        <v>0.507536744</v>
      </c>
      <c r="BC42" s="38">
        <f t="shared" si="30"/>
        <v>0.1202363167</v>
      </c>
      <c r="BD42" s="38">
        <f t="shared" si="31"/>
        <v>0.4424081484</v>
      </c>
      <c r="BE42" s="38">
        <f t="shared" si="32"/>
        <v>0.5575918516</v>
      </c>
      <c r="BF42" s="38">
        <f t="shared" si="33"/>
        <v>0.1971189402</v>
      </c>
      <c r="BG42" s="37">
        <f t="shared" si="34"/>
        <v>0.2073261094</v>
      </c>
      <c r="BH42" s="43">
        <f t="shared" si="35"/>
        <v>0.2019078055</v>
      </c>
      <c r="BI42" s="44">
        <f t="shared" si="36"/>
        <v>0.4359521571</v>
      </c>
      <c r="BJ42" s="38">
        <f t="shared" si="37"/>
        <v>0.3173552569</v>
      </c>
      <c r="BK42" s="43">
        <f t="shared" si="38"/>
        <v>0.4853114776</v>
      </c>
      <c r="BL42" s="59">
        <v>514.25</v>
      </c>
      <c r="BM42" s="46">
        <f t="shared" si="39"/>
        <v>0.1626102661</v>
      </c>
      <c r="BN42" s="38">
        <v>0.005</v>
      </c>
      <c r="BO42" s="59">
        <v>29.07</v>
      </c>
      <c r="BP42" s="47">
        <f t="shared" si="40"/>
        <v>0.04260349816</v>
      </c>
      <c r="BQ42" s="59">
        <v>14.26</v>
      </c>
      <c r="BR42" s="47">
        <f t="shared" si="41"/>
        <v>0.4025772051</v>
      </c>
      <c r="BS42" s="60">
        <v>0.586</v>
      </c>
      <c r="BT42" s="47">
        <f t="shared" si="71"/>
        <v>0.9238005644</v>
      </c>
      <c r="BU42" s="59">
        <v>2.8</v>
      </c>
      <c r="BV42" s="47">
        <f t="shared" si="72"/>
        <v>0.8613861386</v>
      </c>
      <c r="BW42" s="48">
        <f t="shared" si="44"/>
        <v>1.097337278</v>
      </c>
      <c r="BX42" s="49">
        <f t="shared" si="45"/>
        <v>0.6699965086</v>
      </c>
      <c r="BY42" s="47">
        <f t="shared" si="46"/>
        <v>0.5575918516</v>
      </c>
      <c r="BZ42" s="60">
        <v>0.131</v>
      </c>
      <c r="CA42" s="50">
        <f t="shared" si="47"/>
        <v>0.1679012346</v>
      </c>
      <c r="CB42" s="60">
        <v>0.141</v>
      </c>
      <c r="CC42" s="50">
        <f t="shared" si="73"/>
        <v>0.2235150031</v>
      </c>
      <c r="CD42" s="60">
        <v>0.133</v>
      </c>
      <c r="CE42" s="50">
        <f t="shared" si="49"/>
        <v>0.6878609507</v>
      </c>
      <c r="CF42" s="50">
        <f t="shared" si="50"/>
        <v>0.3597590628</v>
      </c>
      <c r="CG42" s="60">
        <v>0.128</v>
      </c>
      <c r="CH42" s="51">
        <f t="shared" si="51"/>
        <v>0.2071213641</v>
      </c>
      <c r="CI42" s="60">
        <v>0.113</v>
      </c>
      <c r="CJ42" s="51">
        <f t="shared" si="52"/>
        <v>0.1770700637</v>
      </c>
      <c r="CK42" s="60">
        <v>0.12</v>
      </c>
      <c r="CL42" s="51">
        <f t="shared" si="74"/>
        <v>0.3421487603</v>
      </c>
      <c r="CM42" s="60">
        <v>1.587</v>
      </c>
      <c r="CN42" s="51">
        <f t="shared" si="54"/>
        <v>0.8925537231</v>
      </c>
      <c r="CO42" s="60">
        <v>0.562</v>
      </c>
      <c r="CP42" s="51">
        <f t="shared" si="75"/>
        <v>0.9187898089</v>
      </c>
      <c r="CQ42" s="51">
        <f t="shared" si="56"/>
        <v>0.507536744</v>
      </c>
      <c r="CR42" s="52">
        <f t="shared" si="57"/>
        <v>0.4749625528</v>
      </c>
      <c r="CS42" s="53">
        <f t="shared" si="68"/>
        <v>0.5190277953</v>
      </c>
      <c r="CT42" s="54">
        <f t="shared" si="59"/>
        <v>0.3493084253</v>
      </c>
      <c r="CU42" s="55">
        <f t="shared" si="60"/>
        <v>0.0660650619</v>
      </c>
      <c r="CV42" s="34">
        <f t="shared" si="61"/>
        <v>1.849746044</v>
      </c>
      <c r="CW42" s="34">
        <f t="shared" si="62"/>
        <v>0.6999177875</v>
      </c>
      <c r="CX42" s="35">
        <f t="shared" si="63"/>
        <v>0.4516903486</v>
      </c>
      <c r="CY42" s="38">
        <f>IFERROR(__xludf.DUMMYFUNCTION("(GOOGLEFINANCE(B42,""price"")/INDEX(GOOGLEFINANCE(B42,""price"",TODAY()-30),2,2))-1"),-0.03251446357289822)</f>
        <v>-0.03251446357</v>
      </c>
      <c r="CZ42" s="38">
        <f>IFERROR(__xludf.DUMMYFUNCTION("(GOOGLEFINANCE($B42,""price"")/INDEX(GOOGLEFINANCE($B42,""price"",TODAY()-180),2,2))-1"),0.05327845314444324)</f>
        <v>0.05327845314</v>
      </c>
      <c r="DA42" s="38">
        <f>IFERROR(__xludf.DUMMYFUNCTION("(GOOGLEFINANCE($B42,""price"")/INDEX(GOOGLEFINANCE($B42,""price"",TODAY()-365),2,2))-1"),0.23914414414414398)</f>
        <v>0.2391441441</v>
      </c>
      <c r="DB42" s="38">
        <f>IFERROR(__xludf.DUMMYFUNCTION("(GOOGLEFINANCE($B42,""price"")/INDEX(GOOGLEFINANCE($B42,""price"",TODAY()-365*5),2,2))-1"),0.7996205678398531)</f>
        <v>0.7996205678</v>
      </c>
      <c r="DC42" s="38">
        <f>IFERROR(__xludf.DUMMYFUNCTION("(INDEX(GOOGLEFINANCE(B42, ""price"", TODAY()-30, TODAY()), ROWS(GOOGLEFINANCE(B42, ""price"", TODAY()-30, TODAY())), 2) / INDEX(GOOGLEFINANCE(B42, ""price"", TODAY()-30, TODAY()), 2, 2)) - 1"),-0.03251446357289822)</f>
        <v>-0.03251446357</v>
      </c>
      <c r="DD42" s="38">
        <f>IFERROR(__xludf.DUMMYFUNCTION("(INDEX(GOOGLEFINANCE(B42, ""price"", TODAY()-7, TODAY()), ROWS(GOOGLEFINANCE(B42, ""price"", TODAY()-7, TODAY())), 2) / INDEX(GOOGLEFINANCE(B42, ""price"", TODAY()-7, TODAY()), 2, 2)) - 1"),-0.026436862967157526)</f>
        <v>-0.02643686297</v>
      </c>
    </row>
    <row r="43">
      <c r="A43" s="34" t="str">
        <f>IFERROR(__xludf.DUMMYFUNCTION("GOOGLEFINANCE(B43,""name"")"),"Meta Platforms Inc")</f>
        <v>Meta Platforms Inc</v>
      </c>
      <c r="B43" s="35" t="s">
        <v>149</v>
      </c>
      <c r="C43" s="35" t="s">
        <v>90</v>
      </c>
      <c r="D43" s="35" t="s">
        <v>91</v>
      </c>
      <c r="E43" s="56">
        <v>2.0</v>
      </c>
      <c r="F43" s="35">
        <f>IFERROR(__xludf.DUMMYFUNCTION("IFERROR(MIN(INDEX(GOOGLEFINANCE(B43,""close"",TODAY()-100,TODAY()),0,2)) * GOOGLEFINANCE(""CURRENCY:USDEUR""),""Error en datos"")"),414.66540280000004)</f>
        <v>414.6654028</v>
      </c>
      <c r="G43" s="35">
        <f>IFERROR(__xludf.DUMMYFUNCTION("IFERROR(MAX(INDEX(GOOGLEFINANCE(B43,""close"",TODAY()-100,TODAY()),0,2)) * GOOGLEFINANCE(""CURRENCY:USDEUR""),""Error en datos"")"),631.4950422000001)</f>
        <v>631.4950422</v>
      </c>
      <c r="H43" s="35">
        <f>IFERROR(__xludf.DUMMYFUNCTION("IFERROR(AVERAGE(INDEX(GOOGLEFINANCE(B43,""close"",TODAY()-20,TODAY()),0,2)) * GOOGLEFINANCE(""CURRENCY:USDEUR""),""Error en datos"")"),617.7972064)</f>
        <v>617.7972064</v>
      </c>
      <c r="I43" s="35">
        <f>IFERROR(__xludf.DUMMYFUNCTION("IFERROR(PERCENTILE(INDEX(GOOGLEFINANCE(B43,""close"",TODAY()-365,TODAY()),0,2),0.05) * GOOGLEFINANCE(""CURRENCY:USDEUR""),""Error en datos"")"),417.8310488)</f>
        <v>417.8310488</v>
      </c>
      <c r="J43" s="35">
        <f>IFERROR(__xludf.DUMMYFUNCTION("AVERAGE(INDEX(GOOGLEFINANCE(B43,""price"",TODAY()-20,TODAY(),""DAILY""),0,2))+(2*STDEV(INDEX(GOOGLEFINANCE(B43,""price"",TODAY()-20,TODAY(),""DAILY""),0,2)))"),739.8835876534291)</f>
        <v>739.8835877</v>
      </c>
      <c r="K43" s="35">
        <f>IFERROR(__xludf.DUMMYFUNCTION("AVERAGE(INDEX(GOOGLEFINANCE(B43,""price"",TODAY()-20,TODAY(),""DAILY""),0,2))-(2*STDEV(INDEX(GOOGLEFINANCE(B43,""price"",TODAY()-20,TODAY(),""DAILY""),0,2)))"),704.276412346571)</f>
        <v>704.2764123</v>
      </c>
      <c r="L43" s="35">
        <v>4507.0</v>
      </c>
      <c r="M43" s="35">
        <f t="shared" si="1"/>
        <v>0.7935358531</v>
      </c>
      <c r="N43" s="35">
        <v>-5.33</v>
      </c>
      <c r="O43" s="35">
        <f t="shared" si="2"/>
        <v>0.4207555556</v>
      </c>
      <c r="P43" s="35">
        <v>2.82</v>
      </c>
      <c r="Q43" s="35">
        <f t="shared" si="3"/>
        <v>0.2044049459</v>
      </c>
      <c r="R43" s="35" t="str">
        <f>IFERROR(__xludf.DUMMYFUNCTION("IF(B43="""", """", SPARKLINE(INDEX(GOOGLEFINANCE(B43, ""price"", TODAY()-1825, TODAY()), 0, 2)))"),"")</f>
        <v/>
      </c>
      <c r="S43" s="35">
        <f t="shared" si="4"/>
        <v>512.2576213</v>
      </c>
      <c r="T43" s="35">
        <f t="shared" si="5"/>
        <v>654.9663668</v>
      </c>
      <c r="U43" s="34" t="str">
        <f t="shared" si="6"/>
        <v/>
      </c>
      <c r="V43" s="37">
        <f t="shared" si="7"/>
        <v>0.1983954562</v>
      </c>
      <c r="W43" s="37">
        <f t="shared" si="8"/>
        <v>-0.05384309314</v>
      </c>
      <c r="X43" s="34">
        <f>IFERROR(__xludf.DUMMYFUNCTION("AJ43*GOOGLEFINANCE(""CURRENCY:USD/EUR"")"),613.8872058)</f>
        <v>613.8872058</v>
      </c>
      <c r="Y43" s="35">
        <f>IFERROR(__xludf.DUMMYFUNCTION("AI43*GOOGLEFINANCE(""CURRENCY:USD/EUR"")"),648.8217771770408)</f>
        <v>648.8217772</v>
      </c>
      <c r="Z43" s="38">
        <f t="shared" si="9"/>
        <v>0.06691646383</v>
      </c>
      <c r="AA43" s="38">
        <f t="shared" si="10"/>
        <v>0.06090715012</v>
      </c>
      <c r="AB43" s="38">
        <f t="shared" si="11"/>
        <v>0.02297707119</v>
      </c>
      <c r="AC43" s="41">
        <v>525.0</v>
      </c>
      <c r="AD43" s="40">
        <f t="shared" si="12"/>
        <v>0.1751416182</v>
      </c>
      <c r="AE43" s="41">
        <v>731.0</v>
      </c>
      <c r="AF43" s="41">
        <f t="shared" si="13"/>
        <v>0.4857106672</v>
      </c>
      <c r="AG43" s="41">
        <v>918.0</v>
      </c>
      <c r="AH43" s="41">
        <f t="shared" si="14"/>
        <v>0.3391477146</v>
      </c>
      <c r="AI43" s="41">
        <f t="shared" si="15"/>
        <v>758.3414493</v>
      </c>
      <c r="AJ43" s="34">
        <f>IFERROR(__xludf.DUMMYFUNCTION("GOOGLEFINANCE(B43,""price"")"),717.51)</f>
        <v>717.51</v>
      </c>
      <c r="AK43" s="37">
        <f t="shared" si="76"/>
        <v>0.2746580809</v>
      </c>
      <c r="AL43" s="34">
        <v>596.81</v>
      </c>
      <c r="AM43" s="34">
        <f t="shared" si="16"/>
        <v>518.7279672</v>
      </c>
      <c r="AN43" s="34">
        <f t="shared" si="17"/>
        <v>780.0407388</v>
      </c>
      <c r="AO43" s="38">
        <f>IFERROR(__xludf.DUMMYFUNCTION("(GOOGLEFINANCE(B43, ""price"") - INDEX(GOOGLEFINANCE(B43, ""price"", DATE(2025,5,8)), 2, 2)) / INDEX(GOOGLEFINANCE(B43, ""price"", DATE(2025,5,8)), 2, 2)"),0.19982943429039648)</f>
        <v>0.1998294343</v>
      </c>
      <c r="AP43" s="37">
        <f t="shared" si="18"/>
        <v>0.2706580809</v>
      </c>
      <c r="AQ43" s="37">
        <f t="shared" si="19"/>
        <v>0.2022419195</v>
      </c>
      <c r="AR43" s="37">
        <f t="shared" si="20"/>
        <v>0.0684161614</v>
      </c>
      <c r="AS43" s="34">
        <f>IFERROR(__xludf.DUMMYFUNCTION("IF(X43&lt;K43,1,IF(X43&gt;J43,-1,0)) + IF(X43&lt;F43,1,IF(X43&gt;G43,-1,0)) + IF(X43&lt;I43,1,IF(X43&gt;I43,-1,0)) + IF(X43&lt;H43,1,IF(X43&gt;H43,-1,0))"),1.0)</f>
        <v>1</v>
      </c>
      <c r="AT43" s="34" t="str">
        <f t="shared" si="21"/>
        <v>Hold</v>
      </c>
      <c r="AU43" s="35" t="str">
        <f t="shared" si="22"/>
        <v>hold</v>
      </c>
      <c r="AV43" s="35" t="str">
        <f t="shared" si="23"/>
        <v>hold</v>
      </c>
      <c r="AW43" s="38">
        <f t="shared" si="24"/>
        <v>0.05690715012</v>
      </c>
      <c r="AX43" s="38">
        <f t="shared" si="25"/>
        <v>0.2323241358</v>
      </c>
      <c r="AY43" s="38">
        <f t="shared" si="26"/>
        <v>0.2515166999</v>
      </c>
      <c r="AZ43" s="42">
        <f t="shared" si="27"/>
        <v>0.1663821126</v>
      </c>
      <c r="BA43" s="38">
        <f t="shared" si="28"/>
        <v>0.6053976033</v>
      </c>
      <c r="BB43" s="38">
        <f t="shared" si="29"/>
        <v>0.3946023967</v>
      </c>
      <c r="BC43" s="38">
        <f t="shared" si="30"/>
        <v>-0.1550109494</v>
      </c>
      <c r="BD43" s="38">
        <f t="shared" si="31"/>
        <v>0.3352332714</v>
      </c>
      <c r="BE43" s="38">
        <f t="shared" si="32"/>
        <v>0.6647667286</v>
      </c>
      <c r="BF43" s="38">
        <f t="shared" si="33"/>
        <v>0.1920549933</v>
      </c>
      <c r="BG43" s="37">
        <f t="shared" si="34"/>
        <v>0.3142422032</v>
      </c>
      <c r="BH43" s="43">
        <f t="shared" si="35"/>
        <v>0.2828794515</v>
      </c>
      <c r="BI43" s="44">
        <f t="shared" si="36"/>
        <v>0.4538005493</v>
      </c>
      <c r="BJ43" s="38">
        <f t="shared" si="37"/>
        <v>0.03704404396</v>
      </c>
      <c r="BK43" s="43">
        <f t="shared" si="38"/>
        <v>0.5657733812</v>
      </c>
      <c r="BL43" s="35">
        <v>1500.58</v>
      </c>
      <c r="BM43" s="46">
        <f t="shared" si="39"/>
        <v>0.4745751454</v>
      </c>
      <c r="BN43" s="38">
        <v>0.004</v>
      </c>
      <c r="BO43" s="35">
        <v>170.36</v>
      </c>
      <c r="BP43" s="47">
        <f t="shared" si="40"/>
        <v>0.2500991291</v>
      </c>
      <c r="BQ43" s="35">
        <v>25.59</v>
      </c>
      <c r="BR43" s="47">
        <f t="shared" si="41"/>
        <v>0.6542990447</v>
      </c>
      <c r="BS43" s="38">
        <v>0.422</v>
      </c>
      <c r="BT43" s="47">
        <f t="shared" si="71"/>
        <v>0.7695202258</v>
      </c>
      <c r="BU43" s="35">
        <v>0.3</v>
      </c>
      <c r="BV43" s="47">
        <f t="shared" si="72"/>
        <v>0.9851485149</v>
      </c>
      <c r="BW43" s="48">
        <f t="shared" si="44"/>
        <v>0.9665566036</v>
      </c>
      <c r="BX43" s="49">
        <f t="shared" si="45"/>
        <v>0.6247216471</v>
      </c>
      <c r="BY43" s="47">
        <f t="shared" si="46"/>
        <v>0.6647667286</v>
      </c>
      <c r="BZ43" s="38">
        <v>0.194</v>
      </c>
      <c r="CA43" s="50">
        <f t="shared" si="47"/>
        <v>0.2197530864</v>
      </c>
      <c r="CB43" s="38">
        <v>0.313</v>
      </c>
      <c r="CC43" s="50">
        <f t="shared" si="73"/>
        <v>0.276178812</v>
      </c>
      <c r="CD43" s="38">
        <v>0.475</v>
      </c>
      <c r="CE43" s="50">
        <f t="shared" si="49"/>
        <v>0.6973567303</v>
      </c>
      <c r="CF43" s="50">
        <f t="shared" si="50"/>
        <v>0.3977628763</v>
      </c>
      <c r="CG43" s="38">
        <v>0.286</v>
      </c>
      <c r="CH43" s="51">
        <f t="shared" si="51"/>
        <v>0.2863590772</v>
      </c>
      <c r="CI43" s="38">
        <v>0.184</v>
      </c>
      <c r="CJ43" s="51">
        <f t="shared" si="52"/>
        <v>0.2675159236</v>
      </c>
      <c r="CK43" s="38">
        <v>0.206</v>
      </c>
      <c r="CL43" s="51">
        <f t="shared" si="74"/>
        <v>0.4132231405</v>
      </c>
      <c r="CM43" s="38">
        <v>0.286</v>
      </c>
      <c r="CN43" s="51">
        <f t="shared" si="54"/>
        <v>0.2423788106</v>
      </c>
      <c r="CO43" s="38">
        <v>0.367</v>
      </c>
      <c r="CP43" s="51">
        <f t="shared" si="75"/>
        <v>0.7635350318</v>
      </c>
      <c r="CQ43" s="51">
        <f t="shared" si="56"/>
        <v>0.3946023967</v>
      </c>
      <c r="CR43" s="52">
        <f t="shared" si="57"/>
        <v>0.4857106672</v>
      </c>
      <c r="CS43" s="53">
        <f t="shared" si="68"/>
        <v>0.5530580519</v>
      </c>
      <c r="CT43" s="54">
        <f t="shared" si="59"/>
        <v>0.3772475176</v>
      </c>
      <c r="CU43" s="55">
        <f t="shared" si="60"/>
        <v>0.1456177331</v>
      </c>
      <c r="CV43" s="34">
        <f t="shared" si="61"/>
        <v>1.761014372</v>
      </c>
      <c r="CW43" s="34">
        <f t="shared" si="62"/>
        <v>0.6831089267</v>
      </c>
      <c r="CX43" s="35">
        <f t="shared" si="63"/>
        <v>0.3125802507</v>
      </c>
      <c r="CY43" s="38">
        <f>IFERROR(__xludf.DUMMYFUNCTION("(GOOGLEFINANCE(B43,""price"")/INDEX(GOOGLEFINANCE(B43,""price"",TODAY()-30),2,2))-1"),0.021919330029054773)</f>
        <v>0.02191933003</v>
      </c>
      <c r="CZ43" s="38">
        <f>IFERROR(__xludf.DUMMYFUNCTION("(GOOGLEFINANCE($B43,""price"")/INDEX(GOOGLEFINANCE($B43,""price"",TODAY()-180),2,2))-1"),0.1626750064817215)</f>
        <v>0.1626750065</v>
      </c>
      <c r="DA43" s="38">
        <f>IFERROR(__xludf.DUMMYFUNCTION("(GOOGLEFINANCE($B43,""price"")/INDEX(GOOGLEFINANCE($B43,""price"",TODAY()-365),2,2))-1"),0.44612624959690406)</f>
        <v>0.4461262496</v>
      </c>
      <c r="DB43" s="38">
        <f>IFERROR(__xludf.DUMMYFUNCTION("(GOOGLEFINANCE($B43,""price"")/INDEX(GOOGLEFINANCE($B43,""price"",TODAY()-365*5),2,2))-1"),1.9861411686365904)</f>
        <v>1.986141169</v>
      </c>
      <c r="DC43" s="38">
        <f>IFERROR(__xludf.DUMMYFUNCTION("(INDEX(GOOGLEFINANCE(B43, ""price"", TODAY()-30, TODAY()), ROWS(GOOGLEFINANCE(B43, ""price"", TODAY()-30, TODAY())), 2) / INDEX(GOOGLEFINANCE(B43, ""price"", TODAY()-30, TODAY()), 2, 2)) - 1"),0.021919330029054773)</f>
        <v>0.02191933003</v>
      </c>
      <c r="DD43" s="38">
        <f>IFERROR(__xludf.DUMMYFUNCTION("(INDEX(GOOGLEFINANCE(B43, ""price"", TODAY()-7, TODAY()), ROWS(GOOGLEFINANCE(B43, ""price"", TODAY()-7, TODAY())), 2) / INDEX(GOOGLEFINANCE(B43, ""price"", TODAY()-7, TODAY()), 2, 2)) - 1"),-0.0011693464188766711)</f>
        <v>-0.001169346419</v>
      </c>
    </row>
    <row r="44">
      <c r="A44" s="34" t="str">
        <f>IFERROR(__xludf.DUMMYFUNCTION("GOOGLEFINANCE(B44,""name"")"),"Martin Marietta Materials Inc")</f>
        <v>Martin Marietta Materials Inc</v>
      </c>
      <c r="B44" s="35" t="s">
        <v>150</v>
      </c>
      <c r="C44" s="35" t="s">
        <v>109</v>
      </c>
      <c r="D44" s="35" t="s">
        <v>105</v>
      </c>
      <c r="E44" s="62">
        <v>5.0</v>
      </c>
      <c r="F44" s="35">
        <f>IFERROR(__xludf.DUMMYFUNCTION("IFERROR(MIN(INDEX(GOOGLEFINANCE(B44,""close"",TODAY()-100,TODAY()),0,2)) * GOOGLEFINANCE(""CURRENCY:USDEUR""),""Error en datos"")"),387.1585058)</f>
        <v>387.1585058</v>
      </c>
      <c r="G44" s="35">
        <f>IFERROR(__xludf.DUMMYFUNCTION("IFERROR(MAX(INDEX(GOOGLEFINANCE(B44,""close"",TODAY()-100,TODAY()),0,2)) * GOOGLEFINANCE(""CURRENCY:USDEUR""),""Error en datos"")"),486.13200020000005)</f>
        <v>486.1320002</v>
      </c>
      <c r="H44" s="35">
        <f>IFERROR(__xludf.DUMMYFUNCTION("IFERROR(AVERAGE(INDEX(GOOGLEFINANCE(B44,""close"",TODAY()-20,TODAY()),0,2)) * GOOGLEFINANCE(""CURRENCY:USDEUR""),""Error en datos"")"),474.4836075692308)</f>
        <v>474.4836076</v>
      </c>
      <c r="I44" s="35">
        <f>IFERROR(__xludf.DUMMYFUNCTION("IFERROR(PERCENTILE(INDEX(GOOGLEFINANCE(B44,""close"",TODAY()-365,TODAY()),0,2),0.05) * GOOGLEFINANCE(""CURRENCY:USDEUR""),""Error en datos"")"),408.28106484)</f>
        <v>408.2810648</v>
      </c>
      <c r="J44" s="35">
        <f>IFERROR(__xludf.DUMMYFUNCTION("AVERAGE(INDEX(GOOGLEFINANCE(B44,""price"",TODAY()-20,TODAY(),""DAILY""),0,2))+(2*STDEV(INDEX(GOOGLEFINANCE(B44,""price"",TODAY()-20,TODAY(),""DAILY""),0,2)))"),573.0468899057585)</f>
        <v>573.0468899</v>
      </c>
      <c r="K44" s="35">
        <f>IFERROR(__xludf.DUMMYFUNCTION("AVERAGE(INDEX(GOOGLEFINANCE(B44,""price"",TODAY()-20,TODAY(),""DAILY""),0,2))-(2*STDEV(INDEX(GOOGLEFINANCE(B44,""price"",TODAY()-20,TODAY(),""DAILY""),0,2)))"),536.1038793250109)</f>
        <v>536.1038793</v>
      </c>
      <c r="L44" s="35">
        <v>970.0</v>
      </c>
      <c r="M44" s="35">
        <f t="shared" si="1"/>
        <v>0.1688449311</v>
      </c>
      <c r="N44" s="35">
        <v>125.0</v>
      </c>
      <c r="O44" s="35">
        <f t="shared" si="2"/>
        <v>1</v>
      </c>
      <c r="P44" s="35">
        <v>-0.68</v>
      </c>
      <c r="Q44" s="35">
        <f t="shared" si="3"/>
        <v>0.1367851623</v>
      </c>
      <c r="R44" s="35" t="str">
        <f>IFERROR(__xludf.DUMMYFUNCTION("IF(B44="""", """", SPARKLINE(INDEX(GOOGLEFINANCE(B44, ""price"", TODAY()-1825, TODAY()), 0, 2)))"),"")</f>
        <v/>
      </c>
      <c r="S44" s="35">
        <f t="shared" si="4"/>
        <v>443.8478167</v>
      </c>
      <c r="T44" s="35">
        <f t="shared" si="5"/>
        <v>509.7592579</v>
      </c>
      <c r="U44" s="34" t="str">
        <f t="shared" si="6"/>
        <v/>
      </c>
      <c r="V44" s="37">
        <f t="shared" si="7"/>
        <v>0.08333519273</v>
      </c>
      <c r="W44" s="37">
        <f t="shared" si="8"/>
        <v>-0.04934281331</v>
      </c>
      <c r="X44" s="34">
        <f>IFERROR(__xludf.DUMMYFUNCTION("AJ44*GOOGLEFINANCE(""CURRENCY:USD/EUR"")"),480.83596)</f>
        <v>480.83596</v>
      </c>
      <c r="Y44" s="35">
        <f>IFERROR(__xludf.DUMMYFUNCTION("AI44*GOOGLEFINANCE(""CURRENCY:USD/EUR"")"),505.7932204524719)</f>
        <v>505.7932205</v>
      </c>
      <c r="Z44" s="38">
        <f t="shared" si="9"/>
        <v>0.06015211068</v>
      </c>
      <c r="AA44" s="38">
        <f t="shared" si="10"/>
        <v>0.05790389765</v>
      </c>
      <c r="AB44" s="38">
        <f t="shared" si="11"/>
        <v>0.01776236018</v>
      </c>
      <c r="AC44" s="41">
        <v>515.0</v>
      </c>
      <c r="AD44" s="40">
        <f t="shared" si="12"/>
        <v>0.3300239009</v>
      </c>
      <c r="AE44" s="41">
        <v>606.0</v>
      </c>
      <c r="AF44" s="41">
        <f t="shared" si="13"/>
        <v>0.3244723388</v>
      </c>
      <c r="AG44" s="41">
        <v>650.0</v>
      </c>
      <c r="AH44" s="41">
        <f t="shared" si="14"/>
        <v>0.3455037604</v>
      </c>
      <c r="AI44" s="41">
        <f t="shared" si="15"/>
        <v>591.1699905</v>
      </c>
      <c r="AJ44" s="34">
        <f>IFERROR(__xludf.DUMMYFUNCTION("GOOGLEFINANCE(B44,""price"")"),562.0)</f>
        <v>562</v>
      </c>
      <c r="AK44" s="37">
        <f t="shared" ref="AK44:AK45" si="77">AR44+BN44</f>
        <v>0.0605784352</v>
      </c>
      <c r="AL44" s="34">
        <v>534.46</v>
      </c>
      <c r="AM44" s="34">
        <f t="shared" si="16"/>
        <v>461.3829914</v>
      </c>
      <c r="AN44" s="34">
        <f t="shared" si="17"/>
        <v>531.8560601</v>
      </c>
      <c r="AO44" s="38">
        <f>IFERROR(__xludf.DUMMYFUNCTION("(GOOGLEFINANCE(B44, ""price"") - INDEX(GOOGLEFINANCE(B44, ""price"", DATE(2025,5,8)), 2, 2)) / INDEX(GOOGLEFINANCE(B44, ""price"", DATE(2025,5,8)), 2, 2)"),0.03774281704704937)</f>
        <v>0.03774281705</v>
      </c>
      <c r="AP44" s="37">
        <f t="shared" si="18"/>
        <v>0.1061070809</v>
      </c>
      <c r="AQ44" s="37">
        <f t="shared" si="19"/>
        <v>0.05152864574</v>
      </c>
      <c r="AR44" s="37">
        <f t="shared" si="20"/>
        <v>0.0545784352</v>
      </c>
      <c r="AS44" s="34">
        <f>IFERROR(__xludf.DUMMYFUNCTION("IF(X44&lt;K44,1,IF(X44&gt;J44,-1,0)) + IF(X44&lt;F44,1,IF(X44&gt;G44,-1,0)) + IF(X44&lt;I44,1,IF(X44&gt;I44,-1,0)) + IF(X44&lt;H44,1,IF(X44&gt;H44,-1,0))"),-1.0)</f>
        <v>-1</v>
      </c>
      <c r="AT44" s="34" t="str">
        <f t="shared" si="21"/>
        <v>Hold</v>
      </c>
      <c r="AU44" s="35" t="str">
        <f t="shared" si="22"/>
        <v>hold</v>
      </c>
      <c r="AV44" s="35" t="str">
        <f t="shared" si="23"/>
        <v>hold</v>
      </c>
      <c r="AW44" s="38">
        <f t="shared" si="24"/>
        <v>0.05190389765</v>
      </c>
      <c r="AX44" s="38">
        <f t="shared" si="25"/>
        <v>0.02342977856</v>
      </c>
      <c r="AY44" s="38">
        <f t="shared" si="26"/>
        <v>0.03083004143</v>
      </c>
      <c r="AZ44" s="42">
        <f t="shared" si="27"/>
        <v>0.05073502588</v>
      </c>
      <c r="BA44" s="38">
        <f t="shared" si="28"/>
        <v>0.733369082</v>
      </c>
      <c r="BB44" s="38">
        <f t="shared" si="29"/>
        <v>0.266630918</v>
      </c>
      <c r="BC44" s="38">
        <f t="shared" si="30"/>
        <v>-0.04045655954</v>
      </c>
      <c r="BD44" s="38">
        <f t="shared" si="31"/>
        <v>0.5354368979</v>
      </c>
      <c r="BE44" s="38">
        <f t="shared" si="32"/>
        <v>0.4645631021</v>
      </c>
      <c r="BF44" s="38">
        <f t="shared" si="33"/>
        <v>0.1146633034</v>
      </c>
      <c r="BG44" s="37">
        <f t="shared" si="34"/>
        <v>0.06436667984</v>
      </c>
      <c r="BH44" s="43">
        <f t="shared" si="35"/>
        <v>0.04759836063</v>
      </c>
      <c r="BI44" s="44">
        <f t="shared" si="36"/>
        <v>0.3350891216</v>
      </c>
      <c r="BJ44" s="38">
        <f t="shared" si="37"/>
        <v>0.07420674383</v>
      </c>
      <c r="BK44" s="43">
        <f t="shared" si="38"/>
        <v>0.02987806087</v>
      </c>
      <c r="BL44" s="47">
        <v>31.52</v>
      </c>
      <c r="BM44" s="46">
        <f t="shared" si="39"/>
        <v>0.009928297387</v>
      </c>
      <c r="BN44" s="38">
        <v>0.006</v>
      </c>
      <c r="BO44" s="47">
        <v>6.64</v>
      </c>
      <c r="BP44" s="58">
        <f t="shared" si="40"/>
        <v>0.009663254666</v>
      </c>
      <c r="BQ44" s="47">
        <v>17.38</v>
      </c>
      <c r="BR44" s="47">
        <f t="shared" si="41"/>
        <v>0.4718951344</v>
      </c>
      <c r="BS44" s="47">
        <v>0.036</v>
      </c>
      <c r="BT44" s="47">
        <f t="shared" si="71"/>
        <v>0.4063969897</v>
      </c>
      <c r="BU44" s="47">
        <v>0.6</v>
      </c>
      <c r="BV44" s="47">
        <f t="shared" si="72"/>
        <v>0.9702970297</v>
      </c>
      <c r="BW44" s="48">
        <f t="shared" si="44"/>
        <v>1.230220735</v>
      </c>
      <c r="BX44" s="49">
        <f t="shared" si="45"/>
        <v>0.6225798826</v>
      </c>
      <c r="BY44" s="47">
        <f t="shared" si="46"/>
        <v>0.4645631021</v>
      </c>
      <c r="BZ44" s="50">
        <v>-0.005</v>
      </c>
      <c r="CA44" s="50">
        <f t="shared" si="47"/>
        <v>0.05596707819</v>
      </c>
      <c r="CB44" s="50">
        <v>-0.589</v>
      </c>
      <c r="CC44" s="50">
        <f t="shared" si="73"/>
        <v>0</v>
      </c>
      <c r="CD44" s="50">
        <v>-0.485</v>
      </c>
      <c r="CE44" s="50">
        <f t="shared" si="49"/>
        <v>0.6707019103</v>
      </c>
      <c r="CF44" s="50">
        <f t="shared" si="50"/>
        <v>0.2422229962</v>
      </c>
      <c r="CG44" s="51">
        <v>0.129</v>
      </c>
      <c r="CH44" s="51">
        <f t="shared" si="51"/>
        <v>0.2076228686</v>
      </c>
      <c r="CI44" s="51">
        <v>0.084</v>
      </c>
      <c r="CJ44" s="51">
        <f t="shared" si="52"/>
        <v>0.1401273885</v>
      </c>
      <c r="CK44" s="51">
        <v>-0.078</v>
      </c>
      <c r="CL44" s="51">
        <f t="shared" si="74"/>
        <v>0.1785123967</v>
      </c>
      <c r="CM44" s="51">
        <v>0.157</v>
      </c>
      <c r="CN44" s="51">
        <f t="shared" si="54"/>
        <v>0.1779110445</v>
      </c>
      <c r="CO44" s="51">
        <v>0.198</v>
      </c>
      <c r="CP44" s="51">
        <f t="shared" si="75"/>
        <v>0.6289808917</v>
      </c>
      <c r="CQ44" s="51">
        <f t="shared" si="56"/>
        <v>0.266630918</v>
      </c>
      <c r="CR44" s="52">
        <f t="shared" si="57"/>
        <v>0.3244723388</v>
      </c>
      <c r="CS44" s="53">
        <f t="shared" si="68"/>
        <v>0.3686187561</v>
      </c>
      <c r="CT44" s="54">
        <f t="shared" si="59"/>
        <v>0.3067558644</v>
      </c>
      <c r="CU44" s="55">
        <f t="shared" si="60"/>
        <v>0.02325000527</v>
      </c>
      <c r="CV44" s="34">
        <f t="shared" si="61"/>
        <v>1.194432108</v>
      </c>
      <c r="CW44" s="34">
        <f t="shared" si="62"/>
        <v>0.4608441964</v>
      </c>
      <c r="CX44" s="35">
        <f t="shared" si="63"/>
        <v>0.5683925811</v>
      </c>
      <c r="CY44" s="38">
        <f>IFERROR(__xludf.DUMMYFUNCTION("(GOOGLEFINANCE(B44,""price"")/INDEX(GOOGLEFINANCE(B44,""price"",TODAY()-30),2,2))-1"),0.035391219440299215)</f>
        <v>0.03539121944</v>
      </c>
      <c r="CZ44" s="38">
        <f>IFERROR(__xludf.DUMMYFUNCTION("(GOOGLEFINANCE($B44,""price"")/INDEX(GOOGLEFINANCE($B44,""price"",TODAY()-180),2,2))-1"),0.057802706619736854)</f>
        <v>0.05780270662</v>
      </c>
      <c r="DA44" s="38">
        <f>IFERROR(__xludf.DUMMYFUNCTION("(GOOGLEFINANCE($B44,""price"")/INDEX(GOOGLEFINANCE($B44,""price"",TODAY()-365),2,2))-1"),0.009756185205814116)</f>
        <v>0.009756185206</v>
      </c>
      <c r="DB44" s="38">
        <f>IFERROR(__xludf.DUMMYFUNCTION("(GOOGLEFINANCE($B44,""price"")/INDEX(GOOGLEFINANCE($B44,""price"",TODAY()-365*5),2,2))-1"),1.531075481895154)</f>
        <v>1.531075482</v>
      </c>
      <c r="DC44" s="38">
        <f>IFERROR(__xludf.DUMMYFUNCTION("(INDEX(GOOGLEFINANCE(B44, ""price"", TODAY()-30, TODAY()), ROWS(GOOGLEFINANCE(B44, ""price"", TODAY()-30, TODAY())), 2) / INDEX(GOOGLEFINANCE(B44, ""price"", TODAY()-30, TODAY()), 2, 2)) - 1"),0.035391219440299215)</f>
        <v>0.03539121944</v>
      </c>
      <c r="DD44" s="38">
        <f>IFERROR(__xludf.DUMMYFUNCTION("(INDEX(GOOGLEFINANCE(B44, ""price"", TODAY()-7, TODAY()), ROWS(GOOGLEFINANCE(B44, ""price"", TODAY()-7, TODAY())), 2) / INDEX(GOOGLEFINANCE(B44, ""price"", TODAY()-7, TODAY()), 2, 2)) - 1"),0.010264430422980864)</f>
        <v>0.01026443042</v>
      </c>
    </row>
    <row r="45">
      <c r="A45" s="34" t="str">
        <f>IFERROR(__xludf.DUMMYFUNCTION("GOOGLEFINANCE(B45,""name"")"),"Molina Healthcare Inc")</f>
        <v>Molina Healthcare Inc</v>
      </c>
      <c r="B45" s="45" t="s">
        <v>151</v>
      </c>
      <c r="C45" s="45" t="s">
        <v>93</v>
      </c>
      <c r="D45" s="45" t="s">
        <v>94</v>
      </c>
      <c r="E45" s="56">
        <v>2.0</v>
      </c>
      <c r="F45" s="35">
        <f>IFERROR(__xludf.DUMMYFUNCTION("IFERROR(MIN(INDEX(GOOGLEFINANCE(B45,""close"",TODAY()-100,TODAY()),0,2)) * GOOGLEFINANCE(""CURRENCY:USDEUR""),""Error en datos"")"),189.553749)</f>
        <v>189.553749</v>
      </c>
      <c r="G45" s="35">
        <f>IFERROR(__xludf.DUMMYFUNCTION("IFERROR(MAX(INDEX(GOOGLEFINANCE(B45,""close"",TODAY()-100,TODAY()),0,2)) * GOOGLEFINANCE(""CURRENCY:USDEUR""),""Error en datos"")"),298.2295206)</f>
        <v>298.2295206</v>
      </c>
      <c r="H45" s="35">
        <f>IFERROR(__xludf.DUMMYFUNCTION("IFERROR(AVERAGE(INDEX(GOOGLEFINANCE(B45,""close"",TODAY()-20,TODAY()),0,2)) * GOOGLEFINANCE(""CURRENCY:USDEUR""),""Error en datos"")"),225.02741207692304)</f>
        <v>225.0274121</v>
      </c>
      <c r="I45" s="35">
        <f>IFERROR(__xludf.DUMMYFUNCTION("IFERROR(PERCENTILE(INDEX(GOOGLEFINANCE(B45,""close"",TODAY()-365,TODAY()),0,2),0.05) * GOOGLEFINANCE(""CURRENCY:USDEUR""),""Error en datos"")"),237.85124)</f>
        <v>237.85124</v>
      </c>
      <c r="J45" s="35">
        <f>IFERROR(__xludf.DUMMYFUNCTION("AVERAGE(INDEX(GOOGLEFINANCE(B45,""price"",TODAY()-20,TODAY(),""DAILY""),0,2))+(2*STDEV(INDEX(GOOGLEFINANCE(B45,""price"",TODAY()-20,TODAY(),""DAILY""),0,2)))"),329.1413763292533)</f>
        <v>329.1413763</v>
      </c>
      <c r="K45" s="35">
        <f>IFERROR(__xludf.DUMMYFUNCTION("AVERAGE(INDEX(GOOGLEFINANCE(B45,""price"",TODAY()-20,TODAY(),""DAILY""),0,2))-(2*STDEV(INDEX(GOOGLEFINANCE(B45,""price"",TODAY()-20,TODAY(),""DAILY""),0,2)))"),196.8817005938235)</f>
        <v>196.8817006</v>
      </c>
      <c r="L45" s="35">
        <v>597.0</v>
      </c>
      <c r="M45" s="35">
        <f t="shared" si="1"/>
        <v>0.1029671494</v>
      </c>
      <c r="N45" s="35">
        <v>20.0</v>
      </c>
      <c r="O45" s="35">
        <f t="shared" si="2"/>
        <v>0.5333333333</v>
      </c>
      <c r="P45" s="35">
        <v>3.0</v>
      </c>
      <c r="Q45" s="35">
        <f t="shared" si="3"/>
        <v>0.2078825348</v>
      </c>
      <c r="R45" s="35" t="str">
        <f>IFERROR(__xludf.DUMMYFUNCTION("IF(B45="""", """", SPARKLINE(INDEX(GOOGLEFINANCE(B45, ""price"", TODAY()-1825, TODAY()), 0, 2)))"),"")</f>
        <v/>
      </c>
      <c r="S45" s="35">
        <f t="shared" si="4"/>
        <v>208.0955632</v>
      </c>
      <c r="T45" s="35">
        <f t="shared" si="5"/>
        <v>299.2492101</v>
      </c>
      <c r="U45" s="34" t="str">
        <f t="shared" si="6"/>
        <v>Compra</v>
      </c>
      <c r="V45" s="37">
        <f t="shared" si="7"/>
        <v>-0.08910240042</v>
      </c>
      <c r="W45" s="37">
        <f t="shared" si="8"/>
        <v>-0.3603978479</v>
      </c>
      <c r="X45" s="34">
        <f>IFERROR(__xludf.DUMMYFUNCTION("AJ45*GOOGLEFINANCE(""CURRENCY:USD/EUR"")"),189.553749)</f>
        <v>189.553749</v>
      </c>
      <c r="Y45" s="35">
        <f>IFERROR(__xludf.DUMMYFUNCTION("AI45*GOOGLEFINANCE(""CURRENCY:USD/EUR"")"),296.36196247940524)</f>
        <v>296.3619625</v>
      </c>
      <c r="Z45" s="38">
        <f t="shared" si="9"/>
        <v>0.5787037277</v>
      </c>
      <c r="AA45" s="38">
        <f t="shared" si="10"/>
        <v>0.5634719125</v>
      </c>
      <c r="AB45" s="38">
        <f t="shared" si="11"/>
        <v>0.2705379947</v>
      </c>
      <c r="AC45" s="41">
        <v>270.0</v>
      </c>
      <c r="AD45" s="40">
        <f t="shared" si="12"/>
        <v>0.331603235</v>
      </c>
      <c r="AE45" s="41">
        <v>363.0</v>
      </c>
      <c r="AF45" s="41">
        <f t="shared" si="13"/>
        <v>0.3894496458</v>
      </c>
      <c r="AG45" s="41">
        <v>414.0</v>
      </c>
      <c r="AH45" s="41">
        <f t="shared" si="14"/>
        <v>0.2789471192</v>
      </c>
      <c r="AI45" s="41">
        <f t="shared" si="15"/>
        <v>346.3872022</v>
      </c>
      <c r="AJ45" s="34">
        <f>IFERROR(__xludf.DUMMYFUNCTION("GOOGLEFINANCE(B45,""price"")"),221.55)</f>
        <v>221.55</v>
      </c>
      <c r="AK45" s="37">
        <f t="shared" si="77"/>
        <v>0.4056184886</v>
      </c>
      <c r="AL45" s="35">
        <v>307.77</v>
      </c>
      <c r="AM45" s="34">
        <f t="shared" si="16"/>
        <v>255.9168962</v>
      </c>
      <c r="AN45" s="34">
        <f t="shared" si="17"/>
        <v>213.3378587</v>
      </c>
      <c r="AO45" s="38">
        <f>IFERROR(__xludf.DUMMYFUNCTION("(GOOGLEFINANCE(B45, ""price"") - INDEX(GOOGLEFINANCE(B45, ""price"", DATE(2025,5,9)), 2, 2)) / INDEX(GOOGLEFINANCE(B45, ""price"", DATE(2025,5,8)), 2, 2)"),-0.30887497698398075)</f>
        <v>-0.308874977</v>
      </c>
      <c r="AP45" s="37">
        <f t="shared" si="18"/>
        <v>0.125474225</v>
      </c>
      <c r="AQ45" s="37">
        <f t="shared" si="19"/>
        <v>-0.2801442636</v>
      </c>
      <c r="AR45" s="37">
        <f t="shared" si="20"/>
        <v>0.4056184886</v>
      </c>
      <c r="AS45" s="34">
        <f>IFERROR(__xludf.DUMMYFUNCTION("IF(X45&lt;K45,1,IF(X45&gt;J45,-1,0)) + IF(X45&lt;F45,1,IF(X45&gt;G45,-1,0)) + IF(X45&lt;I45,1,IF(X45&gt;I45,-1,0)) + IF(X45&lt;H45,1,IF(X45&gt;H45,-1,0))"),3.0)</f>
        <v>3</v>
      </c>
      <c r="AT45" s="34" t="str">
        <f t="shared" si="21"/>
        <v>recompra</v>
      </c>
      <c r="AU45" s="35" t="str">
        <f t="shared" si="22"/>
        <v>compra</v>
      </c>
      <c r="AV45" s="35" t="str">
        <f t="shared" si="23"/>
        <v>compra</v>
      </c>
      <c r="AW45" s="38">
        <f t="shared" si="24"/>
        <v>0.5634719125</v>
      </c>
      <c r="AX45" s="38">
        <f t="shared" si="25"/>
        <v>0.165605137</v>
      </c>
      <c r="AY45" s="38">
        <f t="shared" si="26"/>
        <v>0.1718162436</v>
      </c>
      <c r="AZ45" s="42">
        <f t="shared" si="27"/>
        <v>0.4164476519</v>
      </c>
      <c r="BA45" s="38">
        <f t="shared" si="28"/>
        <v>0.6869344217</v>
      </c>
      <c r="BB45" s="38">
        <f t="shared" si="29"/>
        <v>0.3130655783</v>
      </c>
      <c r="BC45" s="38">
        <f t="shared" si="30"/>
        <v>0.3501020031</v>
      </c>
      <c r="BD45" s="38">
        <f t="shared" si="31"/>
        <v>0.5067642547</v>
      </c>
      <c r="BE45" s="38">
        <f t="shared" si="32"/>
        <v>0.4932357453</v>
      </c>
      <c r="BF45" s="38">
        <f t="shared" si="33"/>
        <v>0.7519973957</v>
      </c>
      <c r="BG45" s="37">
        <f t="shared" si="34"/>
        <v>0.2818456043</v>
      </c>
      <c r="BH45" s="43">
        <f t="shared" si="35"/>
        <v>0.226830924</v>
      </c>
      <c r="BI45" s="44">
        <f t="shared" si="36"/>
        <v>0.616864465</v>
      </c>
      <c r="BJ45" s="38">
        <f t="shared" si="37"/>
        <v>1.102099399</v>
      </c>
      <c r="BK45" s="43">
        <f t="shared" si="38"/>
        <v>0.5358810663</v>
      </c>
      <c r="BL45" s="45">
        <v>16.54</v>
      </c>
      <c r="BM45" s="46">
        <f t="shared" si="39"/>
        <v>0.005190295002</v>
      </c>
      <c r="BN45" s="45">
        <v>0.0</v>
      </c>
      <c r="BO45" s="45">
        <v>40.29</v>
      </c>
      <c r="BP45" s="47">
        <f t="shared" si="40"/>
        <v>0.0590809628</v>
      </c>
      <c r="BQ45" s="45">
        <v>20.69</v>
      </c>
      <c r="BR45" s="47">
        <f t="shared" si="41"/>
        <v>0.5454343479</v>
      </c>
      <c r="BS45" s="38">
        <v>0.043</v>
      </c>
      <c r="BT45" s="47">
        <f t="shared" si="71"/>
        <v>0.4129821261</v>
      </c>
      <c r="BU45" s="45">
        <v>0.9</v>
      </c>
      <c r="BV45" s="47">
        <f t="shared" si="72"/>
        <v>0.9554455446</v>
      </c>
      <c r="BW45" s="48">
        <f t="shared" si="44"/>
        <v>1.745855479</v>
      </c>
      <c r="BX45" s="49">
        <f t="shared" si="45"/>
        <v>1.006898006</v>
      </c>
      <c r="BY45" s="47">
        <f t="shared" si="46"/>
        <v>0.4932357453</v>
      </c>
      <c r="BZ45" s="38">
        <v>0.162</v>
      </c>
      <c r="CA45" s="50">
        <f t="shared" si="47"/>
        <v>0.1934156379</v>
      </c>
      <c r="CB45" s="38">
        <v>0.081</v>
      </c>
      <c r="CC45" s="50">
        <f t="shared" si="73"/>
        <v>0.2051439069</v>
      </c>
      <c r="CD45" s="38">
        <v>0.123</v>
      </c>
      <c r="CE45" s="50">
        <f t="shared" si="49"/>
        <v>0.6875832963</v>
      </c>
      <c r="CF45" s="50">
        <f t="shared" si="50"/>
        <v>0.3620476137</v>
      </c>
      <c r="CG45" s="38">
        <v>0.127</v>
      </c>
      <c r="CH45" s="51">
        <f t="shared" si="51"/>
        <v>0.2066198596</v>
      </c>
      <c r="CI45" s="38">
        <v>0.193</v>
      </c>
      <c r="CJ45" s="51">
        <f t="shared" si="52"/>
        <v>0.2789808917</v>
      </c>
      <c r="CK45" s="38">
        <v>0.11</v>
      </c>
      <c r="CL45" s="51">
        <f t="shared" si="74"/>
        <v>0.3338842975</v>
      </c>
      <c r="CM45" s="38">
        <v>0.277</v>
      </c>
      <c r="CN45" s="51">
        <f t="shared" si="54"/>
        <v>0.2378810595</v>
      </c>
      <c r="CO45" s="38">
        <v>0.046</v>
      </c>
      <c r="CP45" s="51">
        <f t="shared" si="75"/>
        <v>0.5079617834</v>
      </c>
      <c r="CQ45" s="51">
        <f t="shared" si="56"/>
        <v>0.3130655783</v>
      </c>
      <c r="CR45" s="52">
        <f t="shared" si="57"/>
        <v>0.3894496458</v>
      </c>
      <c r="CS45" s="53">
        <f t="shared" si="68"/>
        <v>0.2367875417</v>
      </c>
      <c r="CT45" s="54">
        <f t="shared" si="59"/>
        <v>0.4801268505</v>
      </c>
      <c r="CU45" s="55">
        <f t="shared" si="60"/>
        <v>0.2106998041</v>
      </c>
      <c r="CV45" s="34">
        <f t="shared" si="61"/>
        <v>1.456218557</v>
      </c>
      <c r="CW45" s="34">
        <f t="shared" si="62"/>
        <v>0.5587794621</v>
      </c>
      <c r="CX45" s="35">
        <f t="shared" si="63"/>
        <v>0.3706079341</v>
      </c>
      <c r="CY45" s="38">
        <f>IFERROR(__xludf.DUMMYFUNCTION("(GOOGLEFINANCE(B45,""price"")/INDEX(GOOGLEFINANCE(B45,""price"",TODAY()-30),2,2))-1"),-0.23669250645994833)</f>
        <v>-0.2366925065</v>
      </c>
      <c r="CZ45" s="38">
        <f>IFERROR(__xludf.DUMMYFUNCTION("(GOOGLEFINANCE($B45,""price"")/INDEX(GOOGLEFINANCE($B45,""price"",TODAY()-180),2,2))-1"),-0.23120966062877368)</f>
        <v>-0.2312096606</v>
      </c>
      <c r="DA45" s="38">
        <f>IFERROR(__xludf.DUMMYFUNCTION("(GOOGLEFINANCE($B45,""price"")/INDEX(GOOGLEFINANCE($B45,""price"",TODAY()-365),2,2))-1"),-0.2198394253116417)</f>
        <v>-0.2198394253</v>
      </c>
      <c r="DB45" s="38">
        <f>IFERROR(__xludf.DUMMYFUNCTION("(GOOGLEFINANCE($B45,""price"")/INDEX(GOOGLEFINANCE($B45,""price"",TODAY()-365*5),2,2))-1"),0.1920262563219628)</f>
        <v>0.1920262563</v>
      </c>
      <c r="DC45" s="38">
        <f>IFERROR(__xludf.DUMMYFUNCTION("(INDEX(GOOGLEFINANCE(B45, ""price"", TODAY()-30, TODAY()), ROWS(GOOGLEFINANCE(B45, ""price"", TODAY()-30, TODAY())), 2) / INDEX(GOOGLEFINANCE(B45, ""price"", TODAY()-30, TODAY()), 2, 2)) - 1"),-0.23669250645994833)</f>
        <v>-0.2366925065</v>
      </c>
      <c r="DD45" s="38">
        <f>IFERROR(__xludf.DUMMYFUNCTION("(INDEX(GOOGLEFINANCE(B45, ""price"", TODAY()-7, TODAY()), ROWS(GOOGLEFINANCE(B45, ""price"", TODAY()-7, TODAY())), 2) / INDEX(GOOGLEFINANCE(B45, ""price"", TODAY()-7, TODAY()), 2, 2)) - 1"),-0.04754739693048449)</f>
        <v>-0.04754739693</v>
      </c>
    </row>
    <row r="46">
      <c r="A46" s="34" t="str">
        <f>IFERROR(__xludf.DUMMYFUNCTION("GOOGLEFINANCE(B46,""name"")"),"Monolithic Power Systems Inc")</f>
        <v>Monolithic Power Systems Inc</v>
      </c>
      <c r="B46" s="35" t="s">
        <v>152</v>
      </c>
      <c r="C46" s="35" t="s">
        <v>90</v>
      </c>
      <c r="D46" s="35" t="s">
        <v>105</v>
      </c>
      <c r="E46" s="56">
        <v>2.0</v>
      </c>
      <c r="F46" s="35">
        <f>IFERROR(__xludf.DUMMYFUNCTION("IFERROR(MIN(INDEX(GOOGLEFINANCE(B46,""close"",TODAY()-100,TODAY()),0,2)) * GOOGLEFINANCE(""CURRENCY:USDEUR""),""Error en datos"")"),389.4514602)</f>
        <v>389.4514602</v>
      </c>
      <c r="G46" s="35">
        <f>IFERROR(__xludf.DUMMYFUNCTION("IFERROR(MAX(INDEX(GOOGLEFINANCE(B46,""close"",TODAY()-100,TODAY()),0,2)) * GOOGLEFINANCE(""CURRENCY:USDEUR""),""Error en datos"")"),654.005352)</f>
        <v>654.005352</v>
      </c>
      <c r="H46" s="35">
        <f>IFERROR(__xludf.DUMMYFUNCTION("IFERROR(AVERAGE(INDEX(GOOGLEFINANCE(B46,""close"",TODAY()-20,TODAY()),0,2)) * GOOGLEFINANCE(""CURRENCY:USDEUR""),""Error en datos"")"),634.5850022769232)</f>
        <v>634.5850023</v>
      </c>
      <c r="I46" s="35">
        <f>IFERROR(__xludf.DUMMYFUNCTION("IFERROR(PERCENTILE(INDEX(GOOGLEFINANCE(B46,""close"",TODAY()-365,TODAY()),0,2),0.05) * GOOGLEFINANCE(""CURRENCY:USDEUR""),""Error en datos"")"),470.38376693)</f>
        <v>470.3837669</v>
      </c>
      <c r="J46" s="35">
        <f>IFERROR(__xludf.DUMMYFUNCTION("AVERAGE(INDEX(GOOGLEFINANCE(B46,""price"",TODAY()-20,TODAY(),""DAILY""),0,2))+(2*STDEV(INDEX(GOOGLEFINANCE(B46,""price"",TODAY()-20,TODAY(),""DAILY""),0,2)))"),770.6042844050803)</f>
        <v>770.6042844</v>
      </c>
      <c r="K46" s="35">
        <f>IFERROR(__xludf.DUMMYFUNCTION("AVERAGE(INDEX(GOOGLEFINANCE(B46,""price"",TODAY()-20,TODAY(),""DAILY""),0,2))-(2*STDEV(INDEX(GOOGLEFINANCE(B46,""price"",TODAY()-20,TODAY(),""DAILY""),0,2)))"),712.7987925179968)</f>
        <v>712.7987925</v>
      </c>
      <c r="L46" s="35">
        <v>837.0</v>
      </c>
      <c r="M46" s="35">
        <f t="shared" si="1"/>
        <v>0.1453549982</v>
      </c>
      <c r="N46" s="35">
        <v>-50.0</v>
      </c>
      <c r="O46" s="35">
        <f t="shared" si="2"/>
        <v>0.2222222222</v>
      </c>
      <c r="P46" s="35">
        <v>1.8</v>
      </c>
      <c r="Q46" s="35">
        <f t="shared" si="3"/>
        <v>0.184698609</v>
      </c>
      <c r="R46" s="35" t="str">
        <f>IFERROR(__xludf.DUMMYFUNCTION("IF(B46="""", """", SPARKLINE(INDEX(GOOGLEFINANCE(B46, ""price"", TODAY()-1825, TODAY()), 0, 2)))"),"")</f>
        <v/>
      </c>
      <c r="S46" s="35">
        <f t="shared" si="4"/>
        <v>524.2113399</v>
      </c>
      <c r="T46" s="35">
        <f t="shared" si="5"/>
        <v>659.2544021</v>
      </c>
      <c r="U46" s="34" t="str">
        <f t="shared" si="6"/>
        <v/>
      </c>
      <c r="V46" s="37">
        <f t="shared" si="7"/>
        <v>0.2013441276</v>
      </c>
      <c r="W46" s="37">
        <f t="shared" si="8"/>
        <v>-0.02911627148</v>
      </c>
      <c r="X46" s="34">
        <f>IFERROR(__xludf.DUMMYFUNCTION("AJ46*GOOGLEFINANCE(""CURRENCY:USD/EUR"")"),629.7582147999999)</f>
        <v>629.7582148</v>
      </c>
      <c r="Y46" s="35">
        <f>IFERROR(__xludf.DUMMYFUNCTION("AI46*GOOGLEFINANCE(""CURRENCY:USD/EUR"")"),648.6443188857897)</f>
        <v>648.6443189</v>
      </c>
      <c r="Z46" s="38">
        <f t="shared" si="9"/>
        <v>0.04683732044</v>
      </c>
      <c r="AA46" s="38">
        <f t="shared" si="10"/>
        <v>0.03998945253</v>
      </c>
      <c r="AB46" s="38">
        <f t="shared" si="11"/>
        <v>0.01559017061</v>
      </c>
      <c r="AC46" s="41">
        <v>644.0</v>
      </c>
      <c r="AD46" s="40">
        <f t="shared" si="12"/>
        <v>0.3303106692</v>
      </c>
      <c r="AE46" s="41">
        <v>772.0</v>
      </c>
      <c r="AF46" s="41">
        <f t="shared" si="13"/>
        <v>0.5005595566</v>
      </c>
      <c r="AG46" s="41">
        <v>940.0</v>
      </c>
      <c r="AH46" s="41">
        <f t="shared" si="14"/>
        <v>0.1691297743</v>
      </c>
      <c r="AI46" s="41">
        <f t="shared" si="15"/>
        <v>758.1340364</v>
      </c>
      <c r="AJ46" s="34">
        <f>IFERROR(__xludf.DUMMYFUNCTION("GOOGLEFINANCE(B46,""price"")"),736.06)</f>
        <v>736.06</v>
      </c>
      <c r="AK46" s="37">
        <f t="shared" ref="AK46:AK49" si="78">AP46+BN46</f>
        <v>0.2007054019</v>
      </c>
      <c r="AL46" s="34">
        <v>636.71</v>
      </c>
      <c r="AM46" s="34">
        <f t="shared" si="16"/>
        <v>602.4021329</v>
      </c>
      <c r="AN46" s="34">
        <f t="shared" si="17"/>
        <v>749.8565082</v>
      </c>
      <c r="AO46" s="38">
        <f>IFERROR(__xludf.DUMMYFUNCTION("(GOOGLEFINANCE(B46, ""price"") - INDEX(GOOGLEFINANCE(B46, ""price"", DATE(2025,5,8)), 2, 2)) / INDEX(GOOGLEFINANCE(B46, ""price"", DATE(2025,5,8)), 2, 2)"),0.150219555263857)</f>
        <v>0.1502195553</v>
      </c>
      <c r="AP46" s="37">
        <f t="shared" si="18"/>
        <v>0.1907054019</v>
      </c>
      <c r="AQ46" s="37">
        <f t="shared" si="19"/>
        <v>0.1560365001</v>
      </c>
      <c r="AR46" s="37">
        <f t="shared" si="20"/>
        <v>0.03466890174</v>
      </c>
      <c r="AS46" s="34">
        <f>IFERROR(__xludf.DUMMYFUNCTION("IF(X46&lt;K46,1,IF(X46&gt;J46,-1,0)) + IF(X46&lt;F46,1,IF(X46&gt;G46,-1,0)) + IF(X46&lt;I46,1,IF(X46&gt;I46,-1,0)) + IF(X46&lt;H46,1,IF(X46&gt;H46,-1,0))"),1.0)</f>
        <v>1</v>
      </c>
      <c r="AT46" s="34" t="str">
        <f t="shared" si="21"/>
        <v>Hold</v>
      </c>
      <c r="AU46" s="35" t="str">
        <f t="shared" si="22"/>
        <v>hold</v>
      </c>
      <c r="AV46" s="35" t="str">
        <f t="shared" si="23"/>
        <v>venta</v>
      </c>
      <c r="AW46" s="38">
        <f t="shared" si="24"/>
        <v>0.02998945253</v>
      </c>
      <c r="AX46" s="38">
        <f t="shared" si="25"/>
        <v>-0.04035317274</v>
      </c>
      <c r="AY46" s="38">
        <f t="shared" si="26"/>
        <v>-0.06242429522</v>
      </c>
      <c r="AZ46" s="42">
        <f t="shared" si="27"/>
        <v>0.1274657776</v>
      </c>
      <c r="BA46" s="38">
        <f t="shared" si="28"/>
        <v>0.530575997</v>
      </c>
      <c r="BB46" s="38">
        <f t="shared" si="29"/>
        <v>0.469424003</v>
      </c>
      <c r="BC46" s="38">
        <f t="shared" si="30"/>
        <v>-0.04343902347</v>
      </c>
      <c r="BD46" s="38">
        <f t="shared" si="31"/>
        <v>0.3740209398</v>
      </c>
      <c r="BE46" s="38">
        <f t="shared" si="32"/>
        <v>0.6259790602</v>
      </c>
      <c r="BF46" s="38">
        <f t="shared" si="33"/>
        <v>0.1917024184</v>
      </c>
      <c r="BG46" s="37">
        <f t="shared" si="34"/>
        <v>0.1807998578</v>
      </c>
      <c r="BH46" s="43">
        <f t="shared" si="35"/>
        <v>0.05918778127</v>
      </c>
      <c r="BI46" s="44">
        <f t="shared" si="36"/>
        <v>0.4458755758</v>
      </c>
      <c r="BJ46" s="38">
        <f t="shared" si="37"/>
        <v>0.148263395</v>
      </c>
      <c r="BK46" s="43">
        <f t="shared" si="38"/>
        <v>0.00242833544</v>
      </c>
      <c r="BL46" s="47">
        <v>28.8</v>
      </c>
      <c r="BM46" s="46">
        <f t="shared" si="39"/>
        <v>0.009067992548</v>
      </c>
      <c r="BN46" s="38">
        <v>0.01</v>
      </c>
      <c r="BO46" s="47">
        <v>2.21</v>
      </c>
      <c r="BP46" s="58">
        <f t="shared" si="40"/>
        <v>0.003157446434</v>
      </c>
      <c r="BQ46" s="47">
        <v>36.59</v>
      </c>
      <c r="BR46" s="47">
        <f t="shared" si="41"/>
        <v>0.8986891802</v>
      </c>
      <c r="BS46" s="47">
        <v>0.244</v>
      </c>
      <c r="BT46" s="47">
        <f t="shared" si="71"/>
        <v>0.6020696143</v>
      </c>
      <c r="BU46" s="66"/>
      <c r="BV46" s="47">
        <f t="shared" si="72"/>
        <v>1</v>
      </c>
      <c r="BW46" s="48">
        <f t="shared" si="44"/>
        <v>1.663912573</v>
      </c>
      <c r="BX46" s="49">
        <f t="shared" si="45"/>
        <v>0.8325633703</v>
      </c>
      <c r="BY46" s="47">
        <f t="shared" si="46"/>
        <v>0.6259790602</v>
      </c>
      <c r="BZ46" s="50">
        <v>0.212</v>
      </c>
      <c r="CA46" s="50">
        <f t="shared" si="47"/>
        <v>0.2345679012</v>
      </c>
      <c r="CB46" s="50">
        <v>0.103</v>
      </c>
      <c r="CC46" s="50">
        <f t="shared" si="73"/>
        <v>0.2118799755</v>
      </c>
      <c r="CD46" s="50">
        <v>3.177</v>
      </c>
      <c r="CE46" s="50">
        <f t="shared" si="49"/>
        <v>0.7723789427</v>
      </c>
      <c r="CF46" s="50">
        <f t="shared" si="50"/>
        <v>0.4062756065</v>
      </c>
      <c r="CG46" s="51">
        <v>0.727</v>
      </c>
      <c r="CH46" s="51">
        <f t="shared" si="51"/>
        <v>0.5075225677</v>
      </c>
      <c r="CI46" s="51">
        <v>0.286</v>
      </c>
      <c r="CJ46" s="51">
        <f t="shared" si="52"/>
        <v>0.3974522293</v>
      </c>
      <c r="CK46" s="51">
        <v>0.369</v>
      </c>
      <c r="CL46" s="51">
        <f t="shared" si="74"/>
        <v>0.5479338843</v>
      </c>
      <c r="CM46" s="51">
        <v>0.268</v>
      </c>
      <c r="CN46" s="51">
        <f t="shared" si="54"/>
        <v>0.2333833083</v>
      </c>
      <c r="CO46" s="51">
        <v>0.238</v>
      </c>
      <c r="CP46" s="51">
        <f t="shared" si="75"/>
        <v>0.6608280255</v>
      </c>
      <c r="CQ46" s="51">
        <f t="shared" si="56"/>
        <v>0.469424003</v>
      </c>
      <c r="CR46" s="52">
        <f t="shared" si="57"/>
        <v>0.5005595566</v>
      </c>
      <c r="CS46" s="53">
        <f t="shared" si="68"/>
        <v>0.1744077069</v>
      </c>
      <c r="CT46" s="54">
        <f t="shared" si="59"/>
        <v>0.3898570655</v>
      </c>
      <c r="CU46" s="55">
        <f t="shared" si="60"/>
        <v>0.09650342297</v>
      </c>
      <c r="CV46" s="34">
        <f t="shared" si="61"/>
        <v>1.286022655</v>
      </c>
      <c r="CW46" s="34">
        <f t="shared" si="62"/>
        <v>0.5717854421</v>
      </c>
      <c r="CX46" s="35">
        <f t="shared" si="63"/>
        <v>0.2034604156</v>
      </c>
      <c r="CY46" s="38">
        <f>IFERROR(__xludf.DUMMYFUNCTION("(GOOGLEFINANCE(B46,""price"")/INDEX(GOOGLEFINANCE(B46,""price"",TODAY()-30),2,2))-1"),0.04170735504323564)</f>
        <v>0.04170735504</v>
      </c>
      <c r="CZ46" s="38">
        <f>IFERROR(__xludf.DUMMYFUNCTION("(GOOGLEFINANCE($B46,""price"")/INDEX(GOOGLEFINANCE($B46,""price"",TODAY()-180),2,2))-1"),0.22185886688467993)</f>
        <v>0.2218588669</v>
      </c>
      <c r="DA46" s="38">
        <f>IFERROR(__xludf.DUMMYFUNCTION("(GOOGLEFINANCE($B46,""price"")/INDEX(GOOGLEFINANCE($B46,""price"",TODAY()-365),2,2))-1"),-0.15483804296655224)</f>
        <v>-0.154838043</v>
      </c>
      <c r="DB46" s="38">
        <f>IFERROR(__xludf.DUMMYFUNCTION("(GOOGLEFINANCE($B46,""price"")/INDEX(GOOGLEFINANCE($B46,""price"",TODAY()-365*5),2,2))-1"),1.983381971465629)</f>
        <v>1.983381971</v>
      </c>
      <c r="DC46" s="38">
        <f>IFERROR(__xludf.DUMMYFUNCTION("(INDEX(GOOGLEFINANCE(B46, ""price"", TODAY()-30, TODAY()), ROWS(GOOGLEFINANCE(B46, ""price"", TODAY()-30, TODAY())), 2) / INDEX(GOOGLEFINANCE(B46, ""price"", TODAY()-30, TODAY()), 2, 2)) - 1"),0.04170735504323564)</f>
        <v>0.04170735504</v>
      </c>
      <c r="DD46" s="38">
        <f>IFERROR(__xludf.DUMMYFUNCTION("(INDEX(GOOGLEFINANCE(B46, ""price"", TODAY()-7, TODAY()), ROWS(GOOGLEFINANCE(B46, ""price"", TODAY()-7, TODAY())), 2) / INDEX(GOOGLEFINANCE(B46, ""price"", TODAY()-7, TODAY()), 2, 2)) - 1"),-0.0068945046345643135)</f>
        <v>-0.006894504635</v>
      </c>
    </row>
    <row r="47">
      <c r="A47" s="34" t="str">
        <f>IFERROR(__xludf.DUMMYFUNCTION("GOOGLEFINANCE(B47,""name"")"),"Microsoft Corp")</f>
        <v>Microsoft Corp</v>
      </c>
      <c r="B47" s="35" t="s">
        <v>153</v>
      </c>
      <c r="C47" s="35" t="s">
        <v>90</v>
      </c>
      <c r="D47" s="35" t="s">
        <v>98</v>
      </c>
      <c r="E47" s="36">
        <v>1.0</v>
      </c>
      <c r="F47" s="35">
        <f>IFERROR(__xludf.DUMMYFUNCTION("IFERROR(MIN(INDEX(GOOGLEFINANCE(B47,""close"",TODAY()-100,TODAY()),0,2)) * GOOGLEFINANCE(""CURRENCY:USDEUR""),""Error en datos"")"),303.3544448)</f>
        <v>303.3544448</v>
      </c>
      <c r="G47" s="35">
        <f>IFERROR(__xludf.DUMMYFUNCTION("IFERROR(MAX(INDEX(GOOGLEFINANCE(B47,""close"",TODAY()-100,TODAY()),0,2)) * GOOGLEFINANCE(""CURRENCY:USDEUR""),""Error en datos"")"),430.7930858)</f>
        <v>430.7930858</v>
      </c>
      <c r="H47" s="35">
        <f>IFERROR(__xludf.DUMMYFUNCTION("IFERROR(AVERAGE(INDEX(GOOGLEFINANCE(B47,""close"",TODAY()-20,TODAY()),0,2)) * GOOGLEFINANCE(""CURRENCY:USDEUR""),""Error en datos"")"),425.0133138307692)</f>
        <v>425.0133138</v>
      </c>
      <c r="I47" s="35">
        <f>IFERROR(__xludf.DUMMYFUNCTION("IFERROR(PERCENTILE(INDEX(GOOGLEFINANCE(B47,""close"",TODAY()-365,TODAY()),0,2),0.05) * GOOGLEFINANCE(""CURRENCY:USDEUR""),""Error en datos"")"),325.35654008)</f>
        <v>325.3565401</v>
      </c>
      <c r="J47" s="35">
        <f>IFERROR(__xludf.DUMMYFUNCTION("AVERAGE(INDEX(GOOGLEFINANCE(B47,""price"",TODAY()-20,TODAY(),""DAILY""),0,2))+(2*STDEV(INDEX(GOOGLEFINANCE(B47,""price"",TODAY()-20,TODAY(),""DAILY""),0,2)))"),505.6320835498999)</f>
        <v>505.6320835</v>
      </c>
      <c r="K47" s="35">
        <f>IFERROR(__xludf.DUMMYFUNCTION("AVERAGE(INDEX(GOOGLEFINANCE(B47,""price"",TODAY()-20,TODAY(),""DAILY""),0,2))-(2*STDEV(INDEX(GOOGLEFINANCE(B47,""price"",TODAY()-20,TODAY(),""DAILY""),0,2)))"),487.8771472193308)</f>
        <v>487.8771472</v>
      </c>
      <c r="L47" s="35">
        <v>5676.0</v>
      </c>
      <c r="M47" s="35">
        <f t="shared" si="1"/>
        <v>1</v>
      </c>
      <c r="N47" s="35">
        <v>-4.0</v>
      </c>
      <c r="O47" s="35">
        <f t="shared" si="2"/>
        <v>0.4266666667</v>
      </c>
      <c r="P47" s="35">
        <v>3.32</v>
      </c>
      <c r="Q47" s="35">
        <f t="shared" si="3"/>
        <v>0.214064915</v>
      </c>
      <c r="R47" s="35" t="str">
        <f>IFERROR(__xludf.DUMMYFUNCTION("IF(B47="""", """", SPARKLINE(INDEX(GOOGLEFINANCE(B47, ""price"", TODAY()-1825, TODAY()), 0, 2)))"),"")</f>
        <v/>
      </c>
      <c r="S47" s="35">
        <f t="shared" si="4"/>
        <v>372.196044</v>
      </c>
      <c r="T47" s="35">
        <f t="shared" si="5"/>
        <v>482.901554</v>
      </c>
      <c r="U47" s="34" t="str">
        <f t="shared" si="6"/>
        <v/>
      </c>
      <c r="V47" s="37">
        <f t="shared" si="7"/>
        <v>0.1569992011</v>
      </c>
      <c r="W47" s="37">
        <f t="shared" si="8"/>
        <v>-0.1136359633</v>
      </c>
      <c r="X47" s="34">
        <f>IFERROR(__xludf.DUMMYFUNCTION("AJ47*GOOGLEFINANCE(""CURRENCY:USD/EUR"")"),430.6305256)</f>
        <v>430.6305256</v>
      </c>
      <c r="Y47" s="35">
        <f>IFERROR(__xludf.DUMMYFUNCTION("AI47*GOOGLEFINANCE(""CURRENCY:USD/EUR"")"),485.8393479213754)</f>
        <v>485.8393479</v>
      </c>
      <c r="Z47" s="38">
        <f t="shared" si="9"/>
        <v>0.1213825434</v>
      </c>
      <c r="AA47" s="38">
        <f t="shared" si="10"/>
        <v>0.1362046187</v>
      </c>
      <c r="AB47" s="38">
        <f t="shared" si="11"/>
        <v>0.05835374918</v>
      </c>
      <c r="AC47" s="41">
        <v>475.0</v>
      </c>
      <c r="AD47" s="40">
        <f t="shared" si="12"/>
        <v>0</v>
      </c>
      <c r="AE47" s="41">
        <v>525.0</v>
      </c>
      <c r="AF47" s="41">
        <f t="shared" si="13"/>
        <v>0.4644006416</v>
      </c>
      <c r="AG47" s="41">
        <v>605.0</v>
      </c>
      <c r="AH47" s="41">
        <f t="shared" si="14"/>
        <v>0.5355993584</v>
      </c>
      <c r="AI47" s="41">
        <f t="shared" si="15"/>
        <v>567.8479487</v>
      </c>
      <c r="AJ47" s="34">
        <f>IFERROR(__xludf.DUMMYFUNCTION("GOOGLEFINANCE(B47,""price"")"),503.32)</f>
        <v>503.32</v>
      </c>
      <c r="AK47" s="37">
        <f t="shared" si="78"/>
        <v>0.3183679443</v>
      </c>
      <c r="AL47" s="34">
        <v>433.35</v>
      </c>
      <c r="AM47" s="34">
        <f t="shared" si="16"/>
        <v>423.0703732</v>
      </c>
      <c r="AN47" s="34">
        <f t="shared" si="17"/>
        <v>564.2844366</v>
      </c>
      <c r="AO47" s="38">
        <f>IFERROR(__xludf.DUMMYFUNCTION("(GOOGLEFINANCE(B47, ""price"") - INDEX(GOOGLEFINANCE(B47, ""price"", DATE(2025,5,8)), 2, 2)) / INDEX(GOOGLEFINANCE(B47, ""price"", DATE(2025,5,8)), 2, 2)"),0.1486865828331469)</f>
        <v>0.1486865828</v>
      </c>
      <c r="AP47" s="37">
        <f t="shared" si="18"/>
        <v>0.3103679443</v>
      </c>
      <c r="AQ47" s="37">
        <f t="shared" si="19"/>
        <v>0.1614630207</v>
      </c>
      <c r="AR47" s="37">
        <f t="shared" si="20"/>
        <v>0.1489049237</v>
      </c>
      <c r="AS47" s="34">
        <f>IFERROR(__xludf.DUMMYFUNCTION("IF(X47&lt;K47,1,IF(X47&gt;J47,-1,0)) + IF(X47&lt;F47,1,IF(X47&gt;G47,-1,0)) + IF(X47&lt;I47,1,IF(X47&gt;I47,-1,0)) + IF(X47&lt;H47,1,IF(X47&gt;H47,-1,0))"),-1.0)</f>
        <v>-1</v>
      </c>
      <c r="AT47" s="34" t="str">
        <f t="shared" si="21"/>
        <v>Hold</v>
      </c>
      <c r="AU47" s="35" t="str">
        <f t="shared" si="22"/>
        <v>hold</v>
      </c>
      <c r="AV47" s="35" t="str">
        <f t="shared" si="23"/>
        <v>hold</v>
      </c>
      <c r="AW47" s="38">
        <f t="shared" si="24"/>
        <v>0.1282046187</v>
      </c>
      <c r="AX47" s="38">
        <f t="shared" si="25"/>
        <v>0.0858475472</v>
      </c>
      <c r="AY47" s="38">
        <f t="shared" si="26"/>
        <v>0.1184683328</v>
      </c>
      <c r="AZ47" s="42">
        <f t="shared" si="27"/>
        <v>0.447373199</v>
      </c>
      <c r="BA47" s="38">
        <f t="shared" si="28"/>
        <v>0.6103257867</v>
      </c>
      <c r="BB47" s="38">
        <f t="shared" si="29"/>
        <v>0.3896742133</v>
      </c>
      <c r="BC47" s="38">
        <f t="shared" si="30"/>
        <v>-0.01755600678</v>
      </c>
      <c r="BD47" s="38">
        <f t="shared" si="31"/>
        <v>0.3682823564</v>
      </c>
      <c r="BE47" s="38">
        <f t="shared" si="32"/>
        <v>0.6317176436</v>
      </c>
      <c r="BF47" s="38">
        <f t="shared" si="33"/>
        <v>0.1434821018</v>
      </c>
      <c r="BG47" s="37">
        <f t="shared" si="34"/>
        <v>0.8317833505</v>
      </c>
      <c r="BH47" s="43">
        <f t="shared" si="35"/>
        <v>0.4751258416</v>
      </c>
      <c r="BI47" s="44">
        <f t="shared" si="36"/>
        <v>0.5980754862</v>
      </c>
      <c r="BJ47" s="38">
        <f t="shared" si="37"/>
        <v>0.125926095</v>
      </c>
      <c r="BK47" s="43">
        <f t="shared" si="38"/>
        <v>0.4095439844</v>
      </c>
      <c r="BL47" s="47">
        <v>3161.8</v>
      </c>
      <c r="BM47" s="46">
        <f t="shared" si="39"/>
        <v>1</v>
      </c>
      <c r="BN47" s="38">
        <v>0.008</v>
      </c>
      <c r="BO47" s="47">
        <v>261.8</v>
      </c>
      <c r="BP47" s="47">
        <f t="shared" si="40"/>
        <v>0.3843860602</v>
      </c>
      <c r="BQ47" s="47">
        <v>12.41</v>
      </c>
      <c r="BR47" s="47">
        <f t="shared" si="41"/>
        <v>0.3614752277</v>
      </c>
      <c r="BS47" s="47">
        <v>0.45</v>
      </c>
      <c r="BT47" s="47">
        <f t="shared" si="71"/>
        <v>0.7958607714</v>
      </c>
      <c r="BU47" s="47">
        <v>0.3</v>
      </c>
      <c r="BV47" s="47">
        <f t="shared" si="72"/>
        <v>0.9851485149</v>
      </c>
      <c r="BW47" s="48">
        <f t="shared" si="44"/>
        <v>1.237278269</v>
      </c>
      <c r="BX47" s="49">
        <f t="shared" si="45"/>
        <v>0.7210251307</v>
      </c>
      <c r="BY47" s="47">
        <f t="shared" si="46"/>
        <v>0.6317176436</v>
      </c>
      <c r="BZ47" s="50">
        <v>0.15</v>
      </c>
      <c r="CA47" s="50">
        <f t="shared" si="47"/>
        <v>0.1835390947</v>
      </c>
      <c r="CB47" s="50">
        <v>0.209</v>
      </c>
      <c r="CC47" s="50">
        <f t="shared" si="73"/>
        <v>0.2443355787</v>
      </c>
      <c r="CD47" s="50">
        <v>0.122</v>
      </c>
      <c r="CE47" s="50">
        <f t="shared" si="49"/>
        <v>0.6875555309</v>
      </c>
      <c r="CF47" s="50">
        <f t="shared" si="50"/>
        <v>0.3718100681</v>
      </c>
      <c r="CG47" s="51">
        <v>0.167</v>
      </c>
      <c r="CH47" s="51">
        <f t="shared" si="51"/>
        <v>0.2266800401</v>
      </c>
      <c r="CI47" s="51">
        <v>0.143</v>
      </c>
      <c r="CJ47" s="51">
        <f t="shared" si="52"/>
        <v>0.2152866242</v>
      </c>
      <c r="CK47" s="51">
        <v>0.183</v>
      </c>
      <c r="CL47" s="51">
        <f t="shared" si="74"/>
        <v>0.394214876</v>
      </c>
      <c r="CM47" s="51">
        <v>0.419</v>
      </c>
      <c r="CN47" s="51">
        <f t="shared" si="54"/>
        <v>0.3088455772</v>
      </c>
      <c r="CO47" s="51">
        <v>0.417</v>
      </c>
      <c r="CP47" s="51">
        <f t="shared" si="75"/>
        <v>0.803343949</v>
      </c>
      <c r="CQ47" s="51">
        <f t="shared" si="56"/>
        <v>0.3896742133</v>
      </c>
      <c r="CR47" s="52">
        <f t="shared" si="57"/>
        <v>0.4644006416</v>
      </c>
      <c r="CS47" s="53">
        <f t="shared" si="68"/>
        <v>0.6601828954</v>
      </c>
      <c r="CT47" s="54">
        <f t="shared" si="59"/>
        <v>0.4284270956</v>
      </c>
      <c r="CU47" s="55">
        <f t="shared" si="60"/>
        <v>0.1800324281</v>
      </c>
      <c r="CV47" s="34">
        <f t="shared" si="61"/>
        <v>1.881373629</v>
      </c>
      <c r="CW47" s="34">
        <f t="shared" si="62"/>
        <v>0.7025437281</v>
      </c>
      <c r="CX47" s="35">
        <f t="shared" si="63"/>
        <v>0.3203657908</v>
      </c>
      <c r="CY47" s="38">
        <f>IFERROR(__xludf.DUMMYFUNCTION("(GOOGLEFINANCE(B47,""price"")/INDEX(GOOGLEFINANCE(B47,""price"",TODAY()-30),2,2))-1"),0.0504654172058272)</f>
        <v>0.05046541721</v>
      </c>
      <c r="CZ47" s="38">
        <f>IFERROR(__xludf.DUMMYFUNCTION("(GOOGLEFINANCE($B47,""price"")/INDEX(GOOGLEFINANCE($B47,""price"",TODAY()-180),2,2))-1"),0.18064319391991734)</f>
        <v>0.1806431939</v>
      </c>
      <c r="DA47" s="38">
        <f>IFERROR(__xludf.DUMMYFUNCTION("(GOOGLEFINANCE($B47,""price"")/INDEX(GOOGLEFINANCE($B47,""price"",TODAY()-365),2,2))-1"),0.10873204687637683)</f>
        <v>0.1087320469</v>
      </c>
      <c r="DB47" s="38">
        <f>IFERROR(__xludf.DUMMYFUNCTION("(GOOGLEFINANCE($B47,""price"")/INDEX(GOOGLEFINANCE($B47,""price"",TODAY()-365*5),2,2))-1"),1.4193424341472793)</f>
        <v>1.419342434</v>
      </c>
      <c r="DC47" s="38">
        <f>IFERROR(__xludf.DUMMYFUNCTION("(INDEX(GOOGLEFINANCE(B47, ""price"", TODAY()-30, TODAY()), ROWS(GOOGLEFINANCE(B47, ""price"", TODAY()-30, TODAY())), 2) / INDEX(GOOGLEFINANCE(B47, ""price"", TODAY()-30, TODAY()), 2, 2)) - 1"),0.0504654172058272)</f>
        <v>0.05046541721</v>
      </c>
      <c r="DD47" s="38">
        <f>IFERROR(__xludf.DUMMYFUNCTION("(INDEX(GOOGLEFINANCE(B47, ""price"", TODAY()-7, TODAY()), ROWS(GOOGLEFINANCE(B47, ""price"", TODAY()-7, TODAY())), 2) / INDEX(GOOGLEFINANCE(B47, ""price"", TODAY()-7, TODAY()), 2, 2)) - 1"),0.011251305955155333)</f>
        <v>0.01125130596</v>
      </c>
    </row>
    <row r="48">
      <c r="A48" s="61" t="str">
        <f>IFERROR(__xludf.DUMMYFUNCTION("GOOGLEFINANCE(B48,""name"")"),"NextEra Energy Inc")</f>
        <v>NextEra Energy Inc</v>
      </c>
      <c r="B48" s="35" t="s">
        <v>154</v>
      </c>
      <c r="C48" s="35" t="s">
        <v>129</v>
      </c>
      <c r="D48" s="35" t="s">
        <v>91</v>
      </c>
      <c r="E48" s="64">
        <v>4.0</v>
      </c>
      <c r="F48" s="35">
        <f>IFERROR(__xludf.DUMMYFUNCTION("IFERROR(MIN(INDEX(GOOGLEFINANCE(B48,""close"",TODAY()-100,TODAY()),0,2)) * GOOGLEFINANCE(""CURRENCY:USDEUR""),""Error en datos"")"),54.8512338)</f>
        <v>54.8512338</v>
      </c>
      <c r="G48" s="35">
        <f>IFERROR(__xludf.DUMMYFUNCTION("IFERROR(MAX(INDEX(GOOGLEFINANCE(B48,""close"",TODAY()-100,TODAY()),0,2)) * GOOGLEFINANCE(""CURRENCY:USDEUR""),""Error en datos"")"),64.1685)</f>
        <v>64.1685</v>
      </c>
      <c r="H48" s="35">
        <f>IFERROR(__xludf.DUMMYFUNCTION("IFERROR(AVERAGE(INDEX(GOOGLEFINANCE(B48,""close"",TODAY()-20,TODAY()),0,2)) * GOOGLEFINANCE(""CURRENCY:USDEUR""),""Error en datos"")"),62.0209942)</f>
        <v>62.0209942</v>
      </c>
      <c r="I48" s="35">
        <f>IFERROR(__xludf.DUMMYFUNCTION("IFERROR(PERCENTILE(INDEX(GOOGLEFINANCE(B48,""close"",TODAY()-365,TODAY()),0,2),0.05) * GOOGLEFINANCE(""CURRENCY:USDEUR""),""Error en datos"")"),57.039807440000004)</f>
        <v>57.03980744</v>
      </c>
      <c r="J48" s="35">
        <f>IFERROR(__xludf.DUMMYFUNCTION("AVERAGE(INDEX(GOOGLEFINANCE(B48,""price"",TODAY()-20,TODAY(),""DAILY""),0,2))+(2*STDEV(INDEX(GOOGLEFINANCE(B48,""price"",TODAY()-20,TODAY(),""DAILY""),0,2)))"),76.15939182476285)</f>
        <v>76.15939182</v>
      </c>
      <c r="K48" s="35">
        <f>IFERROR(__xludf.DUMMYFUNCTION("AVERAGE(INDEX(GOOGLEFINANCE(B48,""price"",TODAY()-20,TODAY(),""DAILY""),0,2))-(2*STDEV(INDEX(GOOGLEFINANCE(B48,""price"",TODAY()-20,TODAY(),""DAILY""),0,2)))"),68.82060817523714)</f>
        <v>68.82060818</v>
      </c>
      <c r="L48" s="35">
        <v>2698.0</v>
      </c>
      <c r="M48" s="35">
        <f t="shared" si="1"/>
        <v>0.4740374426</v>
      </c>
      <c r="N48" s="35">
        <v>-14.3</v>
      </c>
      <c r="O48" s="35">
        <f t="shared" si="2"/>
        <v>0.3808888889</v>
      </c>
      <c r="P48" s="35">
        <v>4.75</v>
      </c>
      <c r="Q48" s="35">
        <f t="shared" si="3"/>
        <v>0.2416924266</v>
      </c>
      <c r="R48" s="35" t="str">
        <f>IFERROR(__xludf.DUMMYFUNCTION("IF(B48="""", """", SPARKLINE(INDEX(GOOGLEFINANCE(B48, ""price"", TODAY()-1825, TODAY()), 0, 2)))"),"")</f>
        <v/>
      </c>
      <c r="S48" s="35">
        <f t="shared" si="4"/>
        <v>60.23721647</v>
      </c>
      <c r="T48" s="35">
        <f t="shared" si="5"/>
        <v>66.28840579</v>
      </c>
      <c r="U48" s="34" t="str">
        <f t="shared" si="6"/>
        <v/>
      </c>
      <c r="V48" s="37">
        <f t="shared" si="7"/>
        <v>0.05674125945</v>
      </c>
      <c r="W48" s="37">
        <f t="shared" si="8"/>
        <v>-0.0283628795</v>
      </c>
      <c r="X48" s="34">
        <f>IFERROR(__xludf.DUMMYFUNCTION("AJ48*GOOGLEFINANCE(""CURRENCY:USD/EUR"")"),63.65515200000001)</f>
        <v>63.655152</v>
      </c>
      <c r="Y48" s="35">
        <f>IFERROR(__xludf.DUMMYFUNCTION("AI48*GOOGLEFINANCE(""CURRENCY:USD/EUR"")"),65.51329777046382)</f>
        <v>65.51329777</v>
      </c>
      <c r="Z48" s="38">
        <f t="shared" si="9"/>
        <v>0.04136748891</v>
      </c>
      <c r="AA48" s="38">
        <f t="shared" si="10"/>
        <v>0.06319081507</v>
      </c>
      <c r="AB48" s="38">
        <f t="shared" si="11"/>
        <v>0.02042950153</v>
      </c>
      <c r="AC48" s="41">
        <v>52.0</v>
      </c>
      <c r="AD48" s="40">
        <f t="shared" si="12"/>
        <v>0.3190117881</v>
      </c>
      <c r="AE48" s="41">
        <v>78.7</v>
      </c>
      <c r="AF48" s="41">
        <f t="shared" si="13"/>
        <v>0.3318400489</v>
      </c>
      <c r="AG48" s="41">
        <v>97.0</v>
      </c>
      <c r="AH48" s="41">
        <f t="shared" si="14"/>
        <v>0.349148163</v>
      </c>
      <c r="AI48" s="41">
        <f t="shared" si="15"/>
        <v>76.57179664</v>
      </c>
      <c r="AJ48" s="34">
        <f>IFERROR(__xludf.DUMMYFUNCTION("GOOGLEFINANCE(B48,""price"")"),74.4)</f>
        <v>74.4</v>
      </c>
      <c r="AK48" s="37">
        <f t="shared" si="78"/>
        <v>0.1707547007</v>
      </c>
      <c r="AL48" s="34">
        <v>67.36</v>
      </c>
      <c r="AM48" s="34">
        <f t="shared" si="16"/>
        <v>50.87227855</v>
      </c>
      <c r="AN48" s="34">
        <f t="shared" si="17"/>
        <v>72.36029326</v>
      </c>
      <c r="AO48" s="38">
        <f>IFERROR(__xludf.DUMMYFUNCTION("(GOOGLEFINANCE(B48, ""price"") - INDEX(GOOGLEFINANCE(B48, ""price"", DATE(2025,5,8)), 2, 2)) / INDEX(GOOGLEFINANCE(B48, ""price"", DATE(2025,5,8)), 2, 2)"),0.08899297423887607)</f>
        <v>0.08899297424</v>
      </c>
      <c r="AP48" s="37">
        <f t="shared" si="18"/>
        <v>0.1367547007</v>
      </c>
      <c r="AQ48" s="37">
        <f t="shared" si="19"/>
        <v>0.1045130641</v>
      </c>
      <c r="AR48" s="37">
        <f t="shared" si="20"/>
        <v>0.0322416366</v>
      </c>
      <c r="AS48" s="34">
        <f>IFERROR(__xludf.DUMMYFUNCTION("IF(X48&lt;K48,1,IF(X48&gt;J48,-1,0)) + IF(X48&lt;F48,1,IF(X48&gt;G48,-1,0)) + IF(X48&lt;I48,1,IF(X48&gt;I48,-1,0)) + IF(X48&lt;H48,1,IF(X48&gt;H48,-1,0))"),-1.0)</f>
        <v>-1</v>
      </c>
      <c r="AT48" s="34" t="str">
        <f t="shared" si="21"/>
        <v>Hold</v>
      </c>
      <c r="AU48" s="35" t="str">
        <f t="shared" si="22"/>
        <v>hold</v>
      </c>
      <c r="AV48" s="35" t="str">
        <f t="shared" si="23"/>
        <v>hold</v>
      </c>
      <c r="AW48" s="38">
        <f t="shared" si="24"/>
        <v>0.02919081507</v>
      </c>
      <c r="AX48" s="38">
        <f t="shared" si="25"/>
        <v>0.01553572489</v>
      </c>
      <c r="AY48" s="38">
        <f t="shared" si="26"/>
        <v>0.03876054774</v>
      </c>
      <c r="AZ48" s="42">
        <f t="shared" si="27"/>
        <v>0.03686785168</v>
      </c>
      <c r="BA48" s="38">
        <f t="shared" si="28"/>
        <v>0.7206214999</v>
      </c>
      <c r="BB48" s="38">
        <f t="shared" si="29"/>
        <v>0.2793785001</v>
      </c>
      <c r="BC48" s="38">
        <f t="shared" si="30"/>
        <v>-0.2008144361</v>
      </c>
      <c r="BD48" s="38">
        <f t="shared" si="31"/>
        <v>0.5588808715</v>
      </c>
      <c r="BE48" s="38">
        <f t="shared" si="32"/>
        <v>0.4411191285</v>
      </c>
      <c r="BF48" s="38">
        <f t="shared" si="33"/>
        <v>0.1662967749</v>
      </c>
      <c r="BG48" s="37">
        <f t="shared" si="34"/>
        <v>0.09099453397</v>
      </c>
      <c r="BH48" s="43">
        <f t="shared" si="35"/>
        <v>0.06487754085</v>
      </c>
      <c r="BI48" s="44">
        <f t="shared" si="36"/>
        <v>0.3387828981</v>
      </c>
      <c r="BJ48" s="38">
        <f t="shared" si="37"/>
        <v>-0.03451766123</v>
      </c>
      <c r="BK48" s="43">
        <f t="shared" si="38"/>
        <v>0.01827054502</v>
      </c>
      <c r="BL48" s="47">
        <v>135.97</v>
      </c>
      <c r="BM48" s="46">
        <f t="shared" si="39"/>
        <v>0.04296463578</v>
      </c>
      <c r="BN48" s="38">
        <v>0.034</v>
      </c>
      <c r="BO48" s="47">
        <v>25.27</v>
      </c>
      <c r="BP48" s="47">
        <f t="shared" si="40"/>
        <v>0.03702289516</v>
      </c>
      <c r="BQ48" s="47">
        <v>2.67</v>
      </c>
      <c r="BR48" s="47">
        <f t="shared" si="41"/>
        <v>0.1450788714</v>
      </c>
      <c r="BS48" s="47">
        <v>0.302</v>
      </c>
      <c r="BT48" s="47">
        <f t="shared" si="71"/>
        <v>0.6566321731</v>
      </c>
      <c r="BU48" s="47">
        <v>1.5</v>
      </c>
      <c r="BV48" s="47">
        <f t="shared" si="72"/>
        <v>0.9257425743</v>
      </c>
      <c r="BW48" s="48">
        <f t="shared" si="44"/>
        <v>1.216241238</v>
      </c>
      <c r="BX48" s="49">
        <f t="shared" si="45"/>
        <v>0.6126882553</v>
      </c>
      <c r="BY48" s="47">
        <f t="shared" si="46"/>
        <v>0.4411191285</v>
      </c>
      <c r="BZ48" s="50">
        <v>-0.069</v>
      </c>
      <c r="CA48" s="50">
        <f t="shared" si="47"/>
        <v>0.00329218107</v>
      </c>
      <c r="CB48" s="50">
        <v>-0.115</v>
      </c>
      <c r="CC48" s="50">
        <f t="shared" si="73"/>
        <v>0.1451316595</v>
      </c>
      <c r="CD48" s="50">
        <v>-0.271</v>
      </c>
      <c r="CE48" s="50">
        <f t="shared" si="49"/>
        <v>0.6766437139</v>
      </c>
      <c r="CF48" s="50">
        <f t="shared" si="50"/>
        <v>0.2750225182</v>
      </c>
      <c r="CG48" s="51">
        <v>0.083</v>
      </c>
      <c r="CH48" s="51">
        <f t="shared" si="51"/>
        <v>0.184553661</v>
      </c>
      <c r="CI48" s="51">
        <v>0.051</v>
      </c>
      <c r="CJ48" s="51">
        <f t="shared" si="52"/>
        <v>0.09808917197</v>
      </c>
      <c r="CK48" s="51">
        <v>0.053</v>
      </c>
      <c r="CL48" s="51">
        <f t="shared" si="74"/>
        <v>0.2867768595</v>
      </c>
      <c r="CM48" s="51">
        <v>0.101</v>
      </c>
      <c r="CN48" s="51">
        <f t="shared" si="54"/>
        <v>0.1499250375</v>
      </c>
      <c r="CO48" s="51">
        <v>0.259</v>
      </c>
      <c r="CP48" s="51">
        <f t="shared" si="75"/>
        <v>0.6775477707</v>
      </c>
      <c r="CQ48" s="51">
        <f t="shared" si="56"/>
        <v>0.2793785001</v>
      </c>
      <c r="CR48" s="52">
        <f t="shared" si="57"/>
        <v>0.3318400489</v>
      </c>
      <c r="CS48" s="53">
        <f t="shared" si="68"/>
        <v>0.3926640502</v>
      </c>
      <c r="CT48" s="54">
        <f t="shared" si="59"/>
        <v>0.3232985918</v>
      </c>
      <c r="CU48" s="55">
        <f t="shared" si="60"/>
        <v>0.05927220682</v>
      </c>
      <c r="CV48" s="34">
        <f t="shared" si="61"/>
        <v>0.820077809</v>
      </c>
      <c r="CW48" s="34">
        <f t="shared" si="62"/>
        <v>0.3709394767</v>
      </c>
      <c r="CX48" s="35">
        <f t="shared" si="63"/>
        <v>0.3112906577</v>
      </c>
      <c r="CY48" s="38">
        <f>IFERROR(__xludf.DUMMYFUNCTION("(GOOGLEFINANCE(B48,""price"")/INDEX(GOOGLEFINANCE(B48,""price"",TODAY()-30),2,2))-1"),0.008403361344537785)</f>
        <v>0.008403361345</v>
      </c>
      <c r="CZ48" s="38">
        <f>IFERROR(__xludf.DUMMYFUNCTION("(GOOGLEFINANCE($B48,""price"")/INDEX(GOOGLEFINANCE($B48,""price"",TODAY()-180),2,2))-1"),0.07374801558666477)</f>
        <v>0.07374801559</v>
      </c>
      <c r="DA48" s="38">
        <f>IFERROR(__xludf.DUMMYFUNCTION("(GOOGLEFINANCE($B48,""price"")/INDEX(GOOGLEFINANCE($B48,""price"",TODAY()-365),2,2))-1"),0.04833028040016929)</f>
        <v>0.0483302804</v>
      </c>
      <c r="DB48" s="38">
        <f>IFERROR(__xludf.DUMMYFUNCTION("(GOOGLEFINANCE($B48,""price"")/INDEX(GOOGLEFINANCE($B48,""price"",TODAY()-365*5),2,2))-1"),0.14903474903474923)</f>
        <v>0.149034749</v>
      </c>
      <c r="DC48" s="38">
        <f>IFERROR(__xludf.DUMMYFUNCTION("(INDEX(GOOGLEFINANCE(B48, ""price"", TODAY()-30, TODAY()), ROWS(GOOGLEFINANCE(B48, ""price"", TODAY()-30, TODAY())), 2) / INDEX(GOOGLEFINANCE(B48, ""price"", TODAY()-30, TODAY()), 2, 2)) - 1"),0.008403361344537785)</f>
        <v>0.008403361345</v>
      </c>
      <c r="DD48" s="38">
        <f>IFERROR(__xludf.DUMMYFUNCTION("(INDEX(GOOGLEFINANCE(B48, ""price"", TODAY()-7, TODAY()), ROWS(GOOGLEFINANCE(B48, ""price"", TODAY()-7, TODAY())), 2) / INDEX(GOOGLEFINANCE(B48, ""price"", TODAY()-7, TODAY()), 2, 2)) - 1"),-0.004682274247491569)</f>
        <v>-0.004682274247</v>
      </c>
    </row>
    <row r="49">
      <c r="A49" s="34" t="str">
        <f>IFERROR(__xludf.DUMMYFUNCTION("GOOGLEFINANCE(B49,""name"")"),"Netflix Inc")</f>
        <v>Netflix Inc</v>
      </c>
      <c r="B49" s="35" t="s">
        <v>155</v>
      </c>
      <c r="C49" s="35" t="s">
        <v>90</v>
      </c>
      <c r="D49" s="35" t="s">
        <v>105</v>
      </c>
      <c r="E49" s="57">
        <v>3.0</v>
      </c>
      <c r="F49" s="35">
        <f>IFERROR(__xludf.DUMMYFUNCTION("IFERROR(MIN(INDEX(GOOGLEFINANCE(B49,""close"",TODAY()-100,TODAY()),0,2)) * GOOGLEFINANCE(""CURRENCY:USDEUR""),""Error en datos"")"),742.4979914)</f>
        <v>742.4979914</v>
      </c>
      <c r="G49" s="35">
        <f>IFERROR(__xludf.DUMMYFUNCTION("IFERROR(MAX(INDEX(GOOGLEFINANCE(B49,""close"",TODAY()-100,TODAY()),0,2)) * GOOGLEFINANCE(""CURRENCY:USDEUR""),""Error en datos"")"),1145.7328454)</f>
        <v>1145.732845</v>
      </c>
      <c r="H49" s="35">
        <f>IFERROR(__xludf.DUMMYFUNCTION("IFERROR(AVERAGE(INDEX(GOOGLEFINANCE(B49,""close"",TODAY()-20,TODAY()),0,2)) * GOOGLEFINANCE(""CURRENCY:USDEUR""),""Error en datos"")"),1102.2391070307694)</f>
        <v>1102.239107</v>
      </c>
      <c r="I49" s="35">
        <f>IFERROR(__xludf.DUMMYFUNCTION("IFERROR(PERCENTILE(INDEX(GOOGLEFINANCE(B49,""close"",TODAY()-365,TODAY()),0,2),0.05) * GOOGLEFINANCE(""CURRENCY:USDEUR""),""Error en datos"")"),542.4313031500001)</f>
        <v>542.4313032</v>
      </c>
      <c r="J49" s="35">
        <f>IFERROR(__xludf.DUMMYFUNCTION("AVERAGE(INDEX(GOOGLEFINANCE(B49,""price"",TODAY()-20,TODAY(),""DAILY""),0,2))+(2*STDEV(INDEX(GOOGLEFINANCE(B49,""price"",TODAY()-20,TODAY(),""DAILY""),0,2)))"),1339.8213641761474)</f>
        <v>1339.821364</v>
      </c>
      <c r="K49" s="35">
        <f>IFERROR(__xludf.DUMMYFUNCTION("AVERAGE(INDEX(GOOGLEFINANCE(B49,""price"",TODAY()-20,TODAY(),""DAILY""),0,2))-(2*STDEV(INDEX(GOOGLEFINANCE(B49,""price"",TODAY()-20,TODAY(),""DAILY""),0,2)))"),1236.7678665930837)</f>
        <v>1236.767867</v>
      </c>
      <c r="L49" s="35">
        <v>3032.0</v>
      </c>
      <c r="M49" s="35">
        <f t="shared" si="1"/>
        <v>0.5330271989</v>
      </c>
      <c r="N49" s="35">
        <v>40.0</v>
      </c>
      <c r="O49" s="35">
        <f t="shared" si="2"/>
        <v>0.6222222222</v>
      </c>
      <c r="P49" s="35">
        <v>1.64</v>
      </c>
      <c r="Q49" s="35">
        <f t="shared" si="3"/>
        <v>0.1816074189</v>
      </c>
      <c r="R49" s="35" t="str">
        <f>IFERROR(__xludf.DUMMYFUNCTION("IF(B49="""", """", SPARKLINE(INDEX(GOOGLEFINANCE(B49, ""price"", TODAY()-1825, TODAY()), 0, 2)))"),"")</f>
        <v/>
      </c>
      <c r="S49" s="35">
        <f t="shared" si="4"/>
        <v>840.5657204</v>
      </c>
      <c r="T49" s="35">
        <f t="shared" si="5"/>
        <v>1114.167616</v>
      </c>
      <c r="U49" s="34" t="str">
        <f t="shared" si="6"/>
        <v/>
      </c>
      <c r="V49" s="37">
        <f t="shared" si="7"/>
        <v>0.2673502951</v>
      </c>
      <c r="W49" s="37">
        <f t="shared" si="8"/>
        <v>-0.02127299829</v>
      </c>
      <c r="X49" s="34">
        <f>IFERROR(__xludf.DUMMYFUNCTION("AJ49*GOOGLEFINANCE(""CURRENCY:USD/EUR"")"),1065.2912138)</f>
        <v>1065.291214</v>
      </c>
      <c r="Y49" s="35">
        <f>IFERROR(__xludf.DUMMYFUNCTION("AI49*GOOGLEFINANCE(""CURRENCY:USD/EUR"")"),1088.4457176960252)</f>
        <v>1088.445718</v>
      </c>
      <c r="Z49" s="38">
        <f t="shared" si="9"/>
        <v>0.04588078932</v>
      </c>
      <c r="AA49" s="38">
        <f t="shared" si="10"/>
        <v>0.02173537489</v>
      </c>
      <c r="AB49" s="38">
        <f t="shared" si="11"/>
        <v>0.006291734131</v>
      </c>
      <c r="AC49" s="41">
        <v>950.0</v>
      </c>
      <c r="AD49" s="40">
        <f t="shared" si="12"/>
        <v>0.2815062926</v>
      </c>
      <c r="AE49" s="41">
        <v>1272.0</v>
      </c>
      <c r="AF49" s="41">
        <f t="shared" si="13"/>
        <v>0.4416096866</v>
      </c>
      <c r="AG49" s="41">
        <v>1600.0</v>
      </c>
      <c r="AH49" s="41">
        <f t="shared" si="14"/>
        <v>0.2768840208</v>
      </c>
      <c r="AI49" s="41">
        <f t="shared" si="15"/>
        <v>1272.172933</v>
      </c>
      <c r="AJ49" s="34">
        <f>IFERROR(__xludf.DUMMYFUNCTION("GOOGLEFINANCE(B49,""price"")"),1245.11)</f>
        <v>1245.11</v>
      </c>
      <c r="AK49" s="37">
        <f t="shared" si="78"/>
        <v>0.1010575749</v>
      </c>
      <c r="AL49" s="34">
        <v>1155.41</v>
      </c>
      <c r="AM49" s="34">
        <f t="shared" si="16"/>
        <v>916.9069778</v>
      </c>
      <c r="AN49" s="34">
        <f t="shared" si="17"/>
        <v>1172.94696</v>
      </c>
      <c r="AO49" s="38">
        <f>IFERROR(__xludf.DUMMYFUNCTION("(GOOGLEFINANCE(B49, ""price"") - INDEX(GOOGLEFINANCE(B49, ""price"", DATE(2025,5,8)), 2, 2)) / INDEX(GOOGLEFINANCE(B49, ""price"", DATE(2025,5,8)), 2, 2)"),0.0879739258845013)</f>
        <v>0.08797392588</v>
      </c>
      <c r="AP49" s="37">
        <f t="shared" si="18"/>
        <v>0.1010575749</v>
      </c>
      <c r="AQ49" s="37">
        <f t="shared" si="19"/>
        <v>0.077634779</v>
      </c>
      <c r="AR49" s="37">
        <f t="shared" si="20"/>
        <v>0.02342279591</v>
      </c>
      <c r="AS49" s="34">
        <f>IFERROR(__xludf.DUMMYFUNCTION("IF(X49&lt;K49,1,IF(X49&gt;J49,-1,0)) + IF(X49&lt;F49,1,IF(X49&gt;G49,-1,0)) + IF(X49&lt;I49,1,IF(X49&gt;I49,-1,0)) + IF(X49&lt;H49,1,IF(X49&gt;H49,-1,0))"),1.0)</f>
        <v>1</v>
      </c>
      <c r="AT49" s="34" t="str">
        <f t="shared" si="21"/>
        <v>Hold</v>
      </c>
      <c r="AU49" s="35" t="str">
        <f t="shared" si="22"/>
        <v>venta</v>
      </c>
      <c r="AV49" s="35" t="str">
        <f t="shared" si="23"/>
        <v>hold</v>
      </c>
      <c r="AW49" s="38">
        <f t="shared" si="24"/>
        <v>0.02173537489</v>
      </c>
      <c r="AX49" s="38">
        <f t="shared" si="25"/>
        <v>0.4553789311</v>
      </c>
      <c r="AY49" s="38">
        <f t="shared" si="26"/>
        <v>0.4592338996</v>
      </c>
      <c r="AZ49" s="42">
        <f t="shared" si="27"/>
        <v>0.08190004467</v>
      </c>
      <c r="BA49" s="38">
        <f t="shared" si="28"/>
        <v>0.6221154187</v>
      </c>
      <c r="BB49" s="38">
        <f t="shared" si="29"/>
        <v>0.3778845813</v>
      </c>
      <c r="BC49" s="38">
        <f t="shared" si="30"/>
        <v>-0.1392898337</v>
      </c>
      <c r="BD49" s="38">
        <f t="shared" si="31"/>
        <v>0.4467451511</v>
      </c>
      <c r="BE49" s="38">
        <f t="shared" si="32"/>
        <v>0.5532548489</v>
      </c>
      <c r="BF49" s="38">
        <f t="shared" si="33"/>
        <v>0.1673407092</v>
      </c>
      <c r="BG49" s="37">
        <f t="shared" si="34"/>
        <v>0.1497746516</v>
      </c>
      <c r="BH49" s="43">
        <f t="shared" si="35"/>
        <v>0.3045042756</v>
      </c>
      <c r="BI49" s="44">
        <f t="shared" si="36"/>
        <v>0.4432607892</v>
      </c>
      <c r="BJ49" s="38">
        <f t="shared" si="37"/>
        <v>0.02805087553</v>
      </c>
      <c r="BK49" s="43">
        <f t="shared" si="38"/>
        <v>0.8585001656</v>
      </c>
      <c r="BL49" s="59">
        <v>491.71</v>
      </c>
      <c r="BM49" s="46">
        <f t="shared" si="39"/>
        <v>0.1554811223</v>
      </c>
      <c r="BN49" s="38">
        <v>0.0</v>
      </c>
      <c r="BO49" s="59">
        <v>40.17</v>
      </c>
      <c r="BP49" s="47">
        <f t="shared" si="40"/>
        <v>0.05890473323</v>
      </c>
      <c r="BQ49" s="59">
        <v>21.15</v>
      </c>
      <c r="BR49" s="47">
        <f t="shared" si="41"/>
        <v>0.555654299</v>
      </c>
      <c r="BS49" s="60">
        <v>0.277</v>
      </c>
      <c r="BT49" s="47">
        <f t="shared" si="71"/>
        <v>0.6331138288</v>
      </c>
      <c r="BU49" s="59">
        <v>0.7</v>
      </c>
      <c r="BV49" s="47">
        <f t="shared" si="72"/>
        <v>0.9653465347</v>
      </c>
      <c r="BW49" s="48">
        <f t="shared" si="44"/>
        <v>0.7347845229</v>
      </c>
      <c r="BX49" s="49">
        <f t="shared" si="45"/>
        <v>0.5820173029</v>
      </c>
      <c r="BY49" s="47">
        <f t="shared" si="46"/>
        <v>0.5532548489</v>
      </c>
      <c r="BZ49" s="60">
        <v>0.15</v>
      </c>
      <c r="CA49" s="50">
        <f t="shared" si="47"/>
        <v>0.1835390947</v>
      </c>
      <c r="CB49" s="60">
        <v>0.392</v>
      </c>
      <c r="CC49" s="50">
        <f t="shared" si="73"/>
        <v>0.3003674219</v>
      </c>
      <c r="CD49" s="60">
        <v>0.468</v>
      </c>
      <c r="CE49" s="50">
        <f t="shared" si="49"/>
        <v>0.6971623723</v>
      </c>
      <c r="CF49" s="50">
        <f t="shared" si="50"/>
        <v>0.3936896296</v>
      </c>
      <c r="CG49" s="60">
        <v>0.338</v>
      </c>
      <c r="CH49" s="51">
        <f t="shared" si="51"/>
        <v>0.3124373119</v>
      </c>
      <c r="CI49" s="60">
        <v>0.134</v>
      </c>
      <c r="CJ49" s="51">
        <f t="shared" si="52"/>
        <v>0.2038216561</v>
      </c>
      <c r="CK49" s="60">
        <v>0.29</v>
      </c>
      <c r="CL49" s="51">
        <f t="shared" si="74"/>
        <v>0.4826446281</v>
      </c>
      <c r="CM49" s="60">
        <v>0.31</v>
      </c>
      <c r="CN49" s="51">
        <f t="shared" si="54"/>
        <v>0.2543728136</v>
      </c>
      <c r="CO49" s="60">
        <v>0.207</v>
      </c>
      <c r="CP49" s="51">
        <f t="shared" si="75"/>
        <v>0.6361464968</v>
      </c>
      <c r="CQ49" s="51">
        <f t="shared" si="56"/>
        <v>0.3778845813</v>
      </c>
      <c r="CR49" s="52">
        <f t="shared" si="57"/>
        <v>0.4416096866</v>
      </c>
      <c r="CS49" s="53">
        <f t="shared" si="68"/>
        <v>0.4674710097</v>
      </c>
      <c r="CT49" s="54">
        <f t="shared" si="59"/>
        <v>0.2894697774</v>
      </c>
      <c r="CU49" s="55">
        <f t="shared" si="60"/>
        <v>0.04445719867</v>
      </c>
      <c r="CV49" s="34">
        <f t="shared" si="61"/>
        <v>1.478257584</v>
      </c>
      <c r="CW49" s="34">
        <f t="shared" si="62"/>
        <v>0.5903692393</v>
      </c>
      <c r="CX49" s="35">
        <f t="shared" si="63"/>
        <v>0.4019148205</v>
      </c>
      <c r="CY49" s="38">
        <f>IFERROR(__xludf.DUMMYFUNCTION("(GOOGLEFINANCE(B49,""price"")/INDEX(GOOGLEFINANCE(B49,""price"",TODAY()-30),2,2))-1"),0.016126004814950745)</f>
        <v>0.01612600481</v>
      </c>
      <c r="CZ49" s="38">
        <f>IFERROR(__xludf.DUMMYFUNCTION("(GOOGLEFINANCE($B49,""price"")/INDEX(GOOGLEFINANCE($B49,""price"",TODAY()-180),2,2))-1"),0.4678400490415673)</f>
        <v>0.467840049</v>
      </c>
      <c r="DA49" s="38">
        <f>IFERROR(__xludf.DUMMYFUNCTION("(GOOGLEFINANCE($B49,""price"")/INDEX(GOOGLEFINANCE($B49,""price"",TODAY()-365),2,2))-1"),0.8967324244039909)</f>
        <v>0.8967324244</v>
      </c>
      <c r="DB49" s="38">
        <f>IFERROR(__xludf.DUMMYFUNCTION("(GOOGLEFINANCE($B49,""price"")/INDEX(GOOGLEFINANCE($B49,""price"",TODAY()-365*5),2,2))-1"),1.3795245193594003)</f>
        <v>1.379524519</v>
      </c>
      <c r="DC49" s="38">
        <f>IFERROR(__xludf.DUMMYFUNCTION("(INDEX(GOOGLEFINANCE(B49, ""price"", TODAY()-30, TODAY()), ROWS(GOOGLEFINANCE(B49, ""price"", TODAY()-30, TODAY())), 2) / INDEX(GOOGLEFINANCE(B49, ""price"", TODAY()-30, TODAY()), 2, 2)) - 1"),0.016126004814950745)</f>
        <v>0.01612600481</v>
      </c>
      <c r="DD49" s="38">
        <f>IFERROR(__xludf.DUMMYFUNCTION("(INDEX(GOOGLEFINANCE(B49, ""price"", TODAY()-7, TODAY()), ROWS(GOOGLEFINANCE(B49, ""price"", TODAY()-7, TODAY())), 2) / INDEX(GOOGLEFINANCE(B49, ""price"", TODAY()-7, TODAY()), 2, 2)) - 1"),-0.03451404289635707)</f>
        <v>-0.0345140429</v>
      </c>
    </row>
    <row r="50">
      <c r="A50" s="34" t="str">
        <f>IFERROR(__xludf.DUMMYFUNCTION("GOOGLEFINANCE(B50,""name"")"),"Nike Inc")</f>
        <v>Nike Inc</v>
      </c>
      <c r="B50" s="35" t="s">
        <v>156</v>
      </c>
      <c r="C50" s="35" t="s">
        <v>119</v>
      </c>
      <c r="D50" s="35" t="s">
        <v>105</v>
      </c>
      <c r="E50" s="57">
        <v>3.0</v>
      </c>
      <c r="F50" s="35">
        <f>IFERROR(__xludf.DUMMYFUNCTION("IFERROR(MIN(INDEX(GOOGLEFINANCE(B50,""close"",TODAY()-100,TODAY()),0,2)) * GOOGLEFINANCE(""CURRENCY:USDEUR""),""Error en datos"")"),45.5767466)</f>
        <v>45.5767466</v>
      </c>
      <c r="G50" s="35">
        <f>IFERROR(__xludf.DUMMYFUNCTION("IFERROR(MAX(INDEX(GOOGLEFINANCE(B50,""close"",TODAY()-100,TODAY()),0,2)) * GOOGLEFINANCE(""CURRENCY:USDEUR""),""Error en datos"")"),65.4775374)</f>
        <v>65.4775374</v>
      </c>
      <c r="H50" s="35">
        <f>IFERROR(__xludf.DUMMYFUNCTION("IFERROR(AVERAGE(INDEX(GOOGLEFINANCE(B50,""close"",TODAY()-20,TODAY()),0,2)) * GOOGLEFINANCE(""CURRENCY:USDEUR""),""Error en datos"")"),60.898868123076916)</f>
        <v>60.89886812</v>
      </c>
      <c r="I50" s="35">
        <f>IFERROR(__xludf.DUMMYFUNCTION("IFERROR(PERCENTILE(INDEX(GOOGLEFINANCE(B50,""close"",TODAY()-365,TODAY()),0,2),0.05) * GOOGLEFINANCE(""CURRENCY:USDEUR""),""Error en datos"")"),48.80912784)</f>
        <v>48.80912784</v>
      </c>
      <c r="J50" s="35">
        <f>IFERROR(__xludf.DUMMYFUNCTION("AVERAGE(INDEX(GOOGLEFINANCE(B50,""price"",TODAY()-20,TODAY(),""DAILY""),0,2))+(2*STDEV(INDEX(GOOGLEFINANCE(B50,""price"",TODAY()-20,TODAY(),""DAILY""),0,2)))"),82.62078894202138)</f>
        <v>82.62078894</v>
      </c>
      <c r="K50" s="35">
        <f>IFERROR(__xludf.DUMMYFUNCTION("AVERAGE(INDEX(GOOGLEFINANCE(B50,""price"",TODAY()-20,TODAY(),""DAILY""),0,2))-(2*STDEV(INDEX(GOOGLEFINANCE(B50,""price"",TODAY()-20,TODAY(),""DAILY""),0,2)))"),59.73613413490169)</f>
        <v>59.73613413</v>
      </c>
      <c r="L50" s="35">
        <v>2134.0</v>
      </c>
      <c r="M50" s="35">
        <f t="shared" si="1"/>
        <v>0.3744259979</v>
      </c>
      <c r="N50" s="35">
        <v>0.0</v>
      </c>
      <c r="O50" s="35">
        <f t="shared" si="2"/>
        <v>0.4444444444</v>
      </c>
      <c r="P50" s="35">
        <v>1.5</v>
      </c>
      <c r="Q50" s="35">
        <f t="shared" si="3"/>
        <v>0.1789026275</v>
      </c>
      <c r="R50" s="35" t="str">
        <f>IFERROR(__xludf.DUMMYFUNCTION("IF(B50="""", """", SPARKLINE(INDEX(GOOGLEFINANCE(B50, ""price"", TODAY()-1825, TODAY()), 0, 2)))"),"")</f>
        <v/>
      </c>
      <c r="S50" s="35">
        <f t="shared" si="4"/>
        <v>51.37400286</v>
      </c>
      <c r="T50" s="35">
        <f t="shared" si="5"/>
        <v>73.22421266</v>
      </c>
      <c r="U50" s="34" t="str">
        <f t="shared" si="6"/>
        <v/>
      </c>
      <c r="V50" s="37">
        <f t="shared" si="7"/>
        <v>0.2095762826</v>
      </c>
      <c r="W50" s="37">
        <f t="shared" si="8"/>
        <v>-0.1494465282</v>
      </c>
      <c r="X50" s="34">
        <f>IFERROR(__xludf.DUMMYFUNCTION("AJ50*GOOGLEFINANCE(""CURRENCY:USD/EUR"")"),62.140775399999995)</f>
        <v>62.1407754</v>
      </c>
      <c r="Y50" s="35">
        <f>IFERROR(__xludf.DUMMYFUNCTION("AI50*GOOGLEFINANCE(""CURRENCY:USD/EUR"")"),73.0592225629312)</f>
        <v>73.05922256</v>
      </c>
      <c r="Z50" s="38">
        <f t="shared" si="9"/>
        <v>0.1783601378</v>
      </c>
      <c r="AA50" s="38">
        <f t="shared" si="10"/>
        <v>0.2037050357</v>
      </c>
      <c r="AB50" s="38">
        <f t="shared" si="11"/>
        <v>0.0705940076</v>
      </c>
      <c r="AC50" s="41">
        <v>56.0</v>
      </c>
      <c r="AD50" s="40">
        <f t="shared" si="12"/>
        <v>0.3245141544</v>
      </c>
      <c r="AE50" s="41">
        <v>76.0</v>
      </c>
      <c r="AF50" s="41">
        <f t="shared" si="13"/>
        <v>0.3145372129</v>
      </c>
      <c r="AG50" s="41">
        <v>120.0</v>
      </c>
      <c r="AH50" s="41">
        <f t="shared" si="14"/>
        <v>0.3609486326</v>
      </c>
      <c r="AI50" s="41">
        <f t="shared" si="15"/>
        <v>85.39145675</v>
      </c>
      <c r="AJ50" s="34">
        <f>IFERROR(__xludf.DUMMYFUNCTION("GOOGLEFINANCE(B50,""price"")"),72.63)</f>
        <v>72.63</v>
      </c>
      <c r="AK50" s="37">
        <f>AR50+BN50</f>
        <v>0.2456979998</v>
      </c>
      <c r="AL50" s="34">
        <v>58.62</v>
      </c>
      <c r="AM50" s="34">
        <f t="shared" si="16"/>
        <v>52.44966002</v>
      </c>
      <c r="AN50" s="34">
        <f t="shared" si="17"/>
        <v>90.52015242</v>
      </c>
      <c r="AO50" s="38">
        <f>IFERROR(__xludf.DUMMYFUNCTION("(GOOGLEFINANCE(B50, ""price"") - INDEX(GOOGLEFINANCE(B50, ""price"", DATE(2025,5,8)), 2, 2)) / INDEX(GOOGLEFINANCE(B50, ""price"", DATE(2025,5,8)), 2, 2)"),0.23289764046851127)</f>
        <v>0.2328976405</v>
      </c>
      <c r="AP50" s="37">
        <f t="shared" si="18"/>
        <v>0.4566949291</v>
      </c>
      <c r="AQ50" s="37">
        <f t="shared" si="19"/>
        <v>0.2389969294</v>
      </c>
      <c r="AR50" s="37">
        <f t="shared" si="20"/>
        <v>0.2176979998</v>
      </c>
      <c r="AS50" s="34">
        <f>IFERROR(__xludf.DUMMYFUNCTION("IF(X50&lt;K50,1,IF(X50&gt;J50,-1,0)) + IF(X50&lt;F50,1,IF(X50&gt;G50,-1,0)) + IF(X50&lt;I50,1,IF(X50&gt;I50,-1,0)) + IF(X50&lt;H50,1,IF(X50&gt;H50,-1,0))"),-2.0)</f>
        <v>-2</v>
      </c>
      <c r="AT50" s="34" t="str">
        <f t="shared" si="21"/>
        <v>Hold</v>
      </c>
      <c r="AU50" s="35" t="str">
        <f t="shared" si="22"/>
        <v>hold</v>
      </c>
      <c r="AV50" s="35" t="str">
        <f t="shared" si="23"/>
        <v>hold</v>
      </c>
      <c r="AW50" s="38">
        <f t="shared" si="24"/>
        <v>0.1757050357</v>
      </c>
      <c r="AX50" s="38">
        <f t="shared" si="25"/>
        <v>0.04428729264</v>
      </c>
      <c r="AY50" s="38">
        <f t="shared" si="26"/>
        <v>0.09710788178</v>
      </c>
      <c r="AZ50" s="42">
        <f t="shared" si="27"/>
        <v>0.1027265577</v>
      </c>
      <c r="BA50" s="38">
        <f t="shared" si="28"/>
        <v>0.7348477042</v>
      </c>
      <c r="BB50" s="38">
        <f t="shared" si="29"/>
        <v>0.2651522958</v>
      </c>
      <c r="BC50" s="38">
        <f t="shared" si="30"/>
        <v>-0.1559542074</v>
      </c>
      <c r="BD50" s="38">
        <f t="shared" si="31"/>
        <v>0.5878538632</v>
      </c>
      <c r="BE50" s="38">
        <f t="shared" si="32"/>
        <v>0.4121461368</v>
      </c>
      <c r="BF50" s="38">
        <f t="shared" si="33"/>
        <v>0.2960819223</v>
      </c>
      <c r="BG50" s="37">
        <f t="shared" si="34"/>
        <v>0.1353892579</v>
      </c>
      <c r="BH50" s="43">
        <f t="shared" si="35"/>
        <v>0.1162485699</v>
      </c>
      <c r="BI50" s="44">
        <f t="shared" si="36"/>
        <v>0.3824808099</v>
      </c>
      <c r="BJ50" s="38">
        <f t="shared" si="37"/>
        <v>0.1401277149</v>
      </c>
      <c r="BK50" s="43">
        <f t="shared" si="38"/>
        <v>0.1082545202</v>
      </c>
      <c r="BL50" s="47">
        <v>83.78</v>
      </c>
      <c r="BM50" s="46">
        <f t="shared" si="39"/>
        <v>0.02645753668</v>
      </c>
      <c r="BN50" s="38">
        <v>0.028</v>
      </c>
      <c r="BO50" s="47">
        <v>47.82</v>
      </c>
      <c r="BP50" s="47">
        <f t="shared" si="40"/>
        <v>0.07013936822</v>
      </c>
      <c r="BQ50" s="47">
        <v>3.01</v>
      </c>
      <c r="BR50" s="47">
        <f t="shared" si="41"/>
        <v>0.1526327483</v>
      </c>
      <c r="BS50" s="47">
        <v>0.104</v>
      </c>
      <c r="BT50" s="47">
        <f t="shared" si="71"/>
        <v>0.4703668862</v>
      </c>
      <c r="BU50" s="47">
        <v>0.9</v>
      </c>
      <c r="BV50" s="47">
        <f t="shared" si="72"/>
        <v>0.9554455446</v>
      </c>
      <c r="BW50" s="48">
        <f t="shared" si="44"/>
        <v>1.24329884</v>
      </c>
      <c r="BX50" s="49">
        <f t="shared" si="45"/>
        <v>0.64871305</v>
      </c>
      <c r="BY50" s="47">
        <f t="shared" si="46"/>
        <v>0.4121461368</v>
      </c>
      <c r="BZ50" s="50">
        <v>-0.073</v>
      </c>
      <c r="CA50" s="50">
        <f t="shared" si="47"/>
        <v>0</v>
      </c>
      <c r="CB50" s="50">
        <v>-0.204</v>
      </c>
      <c r="CC50" s="50">
        <f t="shared" si="73"/>
        <v>0.1178812002</v>
      </c>
      <c r="CD50" s="50">
        <v>-0.112</v>
      </c>
      <c r="CE50" s="50">
        <f t="shared" si="49"/>
        <v>0.6810584185</v>
      </c>
      <c r="CF50" s="50">
        <f t="shared" si="50"/>
        <v>0.2663132062</v>
      </c>
      <c r="CG50" s="51">
        <v>0.022</v>
      </c>
      <c r="CH50" s="51">
        <f t="shared" si="51"/>
        <v>0.1539618857</v>
      </c>
      <c r="CI50" s="51">
        <v>0.03</v>
      </c>
      <c r="CJ50" s="51">
        <f t="shared" si="52"/>
        <v>0.07133757962</v>
      </c>
      <c r="CK50" s="51">
        <v>-0.016</v>
      </c>
      <c r="CL50" s="51">
        <f t="shared" si="74"/>
        <v>0.2297520661</v>
      </c>
      <c r="CM50" s="51">
        <v>0.401</v>
      </c>
      <c r="CN50" s="51">
        <f t="shared" si="54"/>
        <v>0.299850075</v>
      </c>
      <c r="CO50" s="51">
        <v>0.125</v>
      </c>
      <c r="CP50" s="51">
        <f t="shared" si="75"/>
        <v>0.5708598726</v>
      </c>
      <c r="CQ50" s="51">
        <f t="shared" si="56"/>
        <v>0.2651522958</v>
      </c>
      <c r="CR50" s="52">
        <f t="shared" si="57"/>
        <v>0.3145372129</v>
      </c>
      <c r="CS50" s="53">
        <f t="shared" si="68"/>
        <v>0.3430497669</v>
      </c>
      <c r="CT50" s="54">
        <f t="shared" si="59"/>
        <v>0.3465501348</v>
      </c>
      <c r="CU50" s="55">
        <f t="shared" si="60"/>
        <v>0.07978982742</v>
      </c>
      <c r="CV50" s="34">
        <f t="shared" si="61"/>
        <v>0.5827055637</v>
      </c>
      <c r="CW50" s="34">
        <f t="shared" si="62"/>
        <v>0.3029449974</v>
      </c>
      <c r="CX50" s="35">
        <f t="shared" si="63"/>
        <v>0.311673536</v>
      </c>
      <c r="CY50" s="38">
        <f>IFERROR(__xludf.DUMMYFUNCTION("(GOOGLEFINANCE(B50,""price"")/INDEX(GOOGLEFINANCE(B50,""price"",TODAY()-30),2,2))-1"),0.17334410339256867)</f>
        <v>0.1733441034</v>
      </c>
      <c r="CZ50" s="38">
        <f>IFERROR(__xludf.DUMMYFUNCTION("(GOOGLEFINANCE($B50,""price"")/INDEX(GOOGLEFINANCE($B50,""price"",TODAY()-180),2,2))-1"),0.021950189953567012)</f>
        <v>0.02195018995</v>
      </c>
      <c r="DA50" s="38">
        <f>IFERROR(__xludf.DUMMYFUNCTION("(GOOGLEFINANCE($B50,""price"")/INDEX(GOOGLEFINANCE($B50,""price"",TODAY()-365),2,2))-1"),0.018510727808161542)</f>
        <v>0.01851072781</v>
      </c>
      <c r="DB50" s="38">
        <f>IFERROR(__xludf.DUMMYFUNCTION("(GOOGLEFINANCE($B50,""price"")/INDEX(GOOGLEFINANCE($B50,""price"",TODAY()-365*5),2,2))-1"),-0.26293890805764164)</f>
        <v>-0.2629389081</v>
      </c>
      <c r="DC50" s="38">
        <f>IFERROR(__xludf.DUMMYFUNCTION("(INDEX(GOOGLEFINANCE(B50, ""price"", TODAY()-30, TODAY()), ROWS(GOOGLEFINANCE(B50, ""price"", TODAY()-30, TODAY())), 2) / INDEX(GOOGLEFINANCE(B50, ""price"", TODAY()-30, TODAY()), 2, 2)) - 1"),0.17334410339256867)</f>
        <v>0.1733441034</v>
      </c>
      <c r="DD50" s="38">
        <f>IFERROR(__xludf.DUMMYFUNCTION("(INDEX(GOOGLEFINANCE(B50, ""price"", TODAY()-7, TODAY()), ROWS(GOOGLEFINANCE(B50, ""price"", TODAY()-7, TODAY())), 2) / INDEX(GOOGLEFINANCE(B50, ""price"", TODAY()-7, TODAY()), 2, 2)) - 1"),-0.05096040768326149)</f>
        <v>-0.05096040768</v>
      </c>
    </row>
    <row r="51">
      <c r="A51" s="34" t="str">
        <f>IFERROR(__xludf.DUMMYFUNCTION("GOOGLEFINANCE(B51,""name"")"),"Nu Holdings Ltd")</f>
        <v>Nu Holdings Ltd</v>
      </c>
      <c r="B51" s="35" t="s">
        <v>157</v>
      </c>
      <c r="C51" s="35" t="s">
        <v>111</v>
      </c>
      <c r="D51" s="35" t="s">
        <v>91</v>
      </c>
      <c r="E51" s="64">
        <v>4.0</v>
      </c>
      <c r="F51" s="35">
        <f>IFERROR(__xludf.DUMMYFUNCTION("IFERROR(MIN(INDEX(GOOGLEFINANCE(B51,""close"",TODAY()-100,TODAY()),0,2)) * GOOGLEFINANCE(""CURRENCY:USDEUR""),""Error en datos"")"),8.316237600000001)</f>
        <v>8.3162376</v>
      </c>
      <c r="G51" s="35">
        <f>IFERROR(__xludf.DUMMYFUNCTION("IFERROR(MAX(INDEX(GOOGLEFINANCE(B51,""close"",TODAY()-100,TODAY()),0,2)) * GOOGLEFINANCE(""CURRENCY:USDEUR""),""Error en datos"")"),11.7385576)</f>
        <v>11.7385576</v>
      </c>
      <c r="H51" s="35">
        <f>IFERROR(__xludf.DUMMYFUNCTION("IFERROR(AVERAGE(INDEX(GOOGLEFINANCE(B51,""close"",TODAY()-20,TODAY()),0,2)) * GOOGLEFINANCE(""CURRENCY:USDEUR""),""Error en datos"")"),11.464771999999998)</f>
        <v>11.464772</v>
      </c>
      <c r="I51" s="35">
        <f>IFERROR(__xludf.DUMMYFUNCTION("IFERROR(PERCENTILE(INDEX(GOOGLEFINANCE(B51,""close"",TODAY()-365,TODAY()),0,2),0.05) * GOOGLEFINANCE(""CURRENCY:USDEUR""),""Error en datos"")"),8.86723112)</f>
        <v>8.86723112</v>
      </c>
      <c r="J51" s="35">
        <f>IFERROR(__xludf.DUMMYFUNCTION("AVERAGE(INDEX(GOOGLEFINANCE(B51,""price"",TODAY()-20,TODAY(),""DAILY""),0,2))+(2*STDEV(INDEX(GOOGLEFINANCE(B51,""price"",TODAY()-20,TODAY(),""DAILY""),0,2)))"),13.922047252012051)</f>
        <v>13.92204725</v>
      </c>
      <c r="K51" s="35">
        <f>IFERROR(__xludf.DUMMYFUNCTION("AVERAGE(INDEX(GOOGLEFINANCE(B51,""price"",TODAY()-20,TODAY(),""DAILY""),0,2))-(2*STDEV(INDEX(GOOGLEFINANCE(B51,""price"",TODAY()-20,TODAY(),""DAILY""),0,2)))"),12.877952747987946)</f>
        <v>12.87795275</v>
      </c>
      <c r="L51" s="35">
        <v>694.0</v>
      </c>
      <c r="M51" s="35">
        <f t="shared" si="1"/>
        <v>0.120098905</v>
      </c>
      <c r="N51" s="35">
        <v>-24.4</v>
      </c>
      <c r="O51" s="35">
        <f t="shared" si="2"/>
        <v>0.336</v>
      </c>
      <c r="P51" s="35">
        <v>-2.49</v>
      </c>
      <c r="Q51" s="35">
        <f t="shared" si="3"/>
        <v>0.1018160742</v>
      </c>
      <c r="R51" s="35" t="str">
        <f>IFERROR(__xludf.DUMMYFUNCTION("IF(B51="""", """", SPARKLINE(INDEX(GOOGLEFINANCE(B51, ""price"", TODAY()-1825, TODAY()), 0, 2)))"),"")</f>
        <v/>
      </c>
      <c r="S51" s="35">
        <f t="shared" si="4"/>
        <v>10.02047382</v>
      </c>
      <c r="T51" s="35">
        <f t="shared" si="5"/>
        <v>13.19544006</v>
      </c>
      <c r="U51" s="34" t="str">
        <f t="shared" si="6"/>
        <v/>
      </c>
      <c r="V51" s="37">
        <f t="shared" si="7"/>
        <v>0.09546630172</v>
      </c>
      <c r="W51" s="37">
        <f t="shared" si="8"/>
        <v>-0.1726933555</v>
      </c>
      <c r="X51" s="34">
        <f>IFERROR(__xludf.DUMMYFUNCTION("AJ51*GOOGLEFINANCE(""CURRENCY:USD/EUR"")"),10.9770914)</f>
        <v>10.9770914</v>
      </c>
      <c r="Y51" s="35">
        <f>IFERROR(__xludf.DUMMYFUNCTION("AI51*GOOGLEFINANCE(""CURRENCY:USD/EUR"")"),13.268467589971337)</f>
        <v>13.26846759</v>
      </c>
      <c r="Z51" s="38">
        <f t="shared" si="9"/>
        <v>0.2020889306</v>
      </c>
      <c r="AA51" s="38">
        <f t="shared" si="10"/>
        <v>0.2087416517</v>
      </c>
      <c r="AB51" s="38">
        <f t="shared" si="11"/>
        <v>0.08786706553</v>
      </c>
      <c r="AC51" s="41">
        <v>14.0</v>
      </c>
      <c r="AD51" s="40">
        <f t="shared" si="12"/>
        <v>0.3270782002</v>
      </c>
      <c r="AE51" s="41">
        <v>15.8</v>
      </c>
      <c r="AF51" s="41">
        <f t="shared" si="13"/>
        <v>0.5379690034</v>
      </c>
      <c r="AG51" s="41">
        <v>18.0</v>
      </c>
      <c r="AH51" s="41">
        <f t="shared" si="14"/>
        <v>0.1349527964</v>
      </c>
      <c r="AI51" s="41">
        <f t="shared" si="15"/>
        <v>15.50815539</v>
      </c>
      <c r="AJ51" s="34">
        <f>IFERROR(__xludf.DUMMYFUNCTION("GOOGLEFINANCE(B51,""price"")"),12.83)</f>
        <v>12.83</v>
      </c>
      <c r="AK51" s="37">
        <f t="shared" ref="AK51:AK53" si="79">AP51+BN51</f>
        <v>0.2536908158</v>
      </c>
      <c r="AL51" s="34">
        <v>12.37</v>
      </c>
      <c r="AM51" s="34">
        <f t="shared" si="16"/>
        <v>13.00417238</v>
      </c>
      <c r="AN51" s="34">
        <f t="shared" si="17"/>
        <v>13.76187867</v>
      </c>
      <c r="AO51" s="38">
        <f>IFERROR(__xludf.DUMMYFUNCTION("(GOOGLEFINANCE(B51, ""price"") - INDEX(GOOGLEFINANCE(B51, ""price"", DATE(2025,5,8)), 2, 2)) / INDEX(GOOGLEFINANCE(B51, ""price"", DATE(2025,5,8)), 2, 2)"),0.00234374999999995)</f>
        <v>0.00234375</v>
      </c>
      <c r="AP51" s="37">
        <f t="shared" si="18"/>
        <v>0.2536908158</v>
      </c>
      <c r="AQ51" s="37">
        <f t="shared" si="19"/>
        <v>0.03718674212</v>
      </c>
      <c r="AR51" s="37">
        <f t="shared" si="20"/>
        <v>0.2165040737</v>
      </c>
      <c r="AS51" s="34">
        <f>IFERROR(__xludf.DUMMYFUNCTION("IF(X51&lt;K51,1,IF(X51&gt;J51,-1,0)) + IF(X51&lt;F51,1,IF(X51&gt;G51,-1,0)) + IF(X51&lt;I51,1,IF(X51&gt;I51,-1,0)) + IF(X51&lt;H51,1,IF(X51&gt;H51,-1,0))"),1.0)</f>
        <v>1</v>
      </c>
      <c r="AT51" s="34" t="str">
        <f t="shared" si="21"/>
        <v>recompra</v>
      </c>
      <c r="AU51" s="35" t="str">
        <f t="shared" si="22"/>
        <v>compra</v>
      </c>
      <c r="AV51" s="35" t="str">
        <f t="shared" si="23"/>
        <v>compra</v>
      </c>
      <c r="AW51" s="38">
        <f t="shared" si="24"/>
        <v>0.2087416517</v>
      </c>
      <c r="AX51" s="38">
        <f t="shared" si="25"/>
        <v>0.1004669079</v>
      </c>
      <c r="AY51" s="38">
        <f t="shared" si="26"/>
        <v>0.08525538358</v>
      </c>
      <c r="AZ51" s="42">
        <f t="shared" si="27"/>
        <v>0.1632198882</v>
      </c>
      <c r="BA51" s="38">
        <f t="shared" si="28"/>
        <v>0.3337512538</v>
      </c>
      <c r="BB51" s="38">
        <f t="shared" si="29"/>
        <v>0.6662487462</v>
      </c>
      <c r="BC51" s="38">
        <f t="shared" si="30"/>
        <v>0.1846646721</v>
      </c>
      <c r="BD51" s="38">
        <f t="shared" si="31"/>
        <v>0.6374006971</v>
      </c>
      <c r="BE51" s="38">
        <f t="shared" si="32"/>
        <v>0.3625993029</v>
      </c>
      <c r="BF51" s="38">
        <f t="shared" si="33"/>
        <v>0.2936647285</v>
      </c>
      <c r="BG51" s="37">
        <f t="shared" si="34"/>
        <v>0.08727507613</v>
      </c>
      <c r="BH51" s="43">
        <f t="shared" si="35"/>
        <v>0.08626522986</v>
      </c>
      <c r="BI51" s="44">
        <f t="shared" si="36"/>
        <v>0.5051646857</v>
      </c>
      <c r="BJ51" s="38">
        <f t="shared" si="37"/>
        <v>0.4783294006</v>
      </c>
      <c r="BK51" s="43">
        <f t="shared" si="38"/>
        <v>0.4001246034</v>
      </c>
      <c r="BL51" s="47">
        <v>59.46</v>
      </c>
      <c r="BM51" s="46">
        <f t="shared" si="39"/>
        <v>0.0187653993</v>
      </c>
      <c r="BN51" s="38">
        <v>0.0</v>
      </c>
      <c r="BO51" s="47">
        <v>5.51</v>
      </c>
      <c r="BP51" s="58">
        <f t="shared" si="40"/>
        <v>0.008003759564</v>
      </c>
      <c r="BQ51" s="47">
        <v>0.4</v>
      </c>
      <c r="BR51" s="47">
        <f t="shared" si="41"/>
        <v>0.0946456343</v>
      </c>
      <c r="BS51" s="47" t="s">
        <v>141</v>
      </c>
      <c r="BT51" s="47" t="s">
        <v>141</v>
      </c>
      <c r="BU51" s="47">
        <v>0.3</v>
      </c>
      <c r="BV51" s="47">
        <f t="shared" si="72"/>
        <v>0.9851485149</v>
      </c>
      <c r="BW51" s="48">
        <f t="shared" si="44"/>
        <v>1.648065981</v>
      </c>
      <c r="BX51" s="49">
        <f t="shared" si="45"/>
        <v>0.9240641415</v>
      </c>
      <c r="BY51" s="47">
        <f t="shared" si="46"/>
        <v>0.3625993029</v>
      </c>
      <c r="BZ51" s="50">
        <v>0.487</v>
      </c>
      <c r="CA51" s="50">
        <f t="shared" si="47"/>
        <v>0.4609053498</v>
      </c>
      <c r="CB51" s="50" t="s">
        <v>141</v>
      </c>
      <c r="CC51" s="50" t="s">
        <v>141</v>
      </c>
      <c r="CD51" s="50">
        <v>0.902</v>
      </c>
      <c r="CE51" s="50">
        <f t="shared" si="49"/>
        <v>0.7092125722</v>
      </c>
      <c r="CF51" s="50">
        <f t="shared" si="50"/>
        <v>0.585058961</v>
      </c>
      <c r="CG51" s="51">
        <v>0.378</v>
      </c>
      <c r="CH51" s="51">
        <f t="shared" si="51"/>
        <v>0.3324974925</v>
      </c>
      <c r="CI51" s="51">
        <v>0.759</v>
      </c>
      <c r="CJ51" s="51">
        <f t="shared" si="52"/>
        <v>1</v>
      </c>
      <c r="CK51" s="51" t="s">
        <v>141</v>
      </c>
      <c r="CL51" s="51" t="s">
        <v>141</v>
      </c>
      <c r="CM51" s="51" t="s">
        <v>141</v>
      </c>
      <c r="CN51" s="51" t="s">
        <v>141</v>
      </c>
      <c r="CO51" s="51" t="s">
        <v>141</v>
      </c>
      <c r="CP51" s="51" t="s">
        <v>141</v>
      </c>
      <c r="CQ51" s="51">
        <f t="shared" si="56"/>
        <v>0.6662487462</v>
      </c>
      <c r="CR51" s="52">
        <f t="shared" si="57"/>
        <v>0.5379690034</v>
      </c>
      <c r="CS51" s="53">
        <f t="shared" si="68"/>
        <v>0.169503471</v>
      </c>
      <c r="CT51" s="54">
        <f t="shared" si="59"/>
        <v>0.4209369084</v>
      </c>
      <c r="CU51" s="55">
        <f t="shared" si="60"/>
        <v>0.1414373697</v>
      </c>
      <c r="CV51" s="34">
        <f t="shared" si="61"/>
        <v>1.700463828</v>
      </c>
      <c r="CW51" s="34">
        <f t="shared" si="62"/>
        <v>0.6941004587</v>
      </c>
      <c r="CX51" s="35">
        <f t="shared" si="63"/>
        <v>0.2189080371</v>
      </c>
      <c r="CY51" s="38">
        <f>IFERROR(__xludf.DUMMYFUNCTION("(GOOGLEFINANCE(B51,""price"")/INDEX(GOOGLEFINANCE(B51,""price"",TODAY()-30),2,2))-1"),0.0355125100887812)</f>
        <v>0.03551251009</v>
      </c>
      <c r="CZ51" s="38">
        <f>IFERROR(__xludf.DUMMYFUNCTION("(GOOGLEFINANCE($B51,""price"")/INDEX(GOOGLEFINANCE($B51,""price"",TODAY()-180),2,2))-1"),0.12445223488168278)</f>
        <v>0.1244522349</v>
      </c>
      <c r="DA51" s="38">
        <f>IFERROR(__xludf.DUMMYFUNCTION("(GOOGLEFINANCE($B51,""price"")/INDEX(GOOGLEFINANCE($B51,""price"",TODAY()-365),2,2))-1"),-0.03823088455772117)</f>
        <v>-0.03823088456</v>
      </c>
      <c r="DB51" s="38" t="str">
        <f>IFERROR(__xludf.DUMMYFUNCTION("(GOOGLEFINANCE($B51,""price"")/INDEX(GOOGLEFINANCE($B51,""price"",TODAY()-365*5),2,2))-1"),"#N/A")</f>
        <v>#N/A</v>
      </c>
      <c r="DC51" s="38">
        <f>IFERROR(__xludf.DUMMYFUNCTION("(INDEX(GOOGLEFINANCE(B51, ""price"", TODAY()-30, TODAY()), ROWS(GOOGLEFINANCE(B51, ""price"", TODAY()-30, TODAY())), 2) / INDEX(GOOGLEFINANCE(B51, ""price"", TODAY()-30, TODAY()), 2, 2)) - 1"),0.0355125100887812)</f>
        <v>0.03551251009</v>
      </c>
      <c r="DD51" s="38">
        <f>IFERROR(__xludf.DUMMYFUNCTION("(INDEX(GOOGLEFINANCE(B51, ""price"", TODAY()-7, TODAY()), ROWS(GOOGLEFINANCE(B51, ""price"", TODAY()-7, TODAY())), 2) / INDEX(GOOGLEFINANCE(B51, ""price"", TODAY()-7, TODAY()), 2, 2)) - 1"),-0.03967065868263464)</f>
        <v>-0.03967065868</v>
      </c>
    </row>
    <row r="52">
      <c r="A52" s="50" t="str">
        <f>IFERROR(__xludf.DUMMYFUNCTION("GOOGLEFINANCE(B52,""name"")"),"NVIDIA Corp")</f>
        <v>NVIDIA Corp</v>
      </c>
      <c r="B52" s="35" t="s">
        <v>158</v>
      </c>
      <c r="C52" s="35" t="s">
        <v>90</v>
      </c>
      <c r="D52" s="35" t="s">
        <v>98</v>
      </c>
      <c r="E52" s="36">
        <v>1.0</v>
      </c>
      <c r="F52" s="35">
        <f>IFERROR(__xludf.DUMMYFUNCTION("IFERROR(MIN(INDEX(GOOGLEFINANCE(B52,""close"",TODAY()-100,TODAY()),0,2)) * GOOGLEFINANCE(""CURRENCY:USDEUR""),""Error en datos"")"),82.392354)</f>
        <v>82.392354</v>
      </c>
      <c r="G52" s="35">
        <f>IFERROR(__xludf.DUMMYFUNCTION("IFERROR(MAX(INDEX(GOOGLEFINANCE(B52,""close"",TODAY()-100,TODAY()),0,2)) * GOOGLEFINANCE(""CURRENCY:USDEUR""),""Error en datos"")"),141.10225359999998)</f>
        <v>141.1022536</v>
      </c>
      <c r="H52" s="35">
        <f>IFERROR(__xludf.DUMMYFUNCTION("IFERROR(AVERAGE(INDEX(GOOGLEFINANCE(B52,""close"",TODAY()-20,TODAY()),0,2)) * GOOGLEFINANCE(""CURRENCY:USDEUR""),""Error en datos"")"),135.11582615384617)</f>
        <v>135.1158262</v>
      </c>
      <c r="I52" s="35">
        <f>IFERROR(__xludf.DUMMYFUNCTION("IFERROR(PERCENTILE(INDEX(GOOGLEFINANCE(B52,""close"",TODAY()-365,TODAY()),0,2),0.05) * GOOGLEFINANCE(""CURRENCY:USDEUR""),""Error en datos"")"),89.26608372)</f>
        <v>89.26608372</v>
      </c>
      <c r="J52" s="35">
        <f>IFERROR(__xludf.DUMMYFUNCTION("AVERAGE(INDEX(GOOGLEFINANCE(B52,""price"",TODAY()-20,TODAY(),""DAILY""),0,2))+(2*STDEV(INDEX(GOOGLEFINANCE(B52,""price"",TODAY()-20,TODAY(),""DAILY""),0,2)))"),167.26667860057216)</f>
        <v>167.2666786</v>
      </c>
      <c r="K52" s="35">
        <f>IFERROR(__xludf.DUMMYFUNCTION("AVERAGE(INDEX(GOOGLEFINANCE(B52,""price"",TODAY()-20,TODAY(),""DAILY""),0,2))-(2*STDEV(INDEX(GOOGLEFINANCE(B52,""price"",TODAY()-20,TODAY(),""DAILY""),0,2)))"),148.5794752455817)</f>
        <v>148.5794752</v>
      </c>
      <c r="L52" s="35">
        <v>1970.0</v>
      </c>
      <c r="M52" s="35">
        <f t="shared" si="1"/>
        <v>0.3454609679</v>
      </c>
      <c r="N52" s="35">
        <v>9.2</v>
      </c>
      <c r="O52" s="35">
        <f t="shared" si="2"/>
        <v>0.4853333333</v>
      </c>
      <c r="P52" s="35">
        <v>3.65</v>
      </c>
      <c r="Q52" s="35">
        <f t="shared" si="3"/>
        <v>0.2204404946</v>
      </c>
      <c r="R52" s="35" t="str">
        <f>IFERROR(__xludf.DUMMYFUNCTION("IF(B52="""", """", SPARKLINE(INDEX(GOOGLEFINANCE(B52, ""price"", TODAY()-1825, TODAY()), 0, 2)))"),"")</f>
        <v/>
      </c>
      <c r="S52" s="35">
        <f t="shared" si="4"/>
        <v>106.745971</v>
      </c>
      <c r="T52" s="35">
        <f t="shared" si="5"/>
        <v>163.8736618</v>
      </c>
      <c r="U52" s="34" t="str">
        <f t="shared" si="6"/>
        <v/>
      </c>
      <c r="V52" s="37">
        <f t="shared" si="7"/>
        <v>0.3218508604</v>
      </c>
      <c r="W52" s="37">
        <f t="shared" si="8"/>
        <v>-0.1490201054</v>
      </c>
      <c r="X52" s="34">
        <f>IFERROR(__xludf.DUMMYFUNCTION("AJ52*GOOGLEFINANCE(""CURRENCY:USD/EUR"")"),141.10225359999998)</f>
        <v>141.1022536</v>
      </c>
      <c r="Y52" s="35">
        <f>IFERROR(__xludf.DUMMYFUNCTION("AI52*GOOGLEFINANCE(""CURRENCY:USD/EUR"")"),165.8115009433372)</f>
        <v>165.8115009</v>
      </c>
      <c r="Z52" s="38">
        <f t="shared" si="9"/>
        <v>0.161382314</v>
      </c>
      <c r="AA52" s="38">
        <f t="shared" si="10"/>
        <v>0.1751158944</v>
      </c>
      <c r="AB52" s="38">
        <f t="shared" si="11"/>
        <v>0.102315854</v>
      </c>
      <c r="AC52" s="41">
        <v>100.0</v>
      </c>
      <c r="AD52" s="40">
        <f t="shared" si="12"/>
        <v>0.03236580668</v>
      </c>
      <c r="AE52" s="41">
        <v>176.0</v>
      </c>
      <c r="AF52" s="41">
        <f t="shared" si="13"/>
        <v>0.6938515634</v>
      </c>
      <c r="AG52" s="41">
        <v>250.0</v>
      </c>
      <c r="AH52" s="41">
        <f t="shared" si="14"/>
        <v>0.2737826299</v>
      </c>
      <c r="AI52" s="41">
        <f t="shared" si="15"/>
        <v>193.8001133</v>
      </c>
      <c r="AJ52" s="34">
        <f>IFERROR(__xludf.DUMMYFUNCTION("GOOGLEFINANCE(B52,""price"")"),164.92)</f>
        <v>164.92</v>
      </c>
      <c r="AK52" s="37">
        <f t="shared" si="79"/>
        <v>0.6555622186</v>
      </c>
      <c r="AL52" s="34">
        <v>117.06</v>
      </c>
      <c r="AM52" s="34">
        <f t="shared" si="16"/>
        <v>132.8700493</v>
      </c>
      <c r="AN52" s="34">
        <f t="shared" si="17"/>
        <v>233.60356</v>
      </c>
      <c r="AO52" s="38">
        <f>IFERROR(__xludf.DUMMYFUNCTION("(GOOGLEFINANCE(B52, ""price"") - INDEX(GOOGLEFINANCE(B52, ""price"", DATE(2025,5,8)), 2, 2)) / INDEX(GOOGLEFINANCE(B52, ""price"", DATE(2025,5,8)), 2, 2)"),0.4051290789810001)</f>
        <v>0.405129079</v>
      </c>
      <c r="AP52" s="37">
        <f t="shared" si="18"/>
        <v>0.6555622186</v>
      </c>
      <c r="AQ52" s="37">
        <f t="shared" si="19"/>
        <v>0.4088501623</v>
      </c>
      <c r="AR52" s="37">
        <f t="shared" si="20"/>
        <v>0.2467120563</v>
      </c>
      <c r="AS52" s="34">
        <f>IFERROR(__xludf.DUMMYFUNCTION("IF(X52&lt;K52,1,IF(X52&gt;J52,-1,0)) + IF(X52&lt;F52,1,IF(X52&gt;G52,-1,0)) + IF(X52&lt;I52,1,IF(X52&gt;I52,-1,0)) + IF(X52&lt;H52,1,IF(X52&gt;H52,-1,0))"),-1.0)</f>
        <v>-1</v>
      </c>
      <c r="AT52" s="34" t="str">
        <f>IF(X52&gt;=AN52, "venta", IF(X52&lt;=AM52, "recompra", "Hold"))</f>
        <v>Hold</v>
      </c>
      <c r="AU52" s="35" t="str">
        <f t="shared" si="22"/>
        <v>hold</v>
      </c>
      <c r="AV52" s="35" t="str">
        <f t="shared" si="23"/>
        <v>hold</v>
      </c>
      <c r="AW52" s="38">
        <f t="shared" si="24"/>
        <v>0.1751158944</v>
      </c>
      <c r="AX52" s="38">
        <f t="shared" si="25"/>
        <v>0.208645813</v>
      </c>
      <c r="AY52" s="38">
        <f t="shared" si="26"/>
        <v>0.2295697815</v>
      </c>
      <c r="AZ52" s="42">
        <f t="shared" si="27"/>
        <v>0.459552278</v>
      </c>
      <c r="BA52" s="38">
        <f t="shared" si="28"/>
        <v>0.2723918685</v>
      </c>
      <c r="BB52" s="38">
        <f t="shared" si="29"/>
        <v>0.7276081315</v>
      </c>
      <c r="BC52" s="38">
        <f t="shared" si="30"/>
        <v>-0.05834211745</v>
      </c>
      <c r="BD52" s="38">
        <f t="shared" si="31"/>
        <v>0.425690742</v>
      </c>
      <c r="BE52" s="38">
        <f t="shared" si="32"/>
        <v>0.574309258</v>
      </c>
      <c r="BF52" s="38">
        <f t="shared" si="33"/>
        <v>0.3248780323</v>
      </c>
      <c r="BG52" s="37">
        <f t="shared" si="34"/>
        <v>0.7858365985</v>
      </c>
      <c r="BH52" s="43">
        <f t="shared" si="35"/>
        <v>0.50770319</v>
      </c>
      <c r="BI52" s="44">
        <f t="shared" si="36"/>
        <v>0.7105032688</v>
      </c>
      <c r="BJ52" s="38">
        <f t="shared" si="37"/>
        <v>0.2665359149</v>
      </c>
      <c r="BK52" s="43">
        <f t="shared" si="38"/>
        <v>0.8812437698</v>
      </c>
      <c r="BL52" s="59">
        <v>2854.81</v>
      </c>
      <c r="BM52" s="46">
        <f t="shared" si="39"/>
        <v>0.90290258</v>
      </c>
      <c r="BN52" s="38">
        <v>0.0</v>
      </c>
      <c r="BO52" s="59">
        <v>130.5</v>
      </c>
      <c r="BP52" s="47">
        <f t="shared" si="40"/>
        <v>0.1915615408</v>
      </c>
      <c r="BQ52" s="59">
        <v>2.94</v>
      </c>
      <c r="BR52" s="47">
        <f t="shared" si="41"/>
        <v>0.1510775383</v>
      </c>
      <c r="BS52" s="60">
        <v>0.624</v>
      </c>
      <c r="BT52" s="47">
        <f t="shared" ref="BT52:BT78" si="80">(BS52 - MIN(BS:BS)) / (MAX(BS:BS) - MIN(BS:BS))</f>
        <v>0.9595484478</v>
      </c>
      <c r="BU52" s="59">
        <v>0.1</v>
      </c>
      <c r="BV52" s="47">
        <f t="shared" si="72"/>
        <v>0.995049505</v>
      </c>
      <c r="BW52" s="48">
        <f t="shared" si="44"/>
        <v>1.38598481</v>
      </c>
      <c r="BX52" s="49">
        <f t="shared" si="45"/>
        <v>0.9133033476</v>
      </c>
      <c r="BY52" s="47">
        <f t="shared" si="46"/>
        <v>0.574309258</v>
      </c>
      <c r="BZ52" s="60">
        <v>1.142</v>
      </c>
      <c r="CA52" s="50">
        <f t="shared" si="47"/>
        <v>1</v>
      </c>
      <c r="CB52" s="60">
        <v>1.416</v>
      </c>
      <c r="CC52" s="50">
        <f t="shared" ref="CC52:CC78" si="81">(CB52 - MIN(CB:CB)) / (MAX(CB:CB) - MIN(CB:CB))</f>
        <v>0.6139007961</v>
      </c>
      <c r="CD52" s="60">
        <v>1.471</v>
      </c>
      <c r="CE52" s="50">
        <f t="shared" si="49"/>
        <v>0.7250111062</v>
      </c>
      <c r="CF52" s="50">
        <f t="shared" si="50"/>
        <v>0.7796373008</v>
      </c>
      <c r="CG52" s="60">
        <v>0.919</v>
      </c>
      <c r="CH52" s="51">
        <f t="shared" si="51"/>
        <v>0.6038114343</v>
      </c>
      <c r="CI52" s="60">
        <v>0.642</v>
      </c>
      <c r="CJ52" s="51">
        <f t="shared" si="52"/>
        <v>0.850955414</v>
      </c>
      <c r="CK52" s="60">
        <v>0.916</v>
      </c>
      <c r="CL52" s="51">
        <f t="shared" ref="CL52:CL78" si="82">(CK52 - MIN(CK:CK)) / (MAX(CK:CK) - MIN(CK:CK))</f>
        <v>1</v>
      </c>
      <c r="CM52" s="60">
        <v>0.617</v>
      </c>
      <c r="CN52" s="51">
        <f t="shared" ref="CN52:CN78" si="83">(CM52 - MIN(CM:CM)) / (MAX(CM:CM) - MIN(CM:CM))</f>
        <v>0.4077961019</v>
      </c>
      <c r="CO52" s="60">
        <v>0.382</v>
      </c>
      <c r="CP52" s="51">
        <f t="shared" ref="CP52:CP78" si="84">(CO52 - MIN(CO:CO)) / (MAX(CO:CO) - MIN(CO:CO))</f>
        <v>0.775477707</v>
      </c>
      <c r="CQ52" s="51">
        <f t="shared" si="56"/>
        <v>0.7276081315</v>
      </c>
      <c r="CR52" s="52">
        <f t="shared" si="57"/>
        <v>0.6938515634</v>
      </c>
      <c r="CS52" s="53">
        <f t="shared" si="68"/>
        <v>0.3491739409</v>
      </c>
      <c r="CT52" s="54">
        <f t="shared" si="59"/>
        <v>0.5842750845</v>
      </c>
      <c r="CU52" s="55">
        <f t="shared" si="60"/>
        <v>0.3562227865</v>
      </c>
      <c r="CV52" s="34">
        <f t="shared" si="61"/>
        <v>0.6222778825</v>
      </c>
      <c r="CW52" s="34">
        <f t="shared" si="62"/>
        <v>0.5024952523</v>
      </c>
      <c r="CX52" s="35">
        <f t="shared" si="63"/>
        <v>0.352886914</v>
      </c>
      <c r="CY52" s="38">
        <f>IFERROR(__xludf.DUMMYFUNCTION("(GOOGLEFINANCE(B52,""price"")/INDEX(GOOGLEFINANCE(B52,""price"",TODAY()-30),2,2))-1"),0.13981615868408315)</f>
        <v>0.1398161587</v>
      </c>
      <c r="CZ52" s="38">
        <f>IFERROR(__xludf.DUMMYFUNCTION("(GOOGLEFINANCE($B52,""price"")/INDEX(GOOGLEFINANCE($B52,""price"",TODAY()-180),2,2))-1"),0.2105108631826187)</f>
        <v>0.2105108632</v>
      </c>
      <c r="DA52" s="38">
        <f>IFERROR(__xludf.DUMMYFUNCTION("(GOOGLEFINANCE($B52,""price"")/INDEX(GOOGLEFINANCE($B52,""price"",TODAY()-365),2,2))-1"),0.28402366863905315)</f>
        <v>0.2840236686</v>
      </c>
      <c r="DB52" s="38">
        <f>IFERROR(__xludf.DUMMYFUNCTION("(GOOGLEFINANCE($B52,""price"")/INDEX(GOOGLEFINANCE($B52,""price"",TODAY()-365*5),2,2))-1"),15.121212121212118)</f>
        <v>15.12121212</v>
      </c>
      <c r="DC52" s="38">
        <f>IFERROR(__xludf.DUMMYFUNCTION("(INDEX(GOOGLEFINANCE(B52, ""price"", TODAY()-30, TODAY()), ROWS(GOOGLEFINANCE(B52, ""price"", TODAY()-30, TODAY())), 2) / INDEX(GOOGLEFINANCE(B52, ""price"", TODAY()-30, TODAY()), 2, 2)) - 1"),0.13981615868408315)</f>
        <v>0.1398161587</v>
      </c>
      <c r="DD52" s="38">
        <f>IFERROR(__xludf.DUMMYFUNCTION("(INDEX(GOOGLEFINANCE(B52, ""price"", TODAY()-7, TODAY()), ROWS(GOOGLEFINANCE(B52, ""price"", TODAY()-7, TODAY())), 2) / INDEX(GOOGLEFINANCE(B52, ""price"", TODAY()-7, TODAY()), 2, 2)) - 1"),0.04221435793731021)</f>
        <v>0.04221435794</v>
      </c>
    </row>
    <row r="53">
      <c r="A53" s="50" t="str">
        <f>IFERROR(__xludf.DUMMYFUNCTION("GOOGLEFINANCE(B53,""name"")"),"Nova Ltd")</f>
        <v>Nova Ltd</v>
      </c>
      <c r="B53" s="35" t="s">
        <v>159</v>
      </c>
      <c r="C53" s="35" t="s">
        <v>90</v>
      </c>
      <c r="D53" s="35" t="s">
        <v>91</v>
      </c>
      <c r="E53" s="56">
        <v>2.0</v>
      </c>
      <c r="F53" s="35">
        <f>IFERROR(__xludf.DUMMYFUNCTION("IFERROR(MIN(INDEX(GOOGLEFINANCE(B53,""close"",TODAY()-100,TODAY()),0,2)) * GOOGLEFINANCE(""CURRENCY:USDEUR""),""Error en datos"")"),142.6422976)</f>
        <v>142.6422976</v>
      </c>
      <c r="G53" s="35">
        <f>IFERROR(__xludf.DUMMYFUNCTION("IFERROR(MAX(INDEX(GOOGLEFINANCE(B53,""close"",TODAY()-100,TODAY()),0,2)) * GOOGLEFINANCE(""CURRENCY:USDEUR""),""Error en datos"")"),245.0210004)</f>
        <v>245.0210004</v>
      </c>
      <c r="H53" s="35">
        <f>IFERROR(__xludf.DUMMYFUNCTION("IFERROR(AVERAGE(INDEX(GOOGLEFINANCE(B53,""close"",TODAY()-20,TODAY()),0,2)) * GOOGLEFINANCE(""CURRENCY:USDEUR""),""Error en datos"")"),234.54672678461537)</f>
        <v>234.5467268</v>
      </c>
      <c r="I53" s="35">
        <f>IFERROR(__xludf.DUMMYFUNCTION("IFERROR(PERCENTILE(INDEX(GOOGLEFINANCE(B53,""close"",TODAY()-365,TODAY()),0,2),0.05) * GOOGLEFINANCE(""CURRENCY:USDEUR""),""Error en datos"")"),150.70528352)</f>
        <v>150.7052835</v>
      </c>
      <c r="J53" s="35">
        <f>IFERROR(__xludf.DUMMYFUNCTION("AVERAGE(INDEX(GOOGLEFINANCE(B53,""price"",TODAY()-20,TODAY(),""DAILY""),0,2))+(2*STDEV(INDEX(GOOGLEFINANCE(B53,""price"",TODAY()-20,TODAY(),""DAILY""),0,2)))"),297.9565533969582)</f>
        <v>297.9565534</v>
      </c>
      <c r="K53" s="35">
        <f>IFERROR(__xludf.DUMMYFUNCTION("AVERAGE(INDEX(GOOGLEFINANCE(B53,""price"",TODAY()-20,TODAY(),""DAILY""),0,2))-(2*STDEV(INDEX(GOOGLEFINANCE(B53,""price"",TODAY()-20,TODAY(),""DAILY""),0,2)))"),250.3188312184264)</f>
        <v>250.3188312</v>
      </c>
      <c r="L53" s="35">
        <v>224.0</v>
      </c>
      <c r="M53" s="35">
        <f t="shared" si="1"/>
        <v>0.03708936771</v>
      </c>
      <c r="N53" s="35">
        <v>0.0</v>
      </c>
      <c r="O53" s="35">
        <f t="shared" si="2"/>
        <v>0.4444444444</v>
      </c>
      <c r="P53" s="35">
        <v>-3.74</v>
      </c>
      <c r="Q53" s="35">
        <f t="shared" si="3"/>
        <v>0.07766615147</v>
      </c>
      <c r="R53" s="35" t="str">
        <f>IFERROR(__xludf.DUMMYFUNCTION("IF(B53="""", """", SPARKLINE(INDEX(GOOGLEFINANCE(B53, ""price"", TODAY()-1825, TODAY()), 0, 2)))"),"")</f>
        <v/>
      </c>
      <c r="S53" s="35">
        <f t="shared" si="4"/>
        <v>181.2221374</v>
      </c>
      <c r="T53" s="35">
        <f t="shared" si="5"/>
        <v>236.8273118</v>
      </c>
      <c r="U53" s="34" t="str">
        <f t="shared" si="6"/>
        <v>Venta</v>
      </c>
      <c r="V53" s="37">
        <f t="shared" si="7"/>
        <v>0.341566854</v>
      </c>
      <c r="W53" s="37">
        <f t="shared" si="8"/>
        <v>0.05753319085</v>
      </c>
      <c r="X53" s="34">
        <f>IFERROR(__xludf.DUMMYFUNCTION("AJ53*GOOGLEFINANCE(""CURRENCY:USD/EUR"")"),243.12161280000004)</f>
        <v>243.1216128</v>
      </c>
      <c r="Y53" s="35">
        <f>IFERROR(__xludf.DUMMYFUNCTION("AI53*GOOGLEFINANCE(""CURRENCY:USD/EUR"")"),229.89501880776993)</f>
        <v>229.8950188</v>
      </c>
      <c r="Z53" s="38">
        <f t="shared" si="9"/>
        <v>-0.02588951638</v>
      </c>
      <c r="AA53" s="38">
        <f t="shared" si="10"/>
        <v>-0.0544032011</v>
      </c>
      <c r="AB53" s="38">
        <f t="shared" si="11"/>
        <v>-0.02065870353</v>
      </c>
      <c r="AC53" s="41">
        <v>240.0</v>
      </c>
      <c r="AD53" s="40">
        <f t="shared" si="12"/>
        <v>0.3327271136</v>
      </c>
      <c r="AE53" s="41">
        <v>274.0</v>
      </c>
      <c r="AF53" s="41">
        <f t="shared" si="13"/>
        <v>0.4359841079</v>
      </c>
      <c r="AG53" s="41">
        <v>300.0</v>
      </c>
      <c r="AH53" s="41">
        <f t="shared" si="14"/>
        <v>0.2312887784</v>
      </c>
      <c r="AI53" s="41">
        <f t="shared" si="15"/>
        <v>268.7007864</v>
      </c>
      <c r="AJ53" s="34">
        <f>IFERROR(__xludf.DUMMYFUNCTION("GOOGLEFINANCE(B53,""price"")"),284.16)</f>
        <v>284.16</v>
      </c>
      <c r="AK53" s="37">
        <f t="shared" si="79"/>
        <v>0.3386846671</v>
      </c>
      <c r="AL53" s="34">
        <v>200.72</v>
      </c>
      <c r="AM53" s="34">
        <f t="shared" si="16"/>
        <v>217.4813603</v>
      </c>
      <c r="AN53" s="34">
        <f t="shared" si="17"/>
        <v>325.4631753</v>
      </c>
      <c r="AO53" s="38">
        <f>IFERROR(__xludf.DUMMYFUNCTION("(GOOGLEFINANCE(B53, ""price"") - INDEX(GOOGLEFINANCE(B53, ""price"", DATE(2025,5,8)), 2, 2)) / INDEX(GOOGLEFINANCE(B53, ""price"", DATE(2025,5,8)), 2, 2)"),0.5216064257028113)</f>
        <v>0.5216064257</v>
      </c>
      <c r="AP53" s="37">
        <f t="shared" si="18"/>
        <v>0.3386846671</v>
      </c>
      <c r="AQ53" s="37">
        <f t="shared" si="19"/>
        <v>0.4157034675</v>
      </c>
      <c r="AR53" s="37">
        <f t="shared" si="20"/>
        <v>-0.07701880044</v>
      </c>
      <c r="AS53" s="34">
        <f>IFERROR(__xludf.DUMMYFUNCTION("IF(X53&lt;K53,1,IF(X53&gt;J53,-1,0)) + IF(X53&lt;F53,1,IF(X53&gt;G53,-1,0)) + IF(X53&lt;I53,1,IF(X53&gt;I53,-1,0)) + IF(X53&lt;H53,1,IF(X53&gt;H53,-1,0))"),-1.0)</f>
        <v>-1</v>
      </c>
      <c r="AT53" s="34" t="str">
        <f t="shared" ref="AT53:AT78" si="85">IF(X53&gt;=Y53, "venta", IF(X53&lt;=AM53, "recompra", "Hold"))</f>
        <v>venta</v>
      </c>
      <c r="AU53" s="35" t="str">
        <f t="shared" si="22"/>
        <v>venta</v>
      </c>
      <c r="AV53" s="35" t="str">
        <f t="shared" si="23"/>
        <v>hold</v>
      </c>
      <c r="AW53" s="38">
        <f t="shared" si="24"/>
        <v>-0.0544032011</v>
      </c>
      <c r="AX53" s="38">
        <f t="shared" si="25"/>
        <v>0.06657074511</v>
      </c>
      <c r="AY53" s="38">
        <f t="shared" si="26"/>
        <v>0.06418237448</v>
      </c>
      <c r="AZ53" s="42">
        <f t="shared" si="27"/>
        <v>0.08384712205</v>
      </c>
      <c r="BA53" s="38">
        <f t="shared" si="28"/>
        <v>0.5825961779</v>
      </c>
      <c r="BB53" s="38">
        <f t="shared" si="29"/>
        <v>0.4174038221</v>
      </c>
      <c r="BC53" s="38">
        <f t="shared" si="30"/>
        <v>-0.1054626621</v>
      </c>
      <c r="BD53" s="38">
        <f t="shared" si="31"/>
        <v>0.5413630615</v>
      </c>
      <c r="BE53" s="38">
        <f t="shared" si="32"/>
        <v>0.4586369385</v>
      </c>
      <c r="BF53" s="38">
        <f t="shared" si="33"/>
        <v>0.006209742405</v>
      </c>
      <c r="BG53" s="37">
        <f t="shared" si="34"/>
        <v>0.2173207039</v>
      </c>
      <c r="BH53" s="43">
        <f t="shared" si="35"/>
        <v>0.1407515392</v>
      </c>
      <c r="BI53" s="44">
        <f t="shared" si="36"/>
        <v>0.4250356495</v>
      </c>
      <c r="BJ53" s="38">
        <f t="shared" si="37"/>
        <v>-0.09925291965</v>
      </c>
      <c r="BK53" s="43">
        <f t="shared" si="38"/>
        <v>0.4159899551</v>
      </c>
      <c r="BL53" s="35">
        <v>5.88</v>
      </c>
      <c r="BM53" s="46">
        <f t="shared" si="39"/>
        <v>0.001818659126</v>
      </c>
      <c r="BN53" s="38">
        <v>0.0</v>
      </c>
      <c r="BO53" s="35">
        <v>0.67</v>
      </c>
      <c r="BP53" s="58">
        <f t="shared" si="40"/>
        <v>0.0008958336393</v>
      </c>
      <c r="BQ53" s="35">
        <v>5.75</v>
      </c>
      <c r="BR53" s="47">
        <f t="shared" si="41"/>
        <v>0.2135081093</v>
      </c>
      <c r="BS53" s="38">
        <v>0.279</v>
      </c>
      <c r="BT53" s="47">
        <f t="shared" si="80"/>
        <v>0.6349952963</v>
      </c>
      <c r="BU53" s="35">
        <v>0.3</v>
      </c>
      <c r="BV53" s="47">
        <f t="shared" si="72"/>
        <v>0.9851485149</v>
      </c>
      <c r="BW53" s="48">
        <f t="shared" si="44"/>
        <v>1.210644542</v>
      </c>
      <c r="BX53" s="49">
        <f t="shared" si="45"/>
        <v>0.7093197598</v>
      </c>
      <c r="BY53" s="47">
        <f t="shared" si="46"/>
        <v>0.4586369385</v>
      </c>
      <c r="BZ53" s="38">
        <v>0.298</v>
      </c>
      <c r="CA53" s="50">
        <f t="shared" si="47"/>
        <v>0.3053497942</v>
      </c>
      <c r="CB53" s="38">
        <v>0.38</v>
      </c>
      <c r="CC53" s="50">
        <f t="shared" si="81"/>
        <v>0.2966932027</v>
      </c>
      <c r="CD53" s="38">
        <v>0.343</v>
      </c>
      <c r="CE53" s="50">
        <f t="shared" si="49"/>
        <v>0.6936916926</v>
      </c>
      <c r="CF53" s="50">
        <f t="shared" si="50"/>
        <v>0.4319115632</v>
      </c>
      <c r="CG53" s="38">
        <v>0.361</v>
      </c>
      <c r="CH53" s="51">
        <f t="shared" si="51"/>
        <v>0.3239719157</v>
      </c>
      <c r="CI53" s="38">
        <v>0.245</v>
      </c>
      <c r="CJ53" s="51">
        <f t="shared" si="52"/>
        <v>0.3452229299</v>
      </c>
      <c r="CK53" s="38">
        <v>0.358</v>
      </c>
      <c r="CL53" s="51">
        <f t="shared" si="82"/>
        <v>0.5388429752</v>
      </c>
      <c r="CM53" s="38">
        <v>0.22</v>
      </c>
      <c r="CN53" s="51">
        <f t="shared" si="83"/>
        <v>0.2093953023</v>
      </c>
      <c r="CO53" s="38">
        <v>0.249</v>
      </c>
      <c r="CP53" s="51">
        <f t="shared" si="84"/>
        <v>0.6695859873</v>
      </c>
      <c r="CQ53" s="51">
        <f t="shared" si="56"/>
        <v>0.4174038221</v>
      </c>
      <c r="CR53" s="52">
        <f t="shared" si="57"/>
        <v>0.4359841079</v>
      </c>
      <c r="CS53" s="53">
        <f t="shared" si="68"/>
        <v>0.1490723328</v>
      </c>
      <c r="CT53" s="54">
        <f t="shared" si="59"/>
        <v>0.3797332347</v>
      </c>
      <c r="CU53" s="55">
        <f t="shared" si="60"/>
        <v>0.1241904887</v>
      </c>
      <c r="CV53" s="34">
        <f t="shared" si="61"/>
        <v>0.5425765196</v>
      </c>
      <c r="CW53" s="34">
        <f t="shared" si="62"/>
        <v>0.3536361839</v>
      </c>
      <c r="CX53" s="35">
        <f t="shared" si="63"/>
        <v>0.261055298</v>
      </c>
      <c r="CY53" s="38">
        <f>IFERROR(__xludf.DUMMYFUNCTION("(GOOGLEFINANCE(B53,""price"")/INDEX(GOOGLEFINANCE(B53,""price"",TODAY()-30),2,2))-1"),0.23311925013018575)</f>
        <v>0.2331192501</v>
      </c>
      <c r="CZ53" s="38">
        <f>IFERROR(__xludf.DUMMYFUNCTION("(GOOGLEFINANCE($B53,""price"")/INDEX(GOOGLEFINANCE($B53,""price"",TODAY()-180),2,2))-1"),0.22135304736525407)</f>
        <v>0.2213530474</v>
      </c>
      <c r="DA53" s="38">
        <f>IFERROR(__xludf.DUMMYFUNCTION("(GOOGLEFINANCE($B53,""price"")/INDEX(GOOGLEFINANCE($B53,""price"",TODAY()-365),2,2))-1"),0.18276795005202917)</f>
        <v>0.1827679501</v>
      </c>
      <c r="DB53" s="38">
        <f>IFERROR(__xludf.DUMMYFUNCTION("(GOOGLEFINANCE($B53,""price"")/INDEX(GOOGLEFINANCE($B53,""price"",TODAY()-365*5),2,2))-1"),4.916302311055591)</f>
        <v>4.916302311</v>
      </c>
      <c r="DC53" s="38">
        <f>IFERROR(__xludf.DUMMYFUNCTION("(INDEX(GOOGLEFINANCE(B53, ""price"", TODAY()-30, TODAY()), ROWS(GOOGLEFINANCE(B53, ""price"", TODAY()-30, TODAY())), 2) / INDEX(GOOGLEFINANCE(B53, ""price"", TODAY()-30, TODAY()), 2, 2)) - 1"),0.23311925013018575)</f>
        <v>0.2331192501</v>
      </c>
      <c r="DD53" s="38">
        <f>IFERROR(__xludf.DUMMYFUNCTION("(INDEX(GOOGLEFINANCE(B53, ""price"", TODAY()-7, TODAY()), ROWS(GOOGLEFINANCE(B53, ""price"", TODAY()-7, TODAY())), 2) / INDEX(GOOGLEFINANCE(B53, ""price"", TODAY()-7, TODAY()), 2, 2)) - 1"),-0.007751937984496027)</f>
        <v>-0.007751937984</v>
      </c>
    </row>
    <row r="54">
      <c r="A54" s="34" t="str">
        <f>IFERROR(__xludf.DUMMYFUNCTION("GOOGLEFINANCE(B54,""name"")"),"Novo Nordisk A/S")</f>
        <v>Novo Nordisk A/S</v>
      </c>
      <c r="B54" s="35" t="s">
        <v>160</v>
      </c>
      <c r="C54" s="35" t="s">
        <v>93</v>
      </c>
      <c r="D54" s="35" t="s">
        <v>98</v>
      </c>
      <c r="E54" s="56">
        <v>2.0</v>
      </c>
      <c r="F54" s="35">
        <f>IFERROR(__xludf.DUMMYFUNCTION("IFERROR(MIN(INDEX(GOOGLEFINANCE(B54,""close"",TODAY()-100,TODAY()),0,2)) * GOOGLEFINANCE(""CURRENCY:USDEUR""),""Error en datos"")"),49.6920864)</f>
        <v>49.6920864</v>
      </c>
      <c r="G54" s="35">
        <f>IFERROR(__xludf.DUMMYFUNCTION("IFERROR(MAX(INDEX(GOOGLEFINANCE(B54,""close"",TODAY()-100,TODAY()),0,2)) * GOOGLEFINANCE(""CURRENCY:USDEUR""),""Error en datos"")"),69.344759)</f>
        <v>69.344759</v>
      </c>
      <c r="H54" s="35">
        <f>IFERROR(__xludf.DUMMYFUNCTION("IFERROR(AVERAGE(INDEX(GOOGLEFINANCE(B54,""close"",TODAY()-20,TODAY()),0,2)) * GOOGLEFINANCE(""CURRENCY:USDEUR""),""Error en datos"")"),59.27918936923076)</f>
        <v>59.27918937</v>
      </c>
      <c r="I54" s="35">
        <f>IFERROR(__xludf.DUMMYFUNCTION("IFERROR(PERCENTILE(INDEX(GOOGLEFINANCE(B54,""close"",TODAY()-365,TODAY()),0,2),0.05) * GOOGLEFINANCE(""CURRENCY:USDEUR""),""Error en datos"")"),55.087373879999994)</f>
        <v>55.08737388</v>
      </c>
      <c r="J54" s="35">
        <f>IFERROR(__xludf.DUMMYFUNCTION("AVERAGE(INDEX(GOOGLEFINANCE(B54,""price"",TODAY()-20,TODAY(),""DAILY""),0,2))+(2*STDEV(INDEX(GOOGLEFINANCE(B54,""price"",TODAY()-20,TODAY(),""DAILY""),0,2)))"),71.36656401474153)</f>
        <v>71.36656401</v>
      </c>
      <c r="K54" s="35">
        <f>IFERROR(__xludf.DUMMYFUNCTION("AVERAGE(INDEX(GOOGLEFINANCE(B54,""price"",TODAY()-20,TODAY(),""DAILY""),0,2))-(2*STDEV(INDEX(GOOGLEFINANCE(B54,""price"",TODAY()-20,TODAY(),""DAILY""),0,2)))"),67.20420521602767)</f>
        <v>67.20420522</v>
      </c>
      <c r="L54" s="35">
        <v>1626.0</v>
      </c>
      <c r="M54" s="35">
        <f t="shared" si="1"/>
        <v>0.2847050512</v>
      </c>
      <c r="N54" s="35">
        <v>-20.0</v>
      </c>
      <c r="O54" s="35">
        <f t="shared" si="2"/>
        <v>0.3555555556</v>
      </c>
      <c r="P54" s="35">
        <v>1.23</v>
      </c>
      <c r="Q54" s="35">
        <f t="shared" si="3"/>
        <v>0.1736862442</v>
      </c>
      <c r="R54" s="35" t="str">
        <f>IFERROR(__xludf.DUMMYFUNCTION("IF(B54="""", """", SPARKLINE(INDEX(GOOGLEFINANCE(B54, ""price"", TODAY()-1825, TODAY()), 0, 2)))"),"")</f>
        <v/>
      </c>
      <c r="S54" s="35">
        <f t="shared" si="4"/>
        <v>57.3278885</v>
      </c>
      <c r="T54" s="35">
        <f t="shared" si="5"/>
        <v>68.48223375</v>
      </c>
      <c r="U54" s="34" t="str">
        <f t="shared" si="6"/>
        <v>Compra</v>
      </c>
      <c r="V54" s="37">
        <f t="shared" si="7"/>
        <v>0.02873367473</v>
      </c>
      <c r="W54" s="37">
        <f t="shared" si="8"/>
        <v>-0.1340882037</v>
      </c>
      <c r="X54" s="34">
        <f>IFERROR(__xludf.DUMMYFUNCTION("AJ54*GOOGLEFINANCE(""CURRENCY:USD/EUR"")"),58.97512940000001)</f>
        <v>58.9751294</v>
      </c>
      <c r="Y54" s="35">
        <f>IFERROR(__xludf.DUMMYFUNCTION("AI54*GOOGLEFINANCE(""CURRENCY:USD/EUR"")"),68.10754819295559)</f>
        <v>68.10754819</v>
      </c>
      <c r="Z54" s="38">
        <f t="shared" si="9"/>
        <v>0.1612053156</v>
      </c>
      <c r="AA54" s="38">
        <f t="shared" si="10"/>
        <v>0.1808520348</v>
      </c>
      <c r="AB54" s="38">
        <f t="shared" si="11"/>
        <v>0.09723526514</v>
      </c>
      <c r="AC54" s="41">
        <v>61.0</v>
      </c>
      <c r="AD54" s="40">
        <f t="shared" si="12"/>
        <v>0.301776171</v>
      </c>
      <c r="AE54" s="41">
        <v>80.0</v>
      </c>
      <c r="AF54" s="41">
        <f t="shared" si="13"/>
        <v>0.4556011921</v>
      </c>
      <c r="AG54" s="41">
        <v>102.0</v>
      </c>
      <c r="AH54" s="41">
        <f t="shared" si="14"/>
        <v>0.2426226369</v>
      </c>
      <c r="AI54" s="41">
        <f t="shared" si="15"/>
        <v>79.60395076</v>
      </c>
      <c r="AJ54" s="34">
        <f>IFERROR(__xludf.DUMMYFUNCTION("GOOGLEFINANCE(B54,""price"")"),68.93)</f>
        <v>68.93</v>
      </c>
      <c r="AK54" s="37">
        <f t="shared" ref="AK54:AK59" si="86">AR54+BN54</f>
        <v>0.1840155553</v>
      </c>
      <c r="AL54" s="34">
        <v>67.55</v>
      </c>
      <c r="AM54" s="34">
        <f t="shared" si="16"/>
        <v>59.55444213</v>
      </c>
      <c r="AN54" s="34">
        <f t="shared" si="17"/>
        <v>69.49893852</v>
      </c>
      <c r="AO54" s="38">
        <f>IFERROR(__xludf.DUMMYFUNCTION("(GOOGLEFINANCE(B54, ""price"") - INDEX(GOOGLEFINANCE(B54, ""price"", DATE(2025,5,8)), 2, 2)) / INDEX(GOOGLEFINANCE(B54, ""price"", DATE(2025,5,8)), 2, 2)"),0.06291441788743274)</f>
        <v>0.06291441789</v>
      </c>
      <c r="AP54" s="37">
        <f t="shared" si="18"/>
        <v>0.1784448669</v>
      </c>
      <c r="AQ54" s="37">
        <f t="shared" si="19"/>
        <v>0.02042931162</v>
      </c>
      <c r="AR54" s="37">
        <f t="shared" si="20"/>
        <v>0.1580155553</v>
      </c>
      <c r="AS54" s="34">
        <f>IFERROR(__xludf.DUMMYFUNCTION("IF(X54&lt;K54,1,IF(X54&gt;J54,-1,0)) + IF(X54&lt;F54,1,IF(X54&gt;G54,-1,0)) + IF(X54&lt;I54,1,IF(X54&gt;I54,-1,0)) + IF(X54&lt;H54,1,IF(X54&gt;H54,-1,0))"),1.0)</f>
        <v>1</v>
      </c>
      <c r="AT54" s="34" t="str">
        <f t="shared" si="85"/>
        <v>recompra</v>
      </c>
      <c r="AU54" s="35" t="str">
        <f t="shared" si="22"/>
        <v>hold</v>
      </c>
      <c r="AV54" s="35" t="str">
        <f t="shared" si="23"/>
        <v>venta</v>
      </c>
      <c r="AW54" s="38">
        <f t="shared" si="24"/>
        <v>0.1548520348</v>
      </c>
      <c r="AX54" s="38">
        <f t="shared" si="25"/>
        <v>-0.1736092681</v>
      </c>
      <c r="AY54" s="38">
        <f t="shared" si="26"/>
        <v>-0.1788155838</v>
      </c>
      <c r="AZ54" s="42">
        <f t="shared" si="27"/>
        <v>0.1685155609</v>
      </c>
      <c r="BA54" s="38">
        <f t="shared" si="28"/>
        <v>0.5469947671</v>
      </c>
      <c r="BB54" s="38">
        <f t="shared" si="29"/>
        <v>0.4530052329</v>
      </c>
      <c r="BC54" s="38">
        <f t="shared" si="30"/>
        <v>0.009823000522</v>
      </c>
      <c r="BD54" s="38">
        <f t="shared" si="31"/>
        <v>0.4983505697</v>
      </c>
      <c r="BE54" s="38">
        <f t="shared" si="32"/>
        <v>0.5016494303</v>
      </c>
      <c r="BF54" s="38">
        <f t="shared" si="33"/>
        <v>0.320706332</v>
      </c>
      <c r="BG54" s="37">
        <f t="shared" si="34"/>
        <v>0.1717664555</v>
      </c>
      <c r="BH54" s="43">
        <f t="shared" si="35"/>
        <v>-0.003524564168</v>
      </c>
      <c r="BI54" s="44">
        <f t="shared" si="36"/>
        <v>0.6825611151</v>
      </c>
      <c r="BJ54" s="38">
        <f t="shared" si="37"/>
        <v>0.3305293325</v>
      </c>
      <c r="BK54" s="43">
        <f t="shared" si="38"/>
        <v>-0.3186446466</v>
      </c>
      <c r="BL54" s="47">
        <v>299.45</v>
      </c>
      <c r="BM54" s="46">
        <f t="shared" si="39"/>
        <v>0.0946714869</v>
      </c>
      <c r="BN54" s="38">
        <v>0.026</v>
      </c>
      <c r="BO54" s="47">
        <v>40.0</v>
      </c>
      <c r="BP54" s="47">
        <f t="shared" si="40"/>
        <v>0.05865507468</v>
      </c>
      <c r="BQ54" s="47">
        <v>3.19</v>
      </c>
      <c r="BR54" s="47">
        <f t="shared" si="41"/>
        <v>0.1566318596</v>
      </c>
      <c r="BS54" s="47">
        <v>0.482</v>
      </c>
      <c r="BT54" s="47">
        <f t="shared" si="80"/>
        <v>0.8259642521</v>
      </c>
      <c r="BU54" s="47">
        <v>0.7</v>
      </c>
      <c r="BV54" s="47">
        <f t="shared" si="72"/>
        <v>0.9653465347</v>
      </c>
      <c r="BW54" s="48">
        <f t="shared" si="44"/>
        <v>2.896615912</v>
      </c>
      <c r="BX54" s="49">
        <f t="shared" si="45"/>
        <v>1.368646794</v>
      </c>
      <c r="BY54" s="47">
        <f t="shared" si="46"/>
        <v>0.5016494303</v>
      </c>
      <c r="BZ54" s="50">
        <v>0.25</v>
      </c>
      <c r="CA54" s="50">
        <f t="shared" si="47"/>
        <v>0.2658436214</v>
      </c>
      <c r="CB54" s="50">
        <v>0.327</v>
      </c>
      <c r="CC54" s="50">
        <f t="shared" si="81"/>
        <v>0.2804654011</v>
      </c>
      <c r="CD54" s="50">
        <v>0.215</v>
      </c>
      <c r="CE54" s="50">
        <f t="shared" si="49"/>
        <v>0.6901377166</v>
      </c>
      <c r="CF54" s="50">
        <f t="shared" si="50"/>
        <v>0.412148913</v>
      </c>
      <c r="CG54" s="51">
        <v>0.225</v>
      </c>
      <c r="CH54" s="51">
        <f t="shared" si="51"/>
        <v>0.2557673019</v>
      </c>
      <c r="CI54" s="51">
        <v>0.189</v>
      </c>
      <c r="CJ54" s="51">
        <f t="shared" si="52"/>
        <v>0.2738853503</v>
      </c>
      <c r="CK54" s="51">
        <v>0.211</v>
      </c>
      <c r="CL54" s="51">
        <f t="shared" si="82"/>
        <v>0.4173553719</v>
      </c>
      <c r="CM54" s="51">
        <v>0.799</v>
      </c>
      <c r="CN54" s="51">
        <f t="shared" si="83"/>
        <v>0.4987506247</v>
      </c>
      <c r="CO54" s="51">
        <v>0.437</v>
      </c>
      <c r="CP54" s="51">
        <f t="shared" si="84"/>
        <v>0.8192675159</v>
      </c>
      <c r="CQ54" s="51">
        <f t="shared" si="56"/>
        <v>0.4530052329</v>
      </c>
      <c r="CR54" s="52">
        <f t="shared" si="57"/>
        <v>0.4556011921</v>
      </c>
      <c r="CS54" s="53">
        <f t="shared" si="68"/>
        <v>0.2746629755</v>
      </c>
      <c r="CT54" s="54">
        <f t="shared" si="59"/>
        <v>0.5376509323</v>
      </c>
      <c r="CU54" s="55">
        <f t="shared" si="60"/>
        <v>0.1117684681</v>
      </c>
      <c r="CV54" s="34">
        <f t="shared" si="61"/>
        <v>1.797281712</v>
      </c>
      <c r="CW54" s="34">
        <f t="shared" si="62"/>
        <v>0.6771210241</v>
      </c>
      <c r="CX54" s="35">
        <f t="shared" si="63"/>
        <v>0.2646208999</v>
      </c>
      <c r="CY54" s="38">
        <f>IFERROR(__xludf.DUMMYFUNCTION("(GOOGLEFINANCE(B54,""price"")/INDEX(GOOGLEFINANCE(B54,""price"",TODAY()-30),2,2))-1"),-0.10503765255777708)</f>
        <v>-0.1050376526</v>
      </c>
      <c r="CZ54" s="38">
        <f>IFERROR(__xludf.DUMMYFUNCTION("(GOOGLEFINANCE($B54,""price"")/INDEX(GOOGLEFINANCE($B54,""price"",TODAY()-180),2,2))-1"),-0.16871683550410033)</f>
        <v>-0.1687168355</v>
      </c>
      <c r="DA54" s="38">
        <f>IFERROR(__xludf.DUMMYFUNCTION("(GOOGLEFINANCE($B54,""price"")/INDEX(GOOGLEFINANCE($B54,""price"",TODAY()-365),2,2))-1"),-0.5124832024895678)</f>
        <v>-0.5124832025</v>
      </c>
      <c r="DB54" s="38">
        <f>IFERROR(__xludf.DUMMYFUNCTION("(GOOGLEFINANCE($B54,""price"")/INDEX(GOOGLEFINANCE($B54,""price"",TODAY()-365*5),2,2))-1"),1.0699699699699705)</f>
        <v>1.06996997</v>
      </c>
      <c r="DC54" s="38">
        <f>IFERROR(__xludf.DUMMYFUNCTION("(INDEX(GOOGLEFINANCE(B54, ""price"", TODAY()-30, TODAY()), ROWS(GOOGLEFINANCE(B54, ""price"", TODAY()-30, TODAY())), 2) / INDEX(GOOGLEFINANCE(B54, ""price"", TODAY()-30, TODAY()), 2, 2)) - 1"),-0.10503765255777708)</f>
        <v>-0.1050376526</v>
      </c>
      <c r="DD54" s="38">
        <f>IFERROR(__xludf.DUMMYFUNCTION("(INDEX(GOOGLEFINANCE(B54, ""price"", TODAY()-7, TODAY()), ROWS(GOOGLEFINANCE(B54, ""price"", TODAY()-7, TODAY())), 2) / INDEX(GOOGLEFINANCE(B54, ""price"", TODAY()-7, TODAY()), 2, 2)) - 1"),-0.005626081938834182)</f>
        <v>-0.005626081939</v>
      </c>
    </row>
    <row r="55">
      <c r="A55" s="34" t="str">
        <f>IFERROR(__xludf.DUMMYFUNCTION("GOOGLEFINANCE(B55,""name"")"),"PDD Holdings Inc - ADR")</f>
        <v>PDD Holdings Inc - ADR</v>
      </c>
      <c r="B55" s="35" t="s">
        <v>161</v>
      </c>
      <c r="C55" s="35" t="s">
        <v>102</v>
      </c>
      <c r="D55" s="35" t="s">
        <v>94</v>
      </c>
      <c r="E55" s="57">
        <v>3.0</v>
      </c>
      <c r="F55" s="35">
        <f>IFERROR(__xludf.DUMMYFUNCTION("IFERROR(MIN(INDEX(GOOGLEFINANCE(B55,""close"",TODAY()-100,TODAY()),0,2)) * GOOGLEFINANCE(""CURRENCY:USDEUR""),""Error en datos"")"),75.590493)</f>
        <v>75.590493</v>
      </c>
      <c r="G55" s="35">
        <f>IFERROR(__xludf.DUMMYFUNCTION("IFERROR(MAX(INDEX(GOOGLEFINANCE(B55,""close"",TODAY()-100,TODAY()),0,2)) * GOOGLEFINANCE(""CURRENCY:USDEUR""),""Error en datos"")"),102.199031)</f>
        <v>102.199031</v>
      </c>
      <c r="H55" s="35">
        <f>IFERROR(__xludf.DUMMYFUNCTION("IFERROR(AVERAGE(INDEX(GOOGLEFINANCE(B55,""close"",TODAY()-20,TODAY()),0,2)) * GOOGLEFINANCE(""CURRENCY:USDEUR""),""Error en datos"")"),90.1215320923077)</f>
        <v>90.12153209</v>
      </c>
      <c r="I55" s="35">
        <f>IFERROR(__xludf.DUMMYFUNCTION("IFERROR(PERCENTILE(INDEX(GOOGLEFINANCE(B55,""close"",TODAY()-365,TODAY()),0,2),0.05) * GOOGLEFINANCE(""CURRENCY:USDEUR""),""Error en datos"")"),80.51178916)</f>
        <v>80.51178916</v>
      </c>
      <c r="J55" s="35">
        <f>IFERROR(__xludf.DUMMYFUNCTION("AVERAGE(INDEX(GOOGLEFINANCE(B55,""price"",TODAY()-20,TODAY(),""DAILY""),0,2))+(2*STDEV(INDEX(GOOGLEFINANCE(B55,""price"",TODAY()-20,TODAY(),""DAILY""),0,2)))"),107.46071456321457)</f>
        <v>107.4607146</v>
      </c>
      <c r="K55" s="35">
        <f>IFERROR(__xludf.DUMMYFUNCTION("AVERAGE(INDEX(GOOGLEFINANCE(B55,""price"",TODAY()-20,TODAY(),""DAILY""),0,2))-(2*STDEV(INDEX(GOOGLEFINANCE(B55,""price"",TODAY()-20,TODAY(),""DAILY""),0,2)))"),103.20697774447777)</f>
        <v>103.2069777</v>
      </c>
      <c r="L55" s="35">
        <v>575.0</v>
      </c>
      <c r="M55" s="35">
        <f t="shared" si="1"/>
        <v>0.09908159661</v>
      </c>
      <c r="N55" s="35">
        <v>-19.0</v>
      </c>
      <c r="O55" s="35">
        <f t="shared" si="2"/>
        <v>0.36</v>
      </c>
      <c r="P55" s="35">
        <v>-3.32</v>
      </c>
      <c r="Q55" s="35">
        <f t="shared" si="3"/>
        <v>0.0857805255</v>
      </c>
      <c r="R55" s="35" t="str">
        <f>IFERROR(__xludf.DUMMYFUNCTION("IF(B55="""", """", SPARKLINE(INDEX(GOOGLEFINANCE(B55, ""price"", TODAY()-1825, TODAY()), 0, 2)))"),"")</f>
        <v/>
      </c>
      <c r="S55" s="35">
        <f t="shared" si="4"/>
        <v>86.43641997</v>
      </c>
      <c r="T55" s="35">
        <f t="shared" si="5"/>
        <v>101.9587249</v>
      </c>
      <c r="U55" s="34" t="str">
        <f t="shared" si="6"/>
        <v>Compra</v>
      </c>
      <c r="V55" s="37">
        <f t="shared" si="7"/>
        <v>0.0384384017</v>
      </c>
      <c r="W55" s="37">
        <f t="shared" si="8"/>
        <v>-0.1146683971</v>
      </c>
      <c r="X55" s="34">
        <f>IFERROR(__xludf.DUMMYFUNCTION("AJ55*GOOGLEFINANCE(""CURRENCY:USD/EUR"")"),89.7588978)</f>
        <v>89.7588978</v>
      </c>
      <c r="Y55" s="35">
        <f>IFERROR(__xludf.DUMMYFUNCTION("AI55*GOOGLEFINANCE(""CURRENCY:USD/EUR"")"),101.38449537310584)</f>
        <v>101.3844954</v>
      </c>
      <c r="Z55" s="38">
        <f t="shared" si="9"/>
        <v>0.1359177468</v>
      </c>
      <c r="AA55" s="38">
        <f t="shared" si="10"/>
        <v>0.12952028</v>
      </c>
      <c r="AB55" s="38">
        <f t="shared" si="11"/>
        <v>0.05456045565</v>
      </c>
      <c r="AC55" s="41">
        <v>90.0</v>
      </c>
      <c r="AD55" s="40">
        <f t="shared" si="12"/>
        <v>0.317486223</v>
      </c>
      <c r="AE55" s="41">
        <v>124.0</v>
      </c>
      <c r="AF55" s="41">
        <f t="shared" si="13"/>
        <v>0.5534283098</v>
      </c>
      <c r="AG55" s="41">
        <v>165.0</v>
      </c>
      <c r="AH55" s="41">
        <f t="shared" si="14"/>
        <v>0.1290854672</v>
      </c>
      <c r="AI55" s="41">
        <f t="shared" si="15"/>
        <v>118.4979726</v>
      </c>
      <c r="AJ55" s="34">
        <f>IFERROR(__xludf.DUMMYFUNCTION("GOOGLEFINANCE(B55,""price"")"),104.91)</f>
        <v>104.91</v>
      </c>
      <c r="AK55" s="37">
        <f t="shared" si="86"/>
        <v>0.1242158568</v>
      </c>
      <c r="AL55" s="34">
        <v>109.39</v>
      </c>
      <c r="AM55" s="34">
        <f t="shared" si="16"/>
        <v>94.16707682</v>
      </c>
      <c r="AN55" s="34">
        <f t="shared" si="17"/>
        <v>97.23235588</v>
      </c>
      <c r="AO55" s="38">
        <f>IFERROR(__xludf.DUMMYFUNCTION("(GOOGLEFINANCE(B55, ""price"") - INDEX(GOOGLEFINANCE(B55, ""price"", DATE(2025,5,8)), 2, 2)) / INDEX(GOOGLEFINANCE(B55, ""price"", DATE(2025,5,8)), 2, 2)"),-0.04540491355777988)</f>
        <v>-0.04540491356</v>
      </c>
      <c r="AP55" s="37">
        <f t="shared" si="18"/>
        <v>0.08326147337</v>
      </c>
      <c r="AQ55" s="37">
        <f t="shared" si="19"/>
        <v>-0.0409543834</v>
      </c>
      <c r="AR55" s="37">
        <f t="shared" si="20"/>
        <v>0.1242158568</v>
      </c>
      <c r="AS55" s="34">
        <f>IFERROR(__xludf.DUMMYFUNCTION("IF(X55&lt;K55,1,IF(X55&gt;J55,-1,0)) + IF(X55&lt;F55,1,IF(X55&gt;G55,-1,0)) + IF(X55&lt;I55,1,IF(X55&gt;I55,-1,0)) + IF(X55&lt;H55,1,IF(X55&gt;H55,-1,0))"),1.0)</f>
        <v>1</v>
      </c>
      <c r="AT55" s="34" t="str">
        <f t="shared" si="85"/>
        <v>recompra</v>
      </c>
      <c r="AU55" s="35" t="str">
        <f t="shared" si="22"/>
        <v>hold</v>
      </c>
      <c r="AV55" s="35" t="str">
        <f t="shared" si="23"/>
        <v>venta</v>
      </c>
      <c r="AW55" s="38">
        <f t="shared" si="24"/>
        <v>0.12952028</v>
      </c>
      <c r="AX55" s="38">
        <f t="shared" si="25"/>
        <v>-0.01255002966</v>
      </c>
      <c r="AY55" s="38">
        <f t="shared" si="26"/>
        <v>-0.05510361826</v>
      </c>
      <c r="AZ55" s="42">
        <f t="shared" si="27"/>
        <v>0.1572086994</v>
      </c>
      <c r="BA55" s="38">
        <f t="shared" si="28"/>
        <v>0.4099332405</v>
      </c>
      <c r="BB55" s="38">
        <f t="shared" si="29"/>
        <v>0.5900667595</v>
      </c>
      <c r="BC55" s="38">
        <f t="shared" si="30"/>
        <v>0.04911133185</v>
      </c>
      <c r="BD55" s="38">
        <f t="shared" si="31"/>
        <v>0.4929057747</v>
      </c>
      <c r="BE55" s="38">
        <f t="shared" si="32"/>
        <v>0.5070942253</v>
      </c>
      <c r="BF55" s="38">
        <f t="shared" si="33"/>
        <v>0.3801435825</v>
      </c>
      <c r="BG55" s="37">
        <f t="shared" si="34"/>
        <v>0.09978994172</v>
      </c>
      <c r="BH55" s="43">
        <f t="shared" si="35"/>
        <v>0.02234316173</v>
      </c>
      <c r="BI55" s="44">
        <f t="shared" si="36"/>
        <v>0.5168727626</v>
      </c>
      <c r="BJ55" s="38">
        <f t="shared" si="37"/>
        <v>0.4292549143</v>
      </c>
      <c r="BK55" s="43">
        <f t="shared" si="38"/>
        <v>-0.06640032786</v>
      </c>
      <c r="BL55" s="47">
        <v>150.44</v>
      </c>
      <c r="BM55" s="46">
        <f t="shared" si="39"/>
        <v>0.04754133101</v>
      </c>
      <c r="BN55" s="38">
        <v>0.0</v>
      </c>
      <c r="BO55" s="47">
        <v>54.0</v>
      </c>
      <c r="BP55" s="47">
        <f t="shared" si="40"/>
        <v>0.07921519099</v>
      </c>
      <c r="BQ55" s="47">
        <v>10.45</v>
      </c>
      <c r="BR55" s="47">
        <f t="shared" si="41"/>
        <v>0.317929349</v>
      </c>
      <c r="BS55" s="47">
        <v>0.275</v>
      </c>
      <c r="BT55" s="47">
        <f t="shared" si="80"/>
        <v>0.6312323612</v>
      </c>
      <c r="BU55" s="47">
        <v>0.0</v>
      </c>
      <c r="BV55" s="47">
        <f t="shared" si="72"/>
        <v>1</v>
      </c>
      <c r="BW55" s="48">
        <f t="shared" si="44"/>
        <v>2.056004891</v>
      </c>
      <c r="BX55" s="49">
        <f t="shared" si="45"/>
        <v>1.011402364</v>
      </c>
      <c r="BY55" s="47">
        <f t="shared" si="46"/>
        <v>0.5070942253</v>
      </c>
      <c r="BZ55" s="50">
        <v>0.59</v>
      </c>
      <c r="CA55" s="50">
        <f t="shared" si="47"/>
        <v>0.5456790123</v>
      </c>
      <c r="CB55" s="50">
        <v>0.835</v>
      </c>
      <c r="CC55" s="50">
        <f t="shared" si="81"/>
        <v>0.4360073484</v>
      </c>
      <c r="CD55" s="50">
        <v>0.847</v>
      </c>
      <c r="CE55" s="50">
        <f t="shared" si="49"/>
        <v>0.7076854731</v>
      </c>
      <c r="CF55" s="50">
        <f t="shared" si="50"/>
        <v>0.5631239446</v>
      </c>
      <c r="CG55" s="51">
        <v>0.659</v>
      </c>
      <c r="CH55" s="51">
        <f t="shared" si="51"/>
        <v>0.4734202608</v>
      </c>
      <c r="CI55" s="51">
        <v>0.672</v>
      </c>
      <c r="CJ55" s="51">
        <f t="shared" si="52"/>
        <v>0.8891719745</v>
      </c>
      <c r="CK55" s="51">
        <v>0.691</v>
      </c>
      <c r="CL55" s="51">
        <f t="shared" si="82"/>
        <v>0.8140495868</v>
      </c>
      <c r="CM55" s="51">
        <v>0.269</v>
      </c>
      <c r="CN55" s="51">
        <f t="shared" si="83"/>
        <v>0.2338830585</v>
      </c>
      <c r="CO55" s="51">
        <v>0.086</v>
      </c>
      <c r="CP55" s="51">
        <f t="shared" si="84"/>
        <v>0.5398089172</v>
      </c>
      <c r="CQ55" s="51">
        <f t="shared" si="56"/>
        <v>0.5900667595</v>
      </c>
      <c r="CR55" s="52">
        <f t="shared" si="57"/>
        <v>0.5534283098</v>
      </c>
      <c r="CS55" s="53">
        <f t="shared" si="68"/>
        <v>0.1609859297</v>
      </c>
      <c r="CT55" s="54">
        <f t="shared" si="59"/>
        <v>0.4212502911</v>
      </c>
      <c r="CU55" s="55">
        <f t="shared" si="60"/>
        <v>0.07842598817</v>
      </c>
      <c r="CV55" s="34">
        <f t="shared" si="61"/>
        <v>2.259090796</v>
      </c>
      <c r="CW55" s="34">
        <f t="shared" si="62"/>
        <v>0.8414868539</v>
      </c>
      <c r="CX55" s="35">
        <f t="shared" si="63"/>
        <v>0.2228902628</v>
      </c>
      <c r="CY55" s="38">
        <f>IFERROR(__xludf.DUMMYFUNCTION("(GOOGLEFINANCE(B55,""price"")/INDEX(GOOGLEFINANCE(B55,""price"",TODAY()-30),2,2))-1"),0.020624574374939142)</f>
        <v>0.02062457437</v>
      </c>
      <c r="CZ55" s="38">
        <f>IFERROR(__xludf.DUMMYFUNCTION("(GOOGLEFINANCE($B55,""price"")/INDEX(GOOGLEFINANCE($B55,""price"",TODAY()-180),2,2))-1"),0.041807348560079394)</f>
        <v>0.04180734856</v>
      </c>
      <c r="DA55" s="38">
        <f>IFERROR(__xludf.DUMMYFUNCTION("(GOOGLEFINANCE($B55,""price"")/INDEX(GOOGLEFINANCE($B55,""price"",TODAY()-365),2,2))-1"),-0.23972751648670199)</f>
        <v>-0.2397275165</v>
      </c>
      <c r="DB55" s="38">
        <f>IFERROR(__xludf.DUMMYFUNCTION("(GOOGLEFINANCE($B55,""price"")/INDEX(GOOGLEFINANCE($B55,""price"",TODAY()-365*5),2,2))-1"),0.22989449003517004)</f>
        <v>0.22989449</v>
      </c>
      <c r="DC55" s="38">
        <f>IFERROR(__xludf.DUMMYFUNCTION("(INDEX(GOOGLEFINANCE(B55, ""price"", TODAY()-30, TODAY()), ROWS(GOOGLEFINANCE(B55, ""price"", TODAY()-30, TODAY())), 2) / INDEX(GOOGLEFINANCE(B55, ""price"", TODAY()-30, TODAY()), 2, 2)) - 1"),0.020624574374939142)</f>
        <v>0.02062457437</v>
      </c>
      <c r="DD55" s="38">
        <f>IFERROR(__xludf.DUMMYFUNCTION("(INDEX(GOOGLEFINANCE(B55, ""price"", TODAY()-7, TODAY()), ROWS(GOOGLEFINANCE(B55, ""price"", TODAY()-7, TODAY())), 2) / INDEX(GOOGLEFINANCE(B55, ""price"", TODAY()-7, TODAY()), 2, 2)) - 1"),-0.0032304038004751234)</f>
        <v>-0.0032304038</v>
      </c>
    </row>
    <row r="56">
      <c r="A56" s="61" t="str">
        <f>IFERROR(__xludf.DUMMYFUNCTION("GOOGLEFINANCE(B56,""name"")"),"Pfizer Inc")</f>
        <v>Pfizer Inc</v>
      </c>
      <c r="B56" s="35" t="s">
        <v>162</v>
      </c>
      <c r="C56" s="35" t="s">
        <v>93</v>
      </c>
      <c r="D56" s="35" t="s">
        <v>91</v>
      </c>
      <c r="E56" s="56">
        <v>2.0</v>
      </c>
      <c r="F56" s="35">
        <f>IFERROR(__xludf.DUMMYFUNCTION("IFERROR(MIN(INDEX(GOOGLEFINANCE(B56,""close"",TODAY()-100,TODAY()),0,2)) * GOOGLEFINANCE(""CURRENCY:USDEUR""),""Error en datos"")"),18.4719722)</f>
        <v>18.4719722</v>
      </c>
      <c r="G56" s="35">
        <f>IFERROR(__xludf.DUMMYFUNCTION("IFERROR(MAX(INDEX(GOOGLEFINANCE(B56,""close"",TODAY()-100,TODAY()),0,2)) * GOOGLEFINANCE(""CURRENCY:USDEUR""),""Error en datos"")"),22.0568524)</f>
        <v>22.0568524</v>
      </c>
      <c r="H56" s="35">
        <f>IFERROR(__xludf.DUMMYFUNCTION("IFERROR(AVERAGE(INDEX(GOOGLEFINANCE(B56,""close"",TODAY()-20,TODAY()),0,2)) * GOOGLEFINANCE(""CURRENCY:USDEUR""),""Error en datos"")"),21.37831164615384)</f>
        <v>21.37831165</v>
      </c>
      <c r="I56" s="35">
        <f>IFERROR(__xludf.DUMMYFUNCTION("IFERROR(PERCENTILE(INDEX(GOOGLEFINANCE(B56,""close"",TODAY()-365,TODAY()),0,2),0.05) * GOOGLEFINANCE(""CURRENCY:USDEUR""),""Error en datos"")"),19.30017364)</f>
        <v>19.30017364</v>
      </c>
      <c r="J56" s="35">
        <f>IFERROR(__xludf.DUMMYFUNCTION("AVERAGE(INDEX(GOOGLEFINANCE(B56,""price"",TODAY()-20,TODAY(),""DAILY""),0,2))+(2*STDEV(INDEX(GOOGLEFINANCE(B56,""price"",TODAY()-20,TODAY(),""DAILY""),0,2)))"),26.260720146459253)</f>
        <v>26.26072015</v>
      </c>
      <c r="K56" s="35">
        <f>IFERROR(__xludf.DUMMYFUNCTION("AVERAGE(INDEX(GOOGLEFINANCE(B56,""price"",TODAY()-20,TODAY(),""DAILY""),0,2))-(2*STDEV(INDEX(GOOGLEFINANCE(B56,""price"",TODAY()-20,TODAY(),""DAILY""),0,2)))"),23.713126007386887)</f>
        <v>23.71312601</v>
      </c>
      <c r="L56" s="35">
        <v>2912.0</v>
      </c>
      <c r="M56" s="35">
        <f t="shared" si="1"/>
        <v>0.5118332745</v>
      </c>
      <c r="N56" s="35">
        <v>23.0</v>
      </c>
      <c r="O56" s="35">
        <f t="shared" si="2"/>
        <v>0.5466666667</v>
      </c>
      <c r="P56" s="35">
        <v>1.88</v>
      </c>
      <c r="Q56" s="35">
        <f t="shared" si="3"/>
        <v>0.186244204</v>
      </c>
      <c r="R56" s="35" t="str">
        <f>IFERROR(__xludf.DUMMYFUNCTION("IF(B56="""", """", SPARKLINE(INDEX(GOOGLEFINANCE(B56, ""price"", TODAY()-1825, TODAY()), 0, 2)))"),"")</f>
        <v/>
      </c>
      <c r="S56" s="35">
        <f t="shared" si="4"/>
        <v>20.49509062</v>
      </c>
      <c r="T56" s="35">
        <f t="shared" si="5"/>
        <v>24.40193938</v>
      </c>
      <c r="U56" s="34" t="str">
        <f t="shared" si="6"/>
        <v/>
      </c>
      <c r="V56" s="37">
        <f t="shared" si="7"/>
        <v>0.07077482171</v>
      </c>
      <c r="W56" s="37">
        <f t="shared" si="8"/>
        <v>-0.1024492679</v>
      </c>
      <c r="X56" s="34">
        <f>IFERROR(__xludf.DUMMYFUNCTION("AJ56*GOOGLEFINANCE(""CURRENCY:USD/EUR"")"),21.945626999999998)</f>
        <v>21.945627</v>
      </c>
      <c r="Y56" s="35">
        <f>IFERROR(__xludf.DUMMYFUNCTION("AI56*GOOGLEFINANCE(""CURRENCY:USD/EUR"")"),24.4505699969429)</f>
        <v>24.45057</v>
      </c>
      <c r="Z56" s="38">
        <f t="shared" si="9"/>
        <v>0.1119271906</v>
      </c>
      <c r="AA56" s="38">
        <f t="shared" si="10"/>
        <v>0.1861431501</v>
      </c>
      <c r="AB56" s="38">
        <f t="shared" si="11"/>
        <v>0.06902299447</v>
      </c>
      <c r="AC56" s="41">
        <v>24.0</v>
      </c>
      <c r="AD56" s="40">
        <f t="shared" si="12"/>
        <v>0.3190381455</v>
      </c>
      <c r="AE56" s="41">
        <v>28.38</v>
      </c>
      <c r="AF56" s="41">
        <f t="shared" si="13"/>
        <v>0.3356893703</v>
      </c>
      <c r="AG56" s="41">
        <v>33.0</v>
      </c>
      <c r="AH56" s="41">
        <f t="shared" si="14"/>
        <v>0.3452724843</v>
      </c>
      <c r="AI56" s="41">
        <f t="shared" si="15"/>
        <v>28.5777718</v>
      </c>
      <c r="AJ56" s="34">
        <f>IFERROR(__xludf.DUMMYFUNCTION("GOOGLEFINANCE(B56,""price"")"),25.65)</f>
        <v>25.65</v>
      </c>
      <c r="AK56" s="37">
        <f t="shared" si="86"/>
        <v>0.2004673892</v>
      </c>
      <c r="AL56" s="34">
        <v>22.79</v>
      </c>
      <c r="AM56" s="34">
        <f t="shared" si="16"/>
        <v>21.63496795</v>
      </c>
      <c r="AN56" s="34">
        <f t="shared" si="17"/>
        <v>27.51896097</v>
      </c>
      <c r="AO56" s="38">
        <f>IFERROR(__xludf.DUMMYFUNCTION("(GOOGLEFINANCE(B56, ""price"") - INDEX(GOOGLEFINANCE(B56, ""price"", DATE(2025,5,8)), 2, 2)) / INDEX(GOOGLEFINANCE(B56, ""price"", DATE(2025,5,8)), 2, 2)"),0.11667392250761863)</f>
        <v>0.1166739225</v>
      </c>
      <c r="AP56" s="37">
        <f t="shared" si="18"/>
        <v>0.2539610268</v>
      </c>
      <c r="AQ56" s="37">
        <f t="shared" si="19"/>
        <v>0.1254936376</v>
      </c>
      <c r="AR56" s="37">
        <f t="shared" si="20"/>
        <v>0.1284673892</v>
      </c>
      <c r="AS56" s="34">
        <f>IFERROR(__xludf.DUMMYFUNCTION("IF(X56&lt;K56,1,IF(X56&gt;J56,-1,0)) + IF(X56&lt;F56,1,IF(X56&gt;G56,-1,0)) + IF(X56&lt;I56,1,IF(X56&gt;I56,-1,0)) + IF(X56&lt;H56,1,IF(X56&gt;H56,-1,0))"),-1.0)</f>
        <v>-1</v>
      </c>
      <c r="AT56" s="34" t="str">
        <f t="shared" si="85"/>
        <v>Hold</v>
      </c>
      <c r="AU56" s="35" t="str">
        <f t="shared" si="22"/>
        <v>hold</v>
      </c>
      <c r="AV56" s="35" t="str">
        <f t="shared" si="23"/>
        <v>venta</v>
      </c>
      <c r="AW56" s="38">
        <f t="shared" si="24"/>
        <v>0.1141431501</v>
      </c>
      <c r="AX56" s="38">
        <f t="shared" si="25"/>
        <v>-0.01605540073</v>
      </c>
      <c r="AY56" s="38">
        <f t="shared" si="26"/>
        <v>-0.00220677546</v>
      </c>
      <c r="AZ56" s="42">
        <f t="shared" si="27"/>
        <v>0.1427982129</v>
      </c>
      <c r="BA56" s="38">
        <f t="shared" si="28"/>
        <v>0.7061866692</v>
      </c>
      <c r="BB56" s="38">
        <f t="shared" si="29"/>
        <v>0.2938133308</v>
      </c>
      <c r="BC56" s="38">
        <f t="shared" si="30"/>
        <v>-0.01415585228</v>
      </c>
      <c r="BD56" s="38">
        <f t="shared" si="31"/>
        <v>0.5524302469</v>
      </c>
      <c r="BE56" s="38">
        <f t="shared" si="32"/>
        <v>0.4475697531</v>
      </c>
      <c r="BF56" s="38">
        <f t="shared" si="33"/>
        <v>0.1870476514</v>
      </c>
      <c r="BG56" s="37">
        <f t="shared" si="34"/>
        <v>0.1991505262</v>
      </c>
      <c r="BH56" s="43">
        <f t="shared" si="35"/>
        <v>0.09847187538</v>
      </c>
      <c r="BI56" s="44">
        <f t="shared" si="36"/>
        <v>0.4166861331</v>
      </c>
      <c r="BJ56" s="38">
        <f t="shared" si="37"/>
        <v>0.1728917992</v>
      </c>
      <c r="BK56" s="43">
        <f t="shared" si="38"/>
        <v>0.06775483591</v>
      </c>
      <c r="BL56" s="47">
        <v>135.72</v>
      </c>
      <c r="BM56" s="46">
        <f t="shared" si="39"/>
        <v>0.04288556364</v>
      </c>
      <c r="BN56" s="38">
        <v>0.072</v>
      </c>
      <c r="BO56" s="47">
        <v>62.46</v>
      </c>
      <c r="BP56" s="47">
        <f t="shared" si="40"/>
        <v>0.09163937556</v>
      </c>
      <c r="BQ56" s="47">
        <v>1.38</v>
      </c>
      <c r="BR56" s="47">
        <f t="shared" si="41"/>
        <v>0.1164185737</v>
      </c>
      <c r="BS56" s="47">
        <v>0.265</v>
      </c>
      <c r="BT56" s="47">
        <f t="shared" si="80"/>
        <v>0.6218250235</v>
      </c>
      <c r="BU56" s="47">
        <v>0.8</v>
      </c>
      <c r="BV56" s="47">
        <f t="shared" si="72"/>
        <v>0.9603960396</v>
      </c>
      <c r="BW56" s="48">
        <f t="shared" si="44"/>
        <v>1.435923364</v>
      </c>
      <c r="BX56" s="49">
        <f t="shared" si="45"/>
        <v>0.7349003909</v>
      </c>
      <c r="BY56" s="47">
        <f t="shared" si="46"/>
        <v>0.4475697531</v>
      </c>
      <c r="BZ56" s="50">
        <v>0.138</v>
      </c>
      <c r="CA56" s="50">
        <f t="shared" si="47"/>
        <v>0.1736625514</v>
      </c>
      <c r="CB56" s="50">
        <v>1.447</v>
      </c>
      <c r="CC56" s="50">
        <f t="shared" si="81"/>
        <v>0.6233925291</v>
      </c>
      <c r="CD56" s="50">
        <v>-24.641</v>
      </c>
      <c r="CE56" s="50">
        <f t="shared" si="49"/>
        <v>0</v>
      </c>
      <c r="CF56" s="50">
        <f t="shared" si="50"/>
        <v>0.2656850268</v>
      </c>
      <c r="CG56" s="51">
        <v>-0.131</v>
      </c>
      <c r="CH56" s="51">
        <f t="shared" si="51"/>
        <v>0.07723169509</v>
      </c>
      <c r="CI56" s="51">
        <v>0.104</v>
      </c>
      <c r="CJ56" s="51">
        <f t="shared" si="52"/>
        <v>0.1656050955</v>
      </c>
      <c r="CK56" s="51">
        <v>0.136</v>
      </c>
      <c r="CL56" s="51">
        <f t="shared" si="82"/>
        <v>0.3553719008</v>
      </c>
      <c r="CM56" s="51">
        <v>0.191</v>
      </c>
      <c r="CN56" s="51">
        <f t="shared" si="83"/>
        <v>0.1949025487</v>
      </c>
      <c r="CO56" s="51">
        <v>0.257</v>
      </c>
      <c r="CP56" s="51">
        <f t="shared" si="84"/>
        <v>0.675955414</v>
      </c>
      <c r="CQ56" s="51">
        <f t="shared" si="56"/>
        <v>0.2938133308</v>
      </c>
      <c r="CR56" s="52">
        <f t="shared" si="57"/>
        <v>0.3356893703</v>
      </c>
      <c r="CS56" s="53">
        <f t="shared" si="68"/>
        <v>0.4391443549</v>
      </c>
      <c r="CT56" s="54">
        <f t="shared" si="59"/>
        <v>0.3708059869</v>
      </c>
      <c r="CU56" s="55">
        <f t="shared" si="60"/>
        <v>0.073821013</v>
      </c>
      <c r="CV56" s="34">
        <f t="shared" si="61"/>
        <v>0.7913532915</v>
      </c>
      <c r="CW56" s="34">
        <f t="shared" si="62"/>
        <v>0.365683008</v>
      </c>
      <c r="CX56" s="35">
        <f t="shared" si="63"/>
        <v>0.3664554353</v>
      </c>
      <c r="CY56" s="38">
        <f>IFERROR(__xludf.DUMMYFUNCTION("(GOOGLEFINANCE(B56,""price"")/INDEX(GOOGLEFINANCE(B56,""price"",TODAY()-30),2,2))-1"),0.05122950819672134)</f>
        <v>0.0512295082</v>
      </c>
      <c r="CZ56" s="38">
        <f>IFERROR(__xludf.DUMMYFUNCTION("(GOOGLEFINANCE($B56,""price"")/INDEX(GOOGLEFINANCE($B56,""price"",TODAY()-180),2,2))-1"),-0.021739130434782594)</f>
        <v>-0.02173913043</v>
      </c>
      <c r="DA56" s="38">
        <f>IFERROR(__xludf.DUMMYFUNCTION("(GOOGLEFINANCE($B56,""price"")/INDEX(GOOGLEFINANCE($B56,""price"",TODAY()-365),2,2))-1"),-0.11855670103092797)</f>
        <v>-0.118556701</v>
      </c>
      <c r="DB56" s="38">
        <f>IFERROR(__xludf.DUMMYFUNCTION("(GOOGLEFINANCE($B56,""price"")/INDEX(GOOGLEFINANCE($B56,""price"",TODAY()-365*5),2,2))-1"),-0.2420212765957448)</f>
        <v>-0.2420212766</v>
      </c>
      <c r="DC56" s="38">
        <f>IFERROR(__xludf.DUMMYFUNCTION("(INDEX(GOOGLEFINANCE(B56, ""price"", TODAY()-30, TODAY()), ROWS(GOOGLEFINANCE(B56, ""price"", TODAY()-30, TODAY())), 2) / INDEX(GOOGLEFINANCE(B56, ""price"", TODAY()-30, TODAY()), 2, 2)) - 1"),0.05122950819672134)</f>
        <v>0.0512295082</v>
      </c>
      <c r="DD56" s="38">
        <f>IFERROR(__xludf.DUMMYFUNCTION("(INDEX(GOOGLEFINANCE(B56, ""price"", TODAY()-7, TODAY()), ROWS(GOOGLEFINANCE(B56, ""price"", TODAY()-7, TODAY())), 2) / INDEX(GOOGLEFINANCE(B56, ""price"", TODAY()-7, TODAY()), 2, 2)) - 1"),0.016244057052297922)</f>
        <v>0.01624405705</v>
      </c>
    </row>
    <row r="57">
      <c r="A57" s="34" t="str">
        <f>IFERROR(__xludf.DUMMYFUNCTION("GOOGLEFINANCE(B57,""name"")"),"Procter &amp; Gamble Co")</f>
        <v>Procter &amp; Gamble Co</v>
      </c>
      <c r="B57" s="45" t="s">
        <v>163</v>
      </c>
      <c r="C57" s="45" t="s">
        <v>119</v>
      </c>
      <c r="D57" s="35" t="s">
        <v>94</v>
      </c>
      <c r="E57" s="57">
        <v>3.0</v>
      </c>
      <c r="F57" s="35">
        <f>IFERROR(__xludf.DUMMYFUNCTION("IFERROR(MIN(INDEX(GOOGLEFINANCE(B57,""close"",TODAY()-100,TODAY()),0,2)) * GOOGLEFINANCE(""CURRENCY:USDEUR""),""Error en datos"")"),134.368839)</f>
        <v>134.368839</v>
      </c>
      <c r="G57" s="35">
        <f>IFERROR(__xludf.DUMMYFUNCTION("IFERROR(MAX(INDEX(GOOGLEFINANCE(B57,""close"",TODAY()-100,TODAY()),0,2)) * GOOGLEFINANCE(""CURRENCY:USDEUR""),""Error en datos"")"),145.9876154)</f>
        <v>145.9876154</v>
      </c>
      <c r="H57" s="35">
        <f>IFERROR(__xludf.DUMMYFUNCTION("IFERROR(AVERAGE(INDEX(GOOGLEFINANCE(B57,""close"",TODAY()-20,TODAY()),0,2)) * GOOGLEFINANCE(""CURRENCY:USDEUR""),""Error en datos"")"),136.38301691666666)</f>
        <v>136.3830169</v>
      </c>
      <c r="I57" s="35">
        <f>IFERROR(__xludf.DUMMYFUNCTION("IFERROR(PERCENTILE(INDEX(GOOGLEFINANCE(B57,""close"",TODAY()-365,TODAY()),0,2),0.05) * GOOGLEFINANCE(""CURRENCY:USDEUR""),""Error en datos"")"),135.8361587)</f>
        <v>135.8361587</v>
      </c>
      <c r="J57" s="35">
        <f>IFERROR(__xludf.DUMMYFUNCTION("AVERAGE(INDEX(GOOGLEFINANCE(B57,""price"",TODAY()-20,TODAY(),""DAILY""),0,2))+(2*STDEV(INDEX(GOOGLEFINANCE(B57,""price"",TODAY()-20,TODAY(),""DAILY""),0,2)))"),162.27050368083437)</f>
        <v>162.2705037</v>
      </c>
      <c r="K57" s="35">
        <f>IFERROR(__xludf.DUMMYFUNCTION("AVERAGE(INDEX(GOOGLEFINANCE(B57,""price"",TODAY()-20,TODAY(),""DAILY""),0,2))-(2*STDEV(INDEX(GOOGLEFINANCE(B57,""price"",TODAY()-20,TODAY(),""DAILY""),0,2)))"),156.53782965249897)</f>
        <v>156.5378297</v>
      </c>
      <c r="L57" s="45">
        <v>3893.0</v>
      </c>
      <c r="M57" s="35">
        <f t="shared" si="1"/>
        <v>0.6850936065</v>
      </c>
      <c r="N57" s="45">
        <v>-23.81</v>
      </c>
      <c r="O57" s="35">
        <f t="shared" si="2"/>
        <v>0.3386222222</v>
      </c>
      <c r="P57" s="45">
        <v>2.58</v>
      </c>
      <c r="Q57" s="35">
        <f t="shared" si="3"/>
        <v>0.1997681607</v>
      </c>
      <c r="R57" s="35" t="str">
        <f>IFERROR(__xludf.DUMMYFUNCTION("IF(B57="""", """", SPARKLINE(INDEX(GOOGLEFINANCE(B57, ""price"", TODAY()-1825, TODAY()), 0, 2)))"),"")</f>
        <v/>
      </c>
      <c r="S57" s="35">
        <f t="shared" si="4"/>
        <v>142.2476091</v>
      </c>
      <c r="T57" s="35">
        <f t="shared" si="5"/>
        <v>148.4545093</v>
      </c>
      <c r="U57" s="34" t="str">
        <f t="shared" si="6"/>
        <v>Compra</v>
      </c>
      <c r="V57" s="37">
        <f t="shared" si="7"/>
        <v>-0.05538771559</v>
      </c>
      <c r="W57" s="37">
        <f t="shared" si="8"/>
        <v>-0.08790928236</v>
      </c>
      <c r="X57" s="34">
        <f>IFERROR(__xludf.DUMMYFUNCTION("AJ57*GOOGLEFINANCE(""CURRENCY:USD/EUR"")"),134.368839)</f>
        <v>134.368839</v>
      </c>
      <c r="Y57" s="35">
        <f>IFERROR(__xludf.DUMMYFUNCTION("AI57*GOOGLEFINANCE(""CURRENCY:USD/EUR"")"),147.3195992466316)</f>
        <v>147.3195992</v>
      </c>
      <c r="Z57" s="38">
        <f t="shared" si="9"/>
        <v>0.1048283992</v>
      </c>
      <c r="AA57" s="38">
        <f t="shared" si="10"/>
        <v>0.1233821697</v>
      </c>
      <c r="AB57" s="38">
        <f t="shared" si="11"/>
        <v>0.04169665324</v>
      </c>
      <c r="AC57" s="41">
        <v>152.0</v>
      </c>
      <c r="AD57" s="40">
        <f t="shared" si="12"/>
        <v>0.2943760734</v>
      </c>
      <c r="AE57" s="41">
        <v>172.0</v>
      </c>
      <c r="AF57" s="41">
        <f t="shared" si="13"/>
        <v>0.3681605253</v>
      </c>
      <c r="AG57" s="41">
        <v>190.0</v>
      </c>
      <c r="AH57" s="41">
        <f t="shared" si="14"/>
        <v>0.3374634013</v>
      </c>
      <c r="AI57" s="41">
        <f t="shared" si="15"/>
        <v>172.1868198</v>
      </c>
      <c r="AJ57" s="34">
        <f>IFERROR(__xludf.DUMMYFUNCTION("GOOGLEFINANCE(B57,""price"")"),157.05)</f>
        <v>157.05</v>
      </c>
      <c r="AK57" s="37">
        <f t="shared" si="86"/>
        <v>0.1230092589</v>
      </c>
      <c r="AL57" s="34">
        <v>157.66</v>
      </c>
      <c r="AM57" s="34">
        <f t="shared" si="16"/>
        <v>135.3810052</v>
      </c>
      <c r="AN57" s="34">
        <f t="shared" si="17"/>
        <v>146.7496071</v>
      </c>
      <c r="AO57" s="38">
        <f>IFERROR(__xludf.DUMMYFUNCTION("(GOOGLEFINANCE(B57, ""price"") - INDEX(GOOGLEFINANCE(B57, ""price"", DATE(2025,5,9)), 2, 2)) / INDEX(GOOGLEFINANCE(B57, ""price"", DATE(2025,5,8)), 2, 2)"),-0.0038449416955561627)</f>
        <v>-0.003844941696</v>
      </c>
      <c r="AP57" s="37">
        <f t="shared" si="18"/>
        <v>0.09214017351</v>
      </c>
      <c r="AQ57" s="37">
        <f t="shared" si="19"/>
        <v>-0.003869085374</v>
      </c>
      <c r="AR57" s="37">
        <f t="shared" si="20"/>
        <v>0.09600925888</v>
      </c>
      <c r="AS57" s="34">
        <f>IFERROR(__xludf.DUMMYFUNCTION("IF(X57&lt;K57,1,IF(X57&gt;J57,-1,0)) + IF(X57&lt;F57,1,IF(X57&gt;G57,-1,0)) + IF(X57&lt;I57,1,IF(X57&gt;I57,-1,0)) + IF(X57&lt;H57,1,IF(X57&gt;H57,-1,0))"),3.0)</f>
        <v>3</v>
      </c>
      <c r="AT57" s="34" t="str">
        <f t="shared" si="85"/>
        <v>recompra</v>
      </c>
      <c r="AU57" s="35" t="str">
        <f t="shared" si="22"/>
        <v>hold</v>
      </c>
      <c r="AV57" s="35" t="str">
        <f t="shared" si="23"/>
        <v>venta</v>
      </c>
      <c r="AW57" s="38">
        <f t="shared" si="24"/>
        <v>0.09638216973</v>
      </c>
      <c r="AX57" s="38">
        <f t="shared" si="25"/>
        <v>0.0166349512</v>
      </c>
      <c r="AY57" s="38">
        <f t="shared" si="26"/>
        <v>0.02531467218</v>
      </c>
      <c r="AZ57" s="42">
        <f t="shared" si="27"/>
        <v>0.1052712251</v>
      </c>
      <c r="BA57" s="38">
        <f t="shared" si="28"/>
        <v>0.6883491209</v>
      </c>
      <c r="BB57" s="38">
        <f t="shared" si="29"/>
        <v>0.3116508791</v>
      </c>
      <c r="BC57" s="38">
        <f t="shared" si="30"/>
        <v>0.007532744872</v>
      </c>
      <c r="BD57" s="38">
        <f t="shared" si="31"/>
        <v>0.5173321549</v>
      </c>
      <c r="BE57" s="38">
        <f t="shared" si="32"/>
        <v>0.4826678451</v>
      </c>
      <c r="BF57" s="38">
        <f t="shared" si="33"/>
        <v>0.1505127107</v>
      </c>
      <c r="BG57" s="37">
        <f t="shared" si="34"/>
        <v>0.1315197224</v>
      </c>
      <c r="BH57" s="43">
        <f t="shared" si="35"/>
        <v>0.07841719727</v>
      </c>
      <c r="BI57" s="44">
        <f t="shared" si="36"/>
        <v>0.3930523942</v>
      </c>
      <c r="BJ57" s="38">
        <f t="shared" si="37"/>
        <v>0.1580454555</v>
      </c>
      <c r="BK57" s="43">
        <f t="shared" si="38"/>
        <v>0.08478917838</v>
      </c>
      <c r="BL57" s="45">
        <v>369.64</v>
      </c>
      <c r="BM57" s="46">
        <f t="shared" si="39"/>
        <v>0.1168717798</v>
      </c>
      <c r="BN57" s="38">
        <v>0.027</v>
      </c>
      <c r="BO57" s="45">
        <v>83.93</v>
      </c>
      <c r="BP57" s="47">
        <f t="shared" si="40"/>
        <v>0.1231697825</v>
      </c>
      <c r="BQ57" s="45">
        <v>6.3</v>
      </c>
      <c r="BR57" s="47">
        <f t="shared" si="41"/>
        <v>0.2257276161</v>
      </c>
      <c r="BS57" s="38">
        <v>0.254</v>
      </c>
      <c r="BT57" s="47">
        <f t="shared" si="80"/>
        <v>0.611476952</v>
      </c>
      <c r="BU57" s="45">
        <v>0.6</v>
      </c>
      <c r="BV57" s="47">
        <f t="shared" si="72"/>
        <v>0.9702970297</v>
      </c>
      <c r="BW57" s="48">
        <f t="shared" si="44"/>
        <v>1.372980593</v>
      </c>
      <c r="BX57" s="49">
        <f t="shared" si="45"/>
        <v>0.7076875911</v>
      </c>
      <c r="BY57" s="47">
        <f t="shared" si="46"/>
        <v>0.4826678451</v>
      </c>
      <c r="BZ57" s="38">
        <v>-0.002</v>
      </c>
      <c r="CA57" s="50">
        <f t="shared" si="47"/>
        <v>0.05843621399</v>
      </c>
      <c r="CB57" s="38">
        <v>0.022</v>
      </c>
      <c r="CC57" s="50">
        <f t="shared" si="81"/>
        <v>0.1870789957</v>
      </c>
      <c r="CD57" s="38">
        <v>0.029</v>
      </c>
      <c r="CE57" s="50">
        <f t="shared" si="49"/>
        <v>0.6849733452</v>
      </c>
      <c r="CF57" s="50">
        <f t="shared" si="50"/>
        <v>0.3101628516</v>
      </c>
      <c r="CG57" s="38">
        <v>0.277</v>
      </c>
      <c r="CH57" s="51">
        <f t="shared" si="51"/>
        <v>0.2818455366</v>
      </c>
      <c r="CI57" s="38">
        <v>0.036</v>
      </c>
      <c r="CJ57" s="51">
        <f t="shared" si="52"/>
        <v>0.07898089172</v>
      </c>
      <c r="CK57" s="38">
        <v>0.044</v>
      </c>
      <c r="CL57" s="51">
        <f t="shared" si="82"/>
        <v>0.279338843</v>
      </c>
      <c r="CM57" s="38">
        <v>0.311</v>
      </c>
      <c r="CN57" s="51">
        <f t="shared" si="83"/>
        <v>0.2548725637</v>
      </c>
      <c r="CO57" s="38">
        <v>0.241</v>
      </c>
      <c r="CP57" s="51">
        <f t="shared" si="84"/>
        <v>0.6632165605</v>
      </c>
      <c r="CQ57" s="51">
        <f t="shared" si="56"/>
        <v>0.3116508791</v>
      </c>
      <c r="CR57" s="52">
        <f t="shared" si="57"/>
        <v>0.3681605253</v>
      </c>
      <c r="CS57" s="53">
        <f t="shared" si="68"/>
        <v>0.477144399</v>
      </c>
      <c r="CT57" s="54">
        <f t="shared" si="59"/>
        <v>0.337947155</v>
      </c>
      <c r="CU57" s="55">
        <f t="shared" si="60"/>
        <v>0.07671821225</v>
      </c>
      <c r="CV57" s="34">
        <f t="shared" si="61"/>
        <v>2.90131717</v>
      </c>
      <c r="CW57" s="34">
        <f t="shared" si="62"/>
        <v>0.9094095552</v>
      </c>
      <c r="CX57" s="35">
        <f t="shared" si="63"/>
        <v>0.2691951915</v>
      </c>
      <c r="CY57" s="38">
        <f>IFERROR(__xludf.DUMMYFUNCTION("(GOOGLEFINANCE(B57,""price"")/INDEX(GOOGLEFINANCE(B57,""price"",TODAY()-30),2,2))-1"),-0.023806563898557842)</f>
        <v>-0.0238065639</v>
      </c>
      <c r="CZ57" s="38">
        <f>IFERROR(__xludf.DUMMYFUNCTION("(GOOGLEFINANCE($B57,""price"")/INDEX(GOOGLEFINANCE($B57,""price"",TODAY()-180),2,2))-1"),-0.016285624804259324)</f>
        <v>-0.0162856248</v>
      </c>
      <c r="DA57" s="38">
        <f>IFERROR(__xludf.DUMMYFUNCTION("(GOOGLEFINANCE($B57,""price"")/INDEX(GOOGLEFINANCE($B57,""price"",TODAY()-365),2,2))-1"),-0.04575282537367842)</f>
        <v>-0.04575282537</v>
      </c>
      <c r="DB57" s="38">
        <f>IFERROR(__xludf.DUMMYFUNCTION("(GOOGLEFINANCE($B57,""price"")/INDEX(GOOGLEFINANCE($B57,""price"",TODAY()-365*5),2,2))-1"),0.2614457831325303)</f>
        <v>0.2614457831</v>
      </c>
      <c r="DC57" s="38">
        <f>IFERROR(__xludf.DUMMYFUNCTION("(INDEX(GOOGLEFINANCE(B57, ""price"", TODAY()-30, TODAY()), ROWS(GOOGLEFINANCE(B57, ""price"", TODAY()-30, TODAY())), 2) / INDEX(GOOGLEFINANCE(B57, ""price"", TODAY()-30, TODAY()), 2, 2)) - 1"),-0.023806563898557842)</f>
        <v>-0.0238065639</v>
      </c>
      <c r="DD57" s="38">
        <f>IFERROR(__xludf.DUMMYFUNCTION("(INDEX(GOOGLEFINANCE(B57, ""price"", TODAY()-7, TODAY()), ROWS(GOOGLEFINANCE(B57, ""price"", TODAY()-7, TODAY())), 2) / INDEX(GOOGLEFINANCE(B57, ""price"", TODAY()-7, TODAY()), 2, 2)) - 1"),-0.021495327102803663)</f>
        <v>-0.0214953271</v>
      </c>
    </row>
    <row r="58">
      <c r="A58" s="34" t="str">
        <f>IFERROR(__xludf.DUMMYFUNCTION("GOOGLEFINANCE(B58,""name"")"),"Pinterest Inc")</f>
        <v>Pinterest Inc</v>
      </c>
      <c r="B58" s="45" t="s">
        <v>164</v>
      </c>
      <c r="C58" s="45" t="s">
        <v>90</v>
      </c>
      <c r="D58" s="35" t="s">
        <v>94</v>
      </c>
      <c r="E58" s="57">
        <v>3.0</v>
      </c>
      <c r="F58" s="35">
        <f>IFERROR(__xludf.DUMMYFUNCTION("IFERROR(MIN(INDEX(GOOGLEFINANCE(B58,""close"",TODAY()-100,TODAY()),0,2)) * GOOGLEFINANCE(""CURRENCY:USDEUR""),""Error en datos"")"),20.7135918)</f>
        <v>20.7135918</v>
      </c>
      <c r="G58" s="35">
        <f>IFERROR(__xludf.DUMMYFUNCTION("IFERROR(MAX(INDEX(GOOGLEFINANCE(B58,""close"",TODAY()-100,TODAY()),0,2)) * GOOGLEFINANCE(""CURRENCY:USDEUR""),""Error en datos"")"),30.758101000000003)</f>
        <v>30.758101</v>
      </c>
      <c r="H58" s="35">
        <f>IFERROR(__xludf.DUMMYFUNCTION("IFERROR(AVERAGE(INDEX(GOOGLEFINANCE(B58,""close"",TODAY()-20,TODAY()),0,2)) * GOOGLEFINANCE(""CURRENCY:USDEUR""),""Error en datos"")"),30.515247907692316)</f>
        <v>30.51524791</v>
      </c>
      <c r="I58" s="35">
        <f>IFERROR(__xludf.DUMMYFUNCTION("IFERROR(PERCENTILE(INDEX(GOOGLEFINANCE(B58,""close"",TODAY()-365,TODAY()),0,2),0.05) * GOOGLEFINANCE(""CURRENCY:USDEUR""),""Error en datos"")"),22.405929040000004)</f>
        <v>22.40592904</v>
      </c>
      <c r="J58" s="35">
        <f>IFERROR(__xludf.DUMMYFUNCTION("AVERAGE(INDEX(GOOGLEFINANCE(B58,""price"",TODAY()-20,TODAY(),""DAILY""),0,2))+(2*STDEV(INDEX(GOOGLEFINANCE(B58,""price"",TODAY()-20,TODAY(),""DAILY""),0,2)))"),36.135446822274204)</f>
        <v>36.13544682</v>
      </c>
      <c r="K58" s="35">
        <f>IFERROR(__xludf.DUMMYFUNCTION("AVERAGE(INDEX(GOOGLEFINANCE(B58,""price"",TODAY()-20,TODAY(),""DAILY""),0,2))-(2*STDEV(INDEX(GOOGLEFINANCE(B58,""price"",TODAY()-20,TODAY(),""DAILY""),0,2)))"),35.196860870033504)</f>
        <v>35.19686087</v>
      </c>
      <c r="L58" s="35">
        <v>788.0</v>
      </c>
      <c r="M58" s="35">
        <f t="shared" si="1"/>
        <v>0.1367008124</v>
      </c>
      <c r="N58" s="35">
        <v>-11.0</v>
      </c>
      <c r="O58" s="35">
        <f t="shared" si="2"/>
        <v>0.3955555556</v>
      </c>
      <c r="P58" s="35">
        <v>0.0</v>
      </c>
      <c r="Q58" s="35">
        <f t="shared" si="3"/>
        <v>0.1499227202</v>
      </c>
      <c r="R58" s="35" t="str">
        <f>IFERROR(__xludf.DUMMYFUNCTION("IF(B58="""", """", SPARKLINE(INDEX(GOOGLEFINANCE(B58, ""price"", TODAY()-1825, TODAY()), 0, 2)))"),"")</f>
        <v/>
      </c>
      <c r="S58" s="35">
        <f t="shared" si="4"/>
        <v>26.10546057</v>
      </c>
      <c r="T58" s="35">
        <f t="shared" si="5"/>
        <v>33.76277128</v>
      </c>
      <c r="U58" s="34" t="str">
        <f t="shared" si="6"/>
        <v/>
      </c>
      <c r="V58" s="37">
        <f t="shared" si="7"/>
        <v>0.1608545851</v>
      </c>
      <c r="W58" s="37">
        <f t="shared" si="8"/>
        <v>-0.104101289</v>
      </c>
      <c r="X58" s="34">
        <f>IFERROR(__xludf.DUMMYFUNCTION("AJ58*GOOGLEFINANCE(""CURRENCY:USD/EUR"")"),30.304643600000002)</f>
        <v>30.3046436</v>
      </c>
      <c r="Y58" s="35">
        <f>IFERROR(__xludf.DUMMYFUNCTION("AI58*GOOGLEFINANCE(""CURRENCY:USD/EUR"")"),33.825970756401745)</f>
        <v>33.82597076</v>
      </c>
      <c r="Z58" s="38">
        <f t="shared" si="9"/>
        <v>0.1141121383</v>
      </c>
      <c r="AA58" s="38">
        <f t="shared" si="10"/>
        <v>0.1161976099</v>
      </c>
      <c r="AB58" s="38">
        <f t="shared" si="11"/>
        <v>0.04182450614</v>
      </c>
      <c r="AC58" s="41">
        <v>30.0</v>
      </c>
      <c r="AD58" s="40">
        <f t="shared" si="12"/>
        <v>0.331142508</v>
      </c>
      <c r="AE58" s="41">
        <v>39.59</v>
      </c>
      <c r="AF58" s="41">
        <f t="shared" si="13"/>
        <v>0.3690134962</v>
      </c>
      <c r="AG58" s="41">
        <v>50.0</v>
      </c>
      <c r="AH58" s="41">
        <f t="shared" si="14"/>
        <v>0.2998439958</v>
      </c>
      <c r="AI58" s="41">
        <f t="shared" si="15"/>
        <v>39.53571934</v>
      </c>
      <c r="AJ58" s="34">
        <f>IFERROR(__xludf.DUMMYFUNCTION("GOOGLEFINANCE(B58,""price"")"),35.42)</f>
        <v>35.42</v>
      </c>
      <c r="AK58" s="37">
        <f t="shared" si="86"/>
        <v>0.1306992488</v>
      </c>
      <c r="AL58" s="35">
        <v>31.49</v>
      </c>
      <c r="AM58" s="34">
        <f t="shared" si="16"/>
        <v>27.49576507</v>
      </c>
      <c r="AN58" s="34">
        <f t="shared" si="17"/>
        <v>38.04750347</v>
      </c>
      <c r="AO58" s="38">
        <f>IFERROR(__xludf.DUMMYFUNCTION("(GOOGLEFINANCE(B58, ""price"") - INDEX(GOOGLEFINANCE(B58, ""price"", DATE(2025,5,9)), 2, 2)) / INDEX(GOOGLEFINANCE(B58, ""price"", DATE(2025,5,8)), 2, 2)"),0.22254127781765984)</f>
        <v>0.2225412778</v>
      </c>
      <c r="AP58" s="37">
        <f t="shared" si="18"/>
        <v>0.2555007731</v>
      </c>
      <c r="AQ58" s="37">
        <f t="shared" si="19"/>
        <v>0.1248015243</v>
      </c>
      <c r="AR58" s="37">
        <f t="shared" si="20"/>
        <v>0.1306992488</v>
      </c>
      <c r="AS58" s="34">
        <f>IFERROR(__xludf.DUMMYFUNCTION("IF(X58&lt;K58,1,IF(X58&gt;J58,-1,0)) + IF(X58&lt;F58,1,IF(X58&gt;G58,-1,0)) + IF(X58&lt;I58,1,IF(X58&gt;I58,-1,0)) + IF(X58&lt;H58,1,IF(X58&gt;H58,-1,0))"),1.0)</f>
        <v>1</v>
      </c>
      <c r="AT58" s="34" t="str">
        <f t="shared" si="85"/>
        <v>Hold</v>
      </c>
      <c r="AU58" s="35" t="str">
        <f t="shared" si="22"/>
        <v>hold</v>
      </c>
      <c r="AV58" s="35" t="str">
        <f t="shared" si="23"/>
        <v>venta</v>
      </c>
      <c r="AW58" s="38">
        <f t="shared" si="24"/>
        <v>0.1161976099</v>
      </c>
      <c r="AX58" s="38">
        <f t="shared" si="25"/>
        <v>-0.03648373756</v>
      </c>
      <c r="AY58" s="38">
        <f t="shared" si="26"/>
        <v>-0.01370970567</v>
      </c>
      <c r="AZ58" s="42">
        <f t="shared" si="27"/>
        <v>0.09108012444</v>
      </c>
      <c r="BA58" s="38">
        <f t="shared" si="28"/>
        <v>0.7771648562</v>
      </c>
      <c r="BB58" s="38">
        <f t="shared" si="29"/>
        <v>0.2228351438</v>
      </c>
      <c r="BC58" s="38">
        <f t="shared" si="30"/>
        <v>-0.09268805676</v>
      </c>
      <c r="BD58" s="38">
        <f t="shared" si="31"/>
        <v>0.6044356561</v>
      </c>
      <c r="BE58" s="38">
        <f t="shared" si="32"/>
        <v>0.3955643439</v>
      </c>
      <c r="BF58" s="38">
        <f t="shared" si="33"/>
        <v>0.2339871491</v>
      </c>
      <c r="BG58" s="37">
        <f t="shared" si="34"/>
        <v>0.1115107027</v>
      </c>
      <c r="BH58" s="43">
        <f t="shared" si="35"/>
        <v>0.04890049854</v>
      </c>
      <c r="BI58" s="44">
        <f t="shared" si="36"/>
        <v>0.4458217383</v>
      </c>
      <c r="BJ58" s="38">
        <f t="shared" si="37"/>
        <v>0.1412990923</v>
      </c>
      <c r="BK58" s="43">
        <f t="shared" si="38"/>
        <v>-0.1056058293</v>
      </c>
      <c r="BL58" s="63">
        <v>20.91</v>
      </c>
      <c r="BM58" s="46">
        <f t="shared" si="39"/>
        <v>0.006572475938</v>
      </c>
      <c r="BN58" s="63">
        <v>0.0</v>
      </c>
      <c r="BO58" s="63">
        <v>3.76</v>
      </c>
      <c r="BP58" s="47">
        <f t="shared" si="40"/>
        <v>0.005433745025</v>
      </c>
      <c r="BQ58" s="63">
        <v>2.71</v>
      </c>
      <c r="BR58" s="47">
        <f t="shared" si="41"/>
        <v>0.1459675628</v>
      </c>
      <c r="BS58" s="60">
        <v>0.062</v>
      </c>
      <c r="BT58" s="47">
        <f t="shared" si="80"/>
        <v>0.4308560677</v>
      </c>
      <c r="BU58" s="63">
        <v>0.0</v>
      </c>
      <c r="BV58" s="47">
        <f t="shared" si="72"/>
        <v>1</v>
      </c>
      <c r="BW58" s="48">
        <f t="shared" si="44"/>
        <v>1.738288871</v>
      </c>
      <c r="BX58" s="49">
        <f t="shared" si="45"/>
        <v>0.842742978</v>
      </c>
      <c r="BY58" s="47">
        <f t="shared" si="46"/>
        <v>0.3955643439</v>
      </c>
      <c r="BZ58" s="60">
        <v>0.178</v>
      </c>
      <c r="CA58" s="50">
        <f t="shared" si="47"/>
        <v>0.2065843621</v>
      </c>
      <c r="CB58" s="60">
        <v>0.258</v>
      </c>
      <c r="CC58" s="50">
        <f t="shared" si="81"/>
        <v>0.2593386405</v>
      </c>
      <c r="CD58" s="60">
        <v>11.375</v>
      </c>
      <c r="CE58" s="50">
        <f t="shared" si="49"/>
        <v>1</v>
      </c>
      <c r="CF58" s="50">
        <f t="shared" si="50"/>
        <v>0.4886410009</v>
      </c>
      <c r="CG58" s="60">
        <v>-0.002</v>
      </c>
      <c r="CH58" s="51">
        <f t="shared" si="51"/>
        <v>0.1419257773</v>
      </c>
      <c r="CI58" s="60">
        <v>0.254</v>
      </c>
      <c r="CJ58" s="51">
        <f t="shared" si="52"/>
        <v>0.3566878981</v>
      </c>
      <c r="CK58" s="60">
        <v>-0.294</v>
      </c>
      <c r="CL58" s="51">
        <f t="shared" si="82"/>
        <v>0</v>
      </c>
      <c r="CM58" s="60">
        <v>0.088</v>
      </c>
      <c r="CN58" s="51">
        <f t="shared" si="83"/>
        <v>0.1434282859</v>
      </c>
      <c r="CO58" s="60">
        <v>0.001</v>
      </c>
      <c r="CP58" s="51">
        <f t="shared" si="84"/>
        <v>0.472133758</v>
      </c>
      <c r="CQ58" s="51">
        <f t="shared" si="56"/>
        <v>0.2228351438</v>
      </c>
      <c r="CR58" s="52">
        <f t="shared" si="57"/>
        <v>0.3690134962</v>
      </c>
      <c r="CS58" s="53">
        <f t="shared" si="68"/>
        <v>0.2047199752</v>
      </c>
      <c r="CT58" s="54">
        <f t="shared" si="59"/>
        <v>0.3599429124</v>
      </c>
      <c r="CU58" s="55">
        <f t="shared" si="60"/>
        <v>0.08453676803</v>
      </c>
      <c r="CV58" s="34">
        <f t="shared" si="61"/>
        <v>2.99663159</v>
      </c>
      <c r="CW58" s="34">
        <f t="shared" si="62"/>
        <v>0.9336646457</v>
      </c>
      <c r="CX58" s="35">
        <f t="shared" si="63"/>
        <v>0.2727391379</v>
      </c>
      <c r="CY58" s="38">
        <f>IFERROR(__xludf.DUMMYFUNCTION("(GOOGLEFINANCE(B58,""price"")/INDEX(GOOGLEFINANCE(B58,""price"",TODAY()-30),2,2))-1"),0.005678591709256109)</f>
        <v>0.005678591709</v>
      </c>
      <c r="CZ58" s="38">
        <f>IFERROR(__xludf.DUMMYFUNCTION("(GOOGLEFINANCE($B58,""price"")/INDEX(GOOGLEFINANCE($B58,""price"",TODAY()-180),2,2))-1"),0.15638263140711728)</f>
        <v>0.1563826314</v>
      </c>
      <c r="DA58" s="38">
        <f>IFERROR(__xludf.DUMMYFUNCTION("(GOOGLEFINANCE($B58,""price"")/INDEX(GOOGLEFINANCE($B58,""price"",TODAY()-365),2,2))-1"),-0.1436170212765957)</f>
        <v>-0.1436170213</v>
      </c>
      <c r="DB58" s="38">
        <f>IFERROR(__xludf.DUMMYFUNCTION("(GOOGLEFINANCE($B58,""price"")/INDEX(GOOGLEFINANCE($B58,""price"",TODAY()-365*5),2,2))-1"),0.43866774979691314)</f>
        <v>0.4386677498</v>
      </c>
      <c r="DC58" s="38">
        <f>IFERROR(__xludf.DUMMYFUNCTION("(INDEX(GOOGLEFINANCE(B58, ""price"", TODAY()-30, TODAY()), ROWS(GOOGLEFINANCE(B58, ""price"", TODAY()-30, TODAY())), 2) / INDEX(GOOGLEFINANCE(B58, ""price"", TODAY()-30, TODAY()), 2, 2)) - 1"),0.005678591709256109)</f>
        <v>0.005678591709</v>
      </c>
      <c r="DD58" s="38">
        <f>IFERROR(__xludf.DUMMYFUNCTION("(INDEX(GOOGLEFINANCE(B58, ""price"", TODAY()-7, TODAY()), ROWS(GOOGLEFINANCE(B58, ""price"", TODAY()-7, TODAY())), 2) / INDEX(GOOGLEFINANCE(B58, ""price"", TODAY()-7, TODAY()), 2, 2)) - 1"),-0.007008690776562965)</f>
        <v>-0.007008690777</v>
      </c>
    </row>
    <row r="59">
      <c r="A59" s="34" t="str">
        <f>IFERROR(__xludf.DUMMYFUNCTION("GOOGLEFINANCE(B59,""name"")"),"Palantir Technologies Inc")</f>
        <v>Palantir Technologies Inc</v>
      </c>
      <c r="B59" s="45" t="s">
        <v>165</v>
      </c>
      <c r="C59" s="45" t="s">
        <v>90</v>
      </c>
      <c r="D59" s="35" t="s">
        <v>100</v>
      </c>
      <c r="E59" s="64">
        <v>4.0</v>
      </c>
      <c r="F59" s="35">
        <f>IFERROR(__xludf.DUMMYFUNCTION("IFERROR(MIN(INDEX(GOOGLEFINANCE(B59,""close"",TODAY()-100,TODAY()),0,2)) * GOOGLEFINANCE(""CURRENCY:USDEUR""),""Error en datos"")"),66.1534456)</f>
        <v>66.1534456</v>
      </c>
      <c r="G59" s="35">
        <f>IFERROR(__xludf.DUMMYFUNCTION("IFERROR(MAX(INDEX(GOOGLEFINANCE(B59,""close"",TODAY()-100,TODAY()),0,2)) * GOOGLEFINANCE(""CURRENCY:USDEUR""),""Error en datos"")"),123.417415)</f>
        <v>123.417415</v>
      </c>
      <c r="H59" s="35">
        <f>IFERROR(__xludf.DUMMYFUNCTION("IFERROR(AVERAGE(INDEX(GOOGLEFINANCE(B59,""close"",TODAY()-20,TODAY()),0,2)) * GOOGLEFINANCE(""CURRENCY:USDEUR""),""Error en datos"")"),118.54126713846155)</f>
        <v>118.5412671</v>
      </c>
      <c r="I59" s="35">
        <f>IFERROR(__xludf.DUMMYFUNCTION("IFERROR(PERCENTILE(INDEX(GOOGLEFINANCE(B59,""close"",TODAY()-365,TODAY()),0,2),0.05) * GOOGLEFINANCE(""CURRENCY:USDEUR""),""Error en datos"")"),24.39087464)</f>
        <v>24.39087464</v>
      </c>
      <c r="J59" s="35">
        <f>IFERROR(__xludf.DUMMYFUNCTION("AVERAGE(INDEX(GOOGLEFINANCE(B59,""price"",TODAY()-20,TODAY(),""DAILY""),0,2))+(2*STDEV(INDEX(GOOGLEFINANCE(B59,""price"",TODAY()-20,TODAY(),""DAILY""),0,2)))"),148.73202148360622)</f>
        <v>148.7320215</v>
      </c>
      <c r="K59" s="35">
        <f>IFERROR(__xludf.DUMMYFUNCTION("AVERAGE(INDEX(GOOGLEFINANCE(B59,""price"",TODAY()-20,TODAY(),""DAILY""),0,2))-(2*STDEV(INDEX(GOOGLEFINANCE(B59,""price"",TODAY()-20,TODAY(),""DAILY""),0,2)))"),128.36951697793228)</f>
        <v>128.369517</v>
      </c>
      <c r="L59" s="45">
        <v>1958.0</v>
      </c>
      <c r="M59" s="35">
        <f t="shared" si="1"/>
        <v>0.3433415754</v>
      </c>
      <c r="N59" s="45">
        <v>40.0</v>
      </c>
      <c r="O59" s="35">
        <f t="shared" si="2"/>
        <v>0.6222222222</v>
      </c>
      <c r="P59" s="45">
        <v>5.2</v>
      </c>
      <c r="Q59" s="35">
        <f t="shared" si="3"/>
        <v>0.2503863988</v>
      </c>
      <c r="R59" s="35" t="str">
        <f>IFERROR(__xludf.DUMMYFUNCTION("IF(B59="""", """", SPARKLINE(INDEX(GOOGLEFINANCE(B59, ""price"", TODAY()-1825, TODAY()), 0, 2)))"),"")</f>
        <v/>
      </c>
      <c r="S59" s="35">
        <f t="shared" si="4"/>
        <v>72.97127907</v>
      </c>
      <c r="T59" s="35">
        <f t="shared" si="5"/>
        <v>95.48971878</v>
      </c>
      <c r="U59" s="34" t="str">
        <f t="shared" si="6"/>
        <v>Venta</v>
      </c>
      <c r="V59" s="37">
        <f t="shared" si="7"/>
        <v>0.66610644</v>
      </c>
      <c r="W59" s="37">
        <f t="shared" si="8"/>
        <v>0.391486033</v>
      </c>
      <c r="X59" s="34">
        <f>IFERROR(__xludf.DUMMYFUNCTION("AJ59*GOOGLEFINANCE(""CURRENCY:USD/EUR"")"),121.577918)</f>
        <v>121.577918</v>
      </c>
      <c r="Y59" s="35">
        <f>IFERROR(__xludf.DUMMYFUNCTION("AI59*GOOGLEFINANCE(""CURRENCY:USD/EUR"")"),87.37271888955857)</f>
        <v>87.37271889</v>
      </c>
      <c r="Z59" s="38">
        <f t="shared" si="9"/>
        <v>-0.2145800787</v>
      </c>
      <c r="AA59" s="38">
        <f t="shared" si="10"/>
        <v>-0.2813438466</v>
      </c>
      <c r="AB59" s="38">
        <f t="shared" si="11"/>
        <v>-0.03252739948</v>
      </c>
      <c r="AC59" s="41">
        <v>40.0</v>
      </c>
      <c r="AD59" s="40">
        <f t="shared" si="12"/>
        <v>0.3041620409</v>
      </c>
      <c r="AE59" s="41">
        <v>105.3</v>
      </c>
      <c r="AF59" s="41">
        <f t="shared" si="13"/>
        <v>0.360167523</v>
      </c>
      <c r="AG59" s="41">
        <v>155.0</v>
      </c>
      <c r="AH59" s="41">
        <f t="shared" si="14"/>
        <v>0.3356704361</v>
      </c>
      <c r="AI59" s="41">
        <f t="shared" si="15"/>
        <v>102.1210394</v>
      </c>
      <c r="AJ59" s="34">
        <f>IFERROR(__xludf.DUMMYFUNCTION("GOOGLEFINANCE(B59,""price"")"),142.1)</f>
        <v>142.1</v>
      </c>
      <c r="AK59" s="37">
        <f t="shared" si="86"/>
        <v>-0.3408266036</v>
      </c>
      <c r="AL59" s="34">
        <v>117.3</v>
      </c>
      <c r="AM59" s="34">
        <f t="shared" si="16"/>
        <v>43.4591307</v>
      </c>
      <c r="AN59" s="34">
        <f t="shared" si="17"/>
        <v>105.8453824</v>
      </c>
      <c r="AO59" s="38">
        <f>IFERROR(__xludf.DUMMYFUNCTION("(GOOGLEFINANCE(B59, ""price"") - INDEX(GOOGLEFINANCE(B59, ""price"", DATE(2025,5,9)), 2, 2)) / INDEX(GOOGLEFINANCE(B59, ""price"", DATE(2025,5,8)), 2, 2)"),0.20814099874108263)</f>
        <v>0.2081409987</v>
      </c>
      <c r="AP59" s="37">
        <f t="shared" si="18"/>
        <v>-0.1294029037</v>
      </c>
      <c r="AQ59" s="37">
        <f t="shared" si="19"/>
        <v>0.2114236999</v>
      </c>
      <c r="AR59" s="37">
        <f t="shared" si="20"/>
        <v>-0.3408266036</v>
      </c>
      <c r="AS59" s="34">
        <f>IFERROR(__xludf.DUMMYFUNCTION("IF(X59&lt;K59,1,IF(X59&gt;J59,-1,0)) + IF(X59&lt;F59,1,IF(X59&gt;G59,-1,0)) + IF(X59&lt;I59,1,IF(X59&gt;I59,-1,0)) + IF(X59&lt;H59,1,IF(X59&gt;H59,-1,0))"),-1.0)</f>
        <v>-1</v>
      </c>
      <c r="AT59" s="34" t="str">
        <f t="shared" si="85"/>
        <v>venta</v>
      </c>
      <c r="AU59" s="35" t="str">
        <f t="shared" si="22"/>
        <v>venta</v>
      </c>
      <c r="AV59" s="35" t="str">
        <f t="shared" si="23"/>
        <v>hold</v>
      </c>
      <c r="AW59" s="38">
        <f t="shared" si="24"/>
        <v>-0.2813438466</v>
      </c>
      <c r="AX59" s="38">
        <f t="shared" si="25"/>
        <v>1.787102873</v>
      </c>
      <c r="AY59" s="38">
        <f t="shared" si="26"/>
        <v>1.837528286</v>
      </c>
      <c r="AZ59" s="42">
        <f t="shared" si="27"/>
        <v>-0.1406745511</v>
      </c>
      <c r="BA59" s="38">
        <f t="shared" si="28"/>
        <v>0.8346870559</v>
      </c>
      <c r="BB59" s="38">
        <f t="shared" si="29"/>
        <v>0.1653129441</v>
      </c>
      <c r="BC59" s="38">
        <f t="shared" si="30"/>
        <v>-0.6425409201</v>
      </c>
      <c r="BD59" s="38">
        <f t="shared" si="31"/>
        <v>0.6079408663</v>
      </c>
      <c r="BE59" s="38">
        <f t="shared" si="32"/>
        <v>0.3920591337</v>
      </c>
      <c r="BF59" s="38">
        <f t="shared" si="33"/>
        <v>-0.121848424</v>
      </c>
      <c r="BG59" s="37">
        <f t="shared" si="34"/>
        <v>0.1008455698</v>
      </c>
      <c r="BH59" s="43">
        <f t="shared" si="35"/>
        <v>0.9691869279</v>
      </c>
      <c r="BI59" s="44">
        <f t="shared" si="36"/>
        <v>0.9330490205</v>
      </c>
      <c r="BJ59" s="38">
        <f t="shared" si="37"/>
        <v>-0.7643893441</v>
      </c>
      <c r="BK59" s="43">
        <f t="shared" si="38"/>
        <v>2.973032895</v>
      </c>
      <c r="BL59" s="45">
        <v>276.82</v>
      </c>
      <c r="BM59" s="46">
        <f t="shared" si="39"/>
        <v>0.08751387716</v>
      </c>
      <c r="BN59" s="45">
        <v>0.0</v>
      </c>
      <c r="BO59" s="45">
        <v>2.87</v>
      </c>
      <c r="BP59" s="47">
        <f t="shared" si="40"/>
        <v>0.00412670906</v>
      </c>
      <c r="BQ59" s="63">
        <v>0.19</v>
      </c>
      <c r="BR59" s="47">
        <f t="shared" si="41"/>
        <v>0.08998000444</v>
      </c>
      <c r="BS59" s="38">
        <v>0.108</v>
      </c>
      <c r="BT59" s="47">
        <f t="shared" si="80"/>
        <v>0.4741298213</v>
      </c>
      <c r="BU59" s="45">
        <v>0.0</v>
      </c>
      <c r="BV59" s="47">
        <f t="shared" si="72"/>
        <v>1</v>
      </c>
      <c r="BW59" s="48">
        <f t="shared" si="44"/>
        <v>0.3073057789</v>
      </c>
      <c r="BX59" s="49">
        <f t="shared" si="45"/>
        <v>0.8969111132</v>
      </c>
      <c r="BY59" s="47">
        <f t="shared" si="46"/>
        <v>0.3920591337</v>
      </c>
      <c r="BZ59" s="38">
        <v>0.288</v>
      </c>
      <c r="CA59" s="50">
        <f t="shared" si="47"/>
        <v>0.2971193416</v>
      </c>
      <c r="CB59" s="38">
        <v>1.231</v>
      </c>
      <c r="CC59" s="50">
        <f t="shared" si="81"/>
        <v>0.557256583</v>
      </c>
      <c r="CD59" s="38">
        <v>1.111</v>
      </c>
      <c r="CE59" s="50">
        <f t="shared" si="49"/>
        <v>0.7150155486</v>
      </c>
      <c r="CF59" s="50">
        <f t="shared" si="50"/>
        <v>0.5231304911</v>
      </c>
      <c r="CG59" s="60">
        <v>-0.285</v>
      </c>
      <c r="CH59" s="51">
        <f t="shared" si="51"/>
        <v>0</v>
      </c>
      <c r="CI59" s="60">
        <v>0.31</v>
      </c>
      <c r="CJ59" s="51">
        <f t="shared" si="52"/>
        <v>0.4280254777</v>
      </c>
      <c r="CK59" s="60">
        <v>-0.095</v>
      </c>
      <c r="CL59" s="51">
        <f t="shared" si="82"/>
        <v>0.1644628099</v>
      </c>
      <c r="CM59" s="60">
        <v>-0.199</v>
      </c>
      <c r="CN59" s="51">
        <f t="shared" si="83"/>
        <v>0</v>
      </c>
      <c r="CO59" s="38">
        <v>-0.298</v>
      </c>
      <c r="CP59" s="51">
        <f t="shared" si="84"/>
        <v>0.2340764331</v>
      </c>
      <c r="CQ59" s="51">
        <f t="shared" si="56"/>
        <v>0.1653129441</v>
      </c>
      <c r="CR59" s="52">
        <f t="shared" si="57"/>
        <v>0.360167523</v>
      </c>
      <c r="CS59" s="53">
        <f t="shared" si="68"/>
        <v>0.389822943</v>
      </c>
      <c r="CT59" s="54">
        <f t="shared" si="59"/>
        <v>0.1156143981</v>
      </c>
      <c r="CU59" s="55">
        <f t="shared" si="60"/>
        <v>-0.07799480492</v>
      </c>
      <c r="CV59" s="34">
        <f t="shared" si="61"/>
        <v>0.647928417</v>
      </c>
      <c r="CW59" s="34">
        <f t="shared" si="62"/>
        <v>0.3420658657</v>
      </c>
      <c r="CX59" s="35">
        <f t="shared" si="63"/>
        <v>0.4363043105</v>
      </c>
      <c r="CY59" s="38">
        <f>IFERROR(__xludf.DUMMYFUNCTION("(GOOGLEFINANCE(B59,""price"")/INDEX(GOOGLEFINANCE(B59,""price"",TODAY()-30),2,2))-1"),0.004879428611837877)</f>
        <v>0.004879428612</v>
      </c>
      <c r="CZ59" s="38">
        <f>IFERROR(__xludf.DUMMYFUNCTION("(GOOGLEFINANCE($B59,""price"")/INDEX(GOOGLEFINANCE($B59,""price"",TODAY()-180),2,2))-1"),1.0854123862635747)</f>
        <v>1.085412386</v>
      </c>
      <c r="DA59" s="38">
        <f>IFERROR(__xludf.DUMMYFUNCTION("(GOOGLEFINANCE($B59,""price"")/INDEX(GOOGLEFINANCE($B59,""price"",TODAY()-365),2,2))-1"),3.9564004185559813)</f>
        <v>3.956400419</v>
      </c>
      <c r="DB59" s="38" t="str">
        <f>IFERROR(__xludf.DUMMYFUNCTION("(GOOGLEFINANCE($B59,""price"")/INDEX(GOOGLEFINANCE($B59,""price"",TODAY()-365*5),2,2))-1"),"#N/A")</f>
        <v>#N/A</v>
      </c>
      <c r="DC59" s="38">
        <f>IFERROR(__xludf.DUMMYFUNCTION("(INDEX(GOOGLEFINANCE(B59, ""price"", TODAY()-30, TODAY()), ROWS(GOOGLEFINANCE(B59, ""price"", TODAY()-30, TODAY())), 2) / INDEX(GOOGLEFINANCE(B59, ""price"", TODAY()-30, TODAY()), 2, 2)) - 1"),0.004879428611837877)</f>
        <v>0.004879428612</v>
      </c>
      <c r="DD59" s="38">
        <f>IFERROR(__xludf.DUMMYFUNCTION("(INDEX(GOOGLEFINANCE(B59, ""price"", TODAY()-7, TODAY()), ROWS(GOOGLEFINANCE(B59, ""price"", TODAY()-7, TODAY())), 2) / INDEX(GOOGLEFINANCE(B59, ""price"", TODAY()-7, TODAY()), 2, 2)) - 1"),0.02142035652673946)</f>
        <v>0.02142035653</v>
      </c>
    </row>
    <row r="60">
      <c r="A60" s="34" t="str">
        <f>IFERROR(__xludf.DUMMYFUNCTION("GOOGLEFINANCE(B60,""name"")"),"Qualcomm Inc")</f>
        <v>Qualcomm Inc</v>
      </c>
      <c r="B60" s="35" t="s">
        <v>166</v>
      </c>
      <c r="C60" s="35" t="s">
        <v>90</v>
      </c>
      <c r="D60" s="35" t="s">
        <v>98</v>
      </c>
      <c r="E60" s="56">
        <v>2.0</v>
      </c>
      <c r="F60" s="35">
        <f>IFERROR(__xludf.DUMMYFUNCTION("IFERROR(MIN(INDEX(GOOGLEFINANCE(B60,""close"",TODAY()-100,TODAY()),0,2)) * GOOGLEFINANCE(""CURRENCY:USDEUR""),""Error en datos"")"),106.6566028)</f>
        <v>106.6566028</v>
      </c>
      <c r="G60" s="35">
        <f>IFERROR(__xludf.DUMMYFUNCTION("IFERROR(MAX(INDEX(GOOGLEFINANCE(B60,""close"",TODAY()-100,TODAY()),0,2)) * GOOGLEFINANCE(""CURRENCY:USDEUR""),""Error en datos"")"),138.8777456)</f>
        <v>138.8777456</v>
      </c>
      <c r="H60" s="35">
        <f>IFERROR(__xludf.DUMMYFUNCTION("IFERROR(AVERAGE(INDEX(GOOGLEFINANCE(B60,""close"",TODAY()-20,TODAY()),0,2)) * GOOGLEFINANCE(""CURRENCY:USDEUR""),""Error en datos"")"),135.90559230769227)</f>
        <v>135.9055923</v>
      </c>
      <c r="I60" s="35">
        <f>IFERROR(__xludf.DUMMYFUNCTION("IFERROR(PERCENTILE(INDEX(GOOGLEFINANCE(B60,""close"",TODAY()-365,TODAY()),0,2),0.05) * GOOGLEFINANCE(""CURRENCY:USDEUR""),""Error en datos"")"),119.29180824)</f>
        <v>119.2918082</v>
      </c>
      <c r="J60" s="35">
        <f>IFERROR(__xludf.DUMMYFUNCTION("AVERAGE(INDEX(GOOGLEFINANCE(B60,""price"",TODAY()-20,TODAY(),""DAILY""),0,2))+(2*STDEV(INDEX(GOOGLEFINANCE(B60,""price"",TODAY()-20,TODAY(),""DAILY""),0,2)))"),162.7575009155707)</f>
        <v>162.7575009</v>
      </c>
      <c r="K60" s="35">
        <f>IFERROR(__xludf.DUMMYFUNCTION("AVERAGE(INDEX(GOOGLEFINANCE(B60,""price"",TODAY()-20,TODAY(),""DAILY""),0,2))-(2*STDEV(INDEX(GOOGLEFINANCE(B60,""price"",TODAY()-20,TODAY(),""DAILY""),0,2)))"),154.93480677673693)</f>
        <v>154.9348068</v>
      </c>
      <c r="L60" s="35">
        <v>2707.0</v>
      </c>
      <c r="M60" s="35">
        <f t="shared" si="1"/>
        <v>0.4756269869</v>
      </c>
      <c r="N60" s="35">
        <v>-27.8</v>
      </c>
      <c r="O60" s="35">
        <f t="shared" si="2"/>
        <v>0.3208888889</v>
      </c>
      <c r="P60" s="35">
        <v>1.48</v>
      </c>
      <c r="Q60" s="35">
        <f t="shared" si="3"/>
        <v>0.1785162287</v>
      </c>
      <c r="R60" s="35" t="str">
        <f>IFERROR(__xludf.DUMMYFUNCTION("IF(B60="""", """", SPARKLINE(INDEX(GOOGLEFINANCE(B60, ""price"", TODAY()-1825, TODAY()), 0, 2)))"),"")</f>
        <v/>
      </c>
      <c r="S60" s="35">
        <f t="shared" si="4"/>
        <v>126.9610726</v>
      </c>
      <c r="T60" s="35">
        <f t="shared" si="5"/>
        <v>150.0987598</v>
      </c>
      <c r="U60" s="34" t="str">
        <f t="shared" si="6"/>
        <v/>
      </c>
      <c r="V60" s="37">
        <f t="shared" si="7"/>
        <v>0.06110970895</v>
      </c>
      <c r="W60" s="37">
        <f t="shared" si="8"/>
        <v>-0.1015995574</v>
      </c>
      <c r="X60" s="34">
        <f>IFERROR(__xludf.DUMMYFUNCTION("AJ60*GOOGLEFINANCE(""CURRENCY:USD/EUR"")"),134.71962680000001)</f>
        <v>134.7196268</v>
      </c>
      <c r="Y60" s="35">
        <f>IFERROR(__xludf.DUMMYFUNCTION("AI60*GOOGLEFINANCE(""CURRENCY:USD/EUR"")"),149.954987116912)</f>
        <v>149.9549871</v>
      </c>
      <c r="Z60" s="38">
        <f t="shared" si="9"/>
        <v>0.1141565886</v>
      </c>
      <c r="AA60" s="38">
        <f t="shared" si="10"/>
        <v>0.1380893893</v>
      </c>
      <c r="AB60" s="38">
        <f t="shared" si="11"/>
        <v>0.05904724871</v>
      </c>
      <c r="AC60" s="41">
        <v>140.0</v>
      </c>
      <c r="AD60" s="40">
        <f t="shared" si="12"/>
        <v>0.3166480584</v>
      </c>
      <c r="AE60" s="41">
        <v>176.0</v>
      </c>
      <c r="AF60" s="41">
        <f t="shared" si="13"/>
        <v>0.4166923083</v>
      </c>
      <c r="AG60" s="41">
        <v>216.0</v>
      </c>
      <c r="AH60" s="41">
        <f t="shared" si="14"/>
        <v>0.2666596334</v>
      </c>
      <c r="AI60" s="41">
        <f t="shared" si="15"/>
        <v>175.2670552</v>
      </c>
      <c r="AJ60" s="34">
        <f>IFERROR(__xludf.DUMMYFUNCTION("GOOGLEFINANCE(B60,""price"")"),157.46)</f>
        <v>157.46</v>
      </c>
      <c r="AK60" s="37">
        <f>AP60+BN60</f>
        <v>0.2396019074</v>
      </c>
      <c r="AL60" s="34">
        <v>144.3</v>
      </c>
      <c r="AM60" s="34">
        <f t="shared" si="16"/>
        <v>131.4252179</v>
      </c>
      <c r="AN60" s="34">
        <f t="shared" si="17"/>
        <v>163.6307157</v>
      </c>
      <c r="AO60" s="38">
        <f>IFERROR(__xludf.DUMMYFUNCTION("(GOOGLEFINANCE(B60, ""price"") - INDEX(GOOGLEFINANCE(B60, ""price"", DATE(2025,5,8)), 2, 2)) / INDEX(GOOGLEFINANCE(B60, ""price"", DATE(2025,5,8)), 2, 2)"),0.08518263266712622)</f>
        <v>0.08518263267</v>
      </c>
      <c r="AP60" s="37">
        <f t="shared" si="18"/>
        <v>0.2146019074</v>
      </c>
      <c r="AQ60" s="37">
        <f t="shared" si="19"/>
        <v>0.0911988912</v>
      </c>
      <c r="AR60" s="37">
        <f t="shared" si="20"/>
        <v>0.1234030162</v>
      </c>
      <c r="AS60" s="34">
        <f>IFERROR(__xludf.DUMMYFUNCTION("IF(X60&lt;K60,1,IF(X60&gt;J60,-1,0)) + IF(X60&lt;F60,1,IF(X60&gt;G60,-1,0)) + IF(X60&lt;I60,1,IF(X60&gt;I60,-1,0)) + IF(X60&lt;H60,1,IF(X60&gt;H60,-1,0))"),1.0)</f>
        <v>1</v>
      </c>
      <c r="AT60" s="34" t="str">
        <f t="shared" si="85"/>
        <v>Hold</v>
      </c>
      <c r="AU60" s="35" t="str">
        <f t="shared" si="22"/>
        <v>hold</v>
      </c>
      <c r="AV60" s="35" t="str">
        <f t="shared" si="23"/>
        <v>venta</v>
      </c>
      <c r="AW60" s="38">
        <f t="shared" si="24"/>
        <v>0.1130893893</v>
      </c>
      <c r="AX60" s="38">
        <f t="shared" si="25"/>
        <v>-0.06716375492</v>
      </c>
      <c r="AY60" s="38">
        <f t="shared" si="26"/>
        <v>-0.06527296316</v>
      </c>
      <c r="AZ60" s="42">
        <f t="shared" si="27"/>
        <v>0.1528906188</v>
      </c>
      <c r="BA60" s="38">
        <f t="shared" si="28"/>
        <v>0.6219582729</v>
      </c>
      <c r="BB60" s="38">
        <f t="shared" si="29"/>
        <v>0.3780417271</v>
      </c>
      <c r="BC60" s="38">
        <f t="shared" si="30"/>
        <v>-0.02445381573</v>
      </c>
      <c r="BD60" s="38">
        <f t="shared" si="31"/>
        <v>0.5066571996</v>
      </c>
      <c r="BE60" s="38">
        <f t="shared" si="32"/>
        <v>0.4933428004</v>
      </c>
      <c r="BF60" s="38">
        <f t="shared" si="33"/>
        <v>0.2430694273</v>
      </c>
      <c r="BG60" s="37">
        <f t="shared" si="34"/>
        <v>0.1964734318</v>
      </c>
      <c r="BH60" s="43">
        <f t="shared" si="35"/>
        <v>0.06560023434</v>
      </c>
      <c r="BI60" s="44">
        <f t="shared" si="36"/>
        <v>0.48493619</v>
      </c>
      <c r="BJ60" s="38">
        <f t="shared" si="37"/>
        <v>0.2186156115</v>
      </c>
      <c r="BK60" s="43">
        <f t="shared" si="38"/>
        <v>-0.02848722395</v>
      </c>
      <c r="BL60" s="35">
        <v>158.39</v>
      </c>
      <c r="BM60" s="46">
        <f t="shared" si="39"/>
        <v>0.05005582493</v>
      </c>
      <c r="BN60" s="38">
        <v>0.025</v>
      </c>
      <c r="BO60" s="35">
        <v>42.29</v>
      </c>
      <c r="BP60" s="47">
        <f t="shared" si="40"/>
        <v>0.06201812227</v>
      </c>
      <c r="BQ60" s="35">
        <v>9.82</v>
      </c>
      <c r="BR60" s="47">
        <f t="shared" si="41"/>
        <v>0.3039324595</v>
      </c>
      <c r="BS60" s="38">
        <v>0.276</v>
      </c>
      <c r="BT60" s="47">
        <f t="shared" si="80"/>
        <v>0.632173095</v>
      </c>
      <c r="BU60" s="35">
        <v>0.5</v>
      </c>
      <c r="BV60" s="47">
        <f t="shared" si="72"/>
        <v>0.9752475248</v>
      </c>
      <c r="BW60" s="48">
        <f t="shared" si="44"/>
        <v>1.822787903</v>
      </c>
      <c r="BX60" s="49">
        <f t="shared" si="45"/>
        <v>0.9042721458</v>
      </c>
      <c r="BY60" s="47">
        <f t="shared" si="46"/>
        <v>0.4933428004</v>
      </c>
      <c r="BZ60" s="38">
        <v>0.161</v>
      </c>
      <c r="CA60" s="50">
        <f t="shared" si="47"/>
        <v>0.1925925926</v>
      </c>
      <c r="CB60" s="38">
        <v>0.229</v>
      </c>
      <c r="CC60" s="50">
        <f t="shared" si="81"/>
        <v>0.2504592774</v>
      </c>
      <c r="CD60" s="38">
        <v>0.319</v>
      </c>
      <c r="CE60" s="50">
        <f t="shared" si="49"/>
        <v>0.6930253221</v>
      </c>
      <c r="CF60" s="50">
        <f t="shared" si="50"/>
        <v>0.3786923974</v>
      </c>
      <c r="CG60" s="38">
        <v>0.236</v>
      </c>
      <c r="CH60" s="51">
        <f t="shared" si="51"/>
        <v>0.2612838516</v>
      </c>
      <c r="CI60" s="38">
        <v>0.113</v>
      </c>
      <c r="CJ60" s="51">
        <f t="shared" si="52"/>
        <v>0.1770700637</v>
      </c>
      <c r="CK60" s="38">
        <v>0.066</v>
      </c>
      <c r="CL60" s="51">
        <f t="shared" si="82"/>
        <v>0.2975206612</v>
      </c>
      <c r="CM60" s="38">
        <v>0.72</v>
      </c>
      <c r="CN60" s="51">
        <f t="shared" si="83"/>
        <v>0.4592703648</v>
      </c>
      <c r="CO60" s="38">
        <v>0.281</v>
      </c>
      <c r="CP60" s="51">
        <f t="shared" si="84"/>
        <v>0.6950636943</v>
      </c>
      <c r="CQ60" s="51">
        <f t="shared" si="56"/>
        <v>0.3780417271</v>
      </c>
      <c r="CR60" s="52">
        <f t="shared" si="57"/>
        <v>0.4166923083</v>
      </c>
      <c r="CS60" s="53">
        <f t="shared" si="68"/>
        <v>0.3626647729</v>
      </c>
      <c r="CT60" s="54">
        <f t="shared" si="59"/>
        <v>0.4276016356</v>
      </c>
      <c r="CU60" s="55">
        <f t="shared" si="60"/>
        <v>0.1315309078</v>
      </c>
      <c r="CV60" s="34">
        <f t="shared" si="61"/>
        <v>1.847856946</v>
      </c>
      <c r="CW60" s="34">
        <f t="shared" si="62"/>
        <v>0.6703103907</v>
      </c>
      <c r="CX60" s="35">
        <f t="shared" si="63"/>
        <v>0.2497025588</v>
      </c>
      <c r="CY60" s="38">
        <f>IFERROR(__xludf.DUMMYFUNCTION("(GOOGLEFINANCE(B60,""price"")/INDEX(GOOGLEFINANCE(B60,""price"",TODAY()-30),2,2))-1"),0.003761076050232681)</f>
        <v>0.00376107605</v>
      </c>
      <c r="CZ60" s="38">
        <f>IFERROR(__xludf.DUMMYFUNCTION("(GOOGLEFINANCE($B60,""price"")/INDEX(GOOGLEFINANCE($B60,""price"",TODAY()-180),2,2))-1"),-0.04227236786083566)</f>
        <v>-0.04227236786</v>
      </c>
      <c r="DA60" s="38">
        <f>IFERROR(__xludf.DUMMYFUNCTION("(GOOGLEFINANCE($B60,""price"")/INDEX(GOOGLEFINANCE($B60,""price"",TODAY()-365),2,2))-1"),-0.24363531559227591)</f>
        <v>-0.2436353156</v>
      </c>
      <c r="DB60" s="38">
        <f>IFERROR(__xludf.DUMMYFUNCTION("(GOOGLEFINANCE($B60,""price"")/INDEX(GOOGLEFINANCE($B60,""price"",TODAY()-365*5),2,2))-1"),0.7013506212857916)</f>
        <v>0.7013506213</v>
      </c>
      <c r="DC60" s="38">
        <f>IFERROR(__xludf.DUMMYFUNCTION("(INDEX(GOOGLEFINANCE(B60, ""price"", TODAY()-30, TODAY()), ROWS(GOOGLEFINANCE(B60, ""price"", TODAY()-30, TODAY())), 2) / INDEX(GOOGLEFINANCE(B60, ""price"", TODAY()-30, TODAY()), 2, 2)) - 1"),0.003761076050232681)</f>
        <v>0.00376107605</v>
      </c>
      <c r="DD60" s="38">
        <f>IFERROR(__xludf.DUMMYFUNCTION("(INDEX(GOOGLEFINANCE(B60, ""price"", TODAY()-7, TODAY()), ROWS(GOOGLEFINANCE(B60, ""price"", TODAY()-7, TODAY())), 2) / INDEX(GOOGLEFINANCE(B60, ""price"", TODAY()-7, TODAY()), 2, 2)) - 1"),-0.0039850717945474345)</f>
        <v>-0.003985071795</v>
      </c>
    </row>
    <row r="61">
      <c r="A61" s="50" t="str">
        <f>IFERROR(__xludf.DUMMYFUNCTION("GOOGLEFINANCE(B61,""name"")"),"Regeneron Pharmaceuticals Inc")</f>
        <v>Regeneron Pharmaceuticals Inc</v>
      </c>
      <c r="B61" s="45" t="s">
        <v>167</v>
      </c>
      <c r="C61" s="45" t="s">
        <v>93</v>
      </c>
      <c r="D61" s="35" t="s">
        <v>98</v>
      </c>
      <c r="E61" s="56">
        <v>2.0</v>
      </c>
      <c r="F61" s="35">
        <f>IFERROR(__xludf.DUMMYFUNCTION("IFERROR(MIN(INDEX(GOOGLEFINANCE(B61,""close"",TODAY()-100,TODAY()),0,2)) * GOOGLEFINANCE(""CURRENCY:USDEUR""),""Error en datos"")"),413.3050306)</f>
        <v>413.3050306</v>
      </c>
      <c r="G61" s="35">
        <f>IFERROR(__xludf.DUMMYFUNCTION("IFERROR(MAX(INDEX(GOOGLEFINANCE(B61,""close"",TODAY()-100,TODAY()),0,2)) * GOOGLEFINANCE(""CURRENCY:USDEUR""),""Error en datos"")"),526.0020281999999)</f>
        <v>526.0020282</v>
      </c>
      <c r="H61" s="35">
        <f>IFERROR(__xludf.DUMMYFUNCTION("IFERROR(AVERAGE(INDEX(GOOGLEFINANCE(B61,""close"",TODAY()-20,TODAY()),0,2)) * GOOGLEFINANCE(""CURRENCY:USDEUR""),""Error en datos"")"),461.0595573692307)</f>
        <v>461.0595574</v>
      </c>
      <c r="I61" s="35">
        <f>IFERROR(__xludf.DUMMYFUNCTION("IFERROR(PERCENTILE(INDEX(GOOGLEFINANCE(B61,""close"",TODAY()-365,TODAY()),0,2),0.05) * GOOGLEFINANCE(""CURRENCY:USDEUR""),""Error en datos"")"),445.39270292)</f>
        <v>445.3927029</v>
      </c>
      <c r="J61" s="35">
        <f>IFERROR(__xludf.DUMMYFUNCTION("AVERAGE(INDEX(GOOGLEFINANCE(B61,""price"",TODAY()-20,TODAY(),""DAILY""),0,2))+(2*STDEV(INDEX(GOOGLEFINANCE(B61,""price"",TODAY()-20,TODAY(),""DAILY""),0,2)))"),571.3175071848214)</f>
        <v>571.3175072</v>
      </c>
      <c r="K61" s="35">
        <f>IFERROR(__xludf.DUMMYFUNCTION("AVERAGE(INDEX(GOOGLEFINANCE(B61,""price"",TODAY()-20,TODAY(),""DAILY""),0,2))-(2*STDEV(INDEX(GOOGLEFINANCE(B61,""price"",TODAY()-20,TODAY(),""DAILY""),0,2)))"),506.45326204594767)</f>
        <v>506.453262</v>
      </c>
      <c r="L61" s="45">
        <v>1285.0</v>
      </c>
      <c r="M61" s="35">
        <f t="shared" si="1"/>
        <v>0.2244789827</v>
      </c>
      <c r="N61" s="45">
        <v>-25.0</v>
      </c>
      <c r="O61" s="35">
        <f t="shared" si="2"/>
        <v>0.3333333333</v>
      </c>
      <c r="P61" s="45">
        <v>1.74</v>
      </c>
      <c r="Q61" s="35">
        <f t="shared" si="3"/>
        <v>0.1835394127</v>
      </c>
      <c r="R61" s="35" t="str">
        <f>IFERROR(__xludf.DUMMYFUNCTION("IF(B61="""", """", SPARKLINE(INDEX(GOOGLEFINANCE(B61, ""price"", TODAY()-1825, TODAY()), 0, 2)))"),"")</f>
        <v/>
      </c>
      <c r="S61" s="35">
        <f t="shared" si="4"/>
        <v>455.0503319</v>
      </c>
      <c r="T61" s="35">
        <f t="shared" si="5"/>
        <v>594.507242</v>
      </c>
      <c r="U61" s="34" t="str">
        <f t="shared" si="6"/>
        <v/>
      </c>
      <c r="V61" s="37">
        <f t="shared" si="7"/>
        <v>0.06745771884</v>
      </c>
      <c r="W61" s="37">
        <f t="shared" si="8"/>
        <v>-0.19535248</v>
      </c>
      <c r="X61" s="34">
        <f>IFERROR(__xludf.DUMMYFUNCTION("AJ61*GOOGLEFINANCE(""CURRENCY:USD/EUR"")"),485.74698920000003)</f>
        <v>485.7469892</v>
      </c>
      <c r="Y61" s="35">
        <f>IFERROR(__xludf.DUMMYFUNCTION("AI61*GOOGLEFINANCE(""CURRENCY:USD/EUR"")"),603.6767368299423)</f>
        <v>603.6767368</v>
      </c>
      <c r="Z61" s="38">
        <f t="shared" si="9"/>
        <v>0.2239030919</v>
      </c>
      <c r="AA61" s="38">
        <f t="shared" si="10"/>
        <v>0.2497801927</v>
      </c>
      <c r="AB61" s="38">
        <f t="shared" si="11"/>
        <v>0.129888334</v>
      </c>
      <c r="AC61" s="41">
        <v>535.0</v>
      </c>
      <c r="AD61" s="40">
        <f t="shared" si="12"/>
        <v>0.3274672351</v>
      </c>
      <c r="AE61" s="41">
        <v>733.0</v>
      </c>
      <c r="AF61" s="41">
        <f t="shared" si="13"/>
        <v>0.4484936083</v>
      </c>
      <c r="AG61" s="41">
        <v>900.0</v>
      </c>
      <c r="AH61" s="41">
        <f t="shared" si="14"/>
        <v>0.2240391566</v>
      </c>
      <c r="AI61" s="41">
        <f t="shared" si="15"/>
        <v>705.5760266</v>
      </c>
      <c r="AJ61" s="34">
        <f>IFERROR(__xludf.DUMMYFUNCTION("GOOGLEFINANCE(B61,""price"")"),567.74)</f>
        <v>567.74</v>
      </c>
      <c r="AK61" s="37">
        <f t="shared" ref="AK61:AK62" si="87">AR61+BN61</f>
        <v>0.2681618981</v>
      </c>
      <c r="AL61" s="34">
        <v>527.78</v>
      </c>
      <c r="AM61" s="34">
        <f t="shared" si="16"/>
        <v>518.8313263</v>
      </c>
      <c r="AN61" s="34">
        <f t="shared" si="17"/>
        <v>649.3831342</v>
      </c>
      <c r="AO61" s="38">
        <f>IFERROR(__xludf.DUMMYFUNCTION("(GOOGLEFINANCE(B61, ""price"") - INDEX(GOOGLEFINANCE(B61, ""price"", DATE(2025,5,9)), 2, 2)) / INDEX(GOOGLEFINANCE(B61, ""price"", DATE(2025,5,8)), 2, 2)"),0.07296364599119916)</f>
        <v>0.07296364599</v>
      </c>
      <c r="AP61" s="37">
        <f t="shared" si="18"/>
        <v>0.3368752635</v>
      </c>
      <c r="AQ61" s="37">
        <f t="shared" si="19"/>
        <v>0.07571336542</v>
      </c>
      <c r="AR61" s="37">
        <f t="shared" si="20"/>
        <v>0.2611618981</v>
      </c>
      <c r="AS61" s="34">
        <f>IFERROR(__xludf.DUMMYFUNCTION("IF(X61&lt;K61,1,IF(X61&gt;J61,-1,0)) + IF(X61&lt;F61,1,IF(X61&gt;G61,-1,0)) + IF(X61&lt;I61,1,IF(X61&gt;I61,-1,0)) + IF(X61&lt;H61,1,IF(X61&gt;H61,-1,0))"),-1.0)</f>
        <v>-1</v>
      </c>
      <c r="AT61" s="34" t="str">
        <f t="shared" si="85"/>
        <v>recompra</v>
      </c>
      <c r="AU61" s="35" t="str">
        <f t="shared" si="22"/>
        <v>compra</v>
      </c>
      <c r="AV61" s="35" t="str">
        <f t="shared" si="23"/>
        <v>venta</v>
      </c>
      <c r="AW61" s="38">
        <f t="shared" si="24"/>
        <v>0.2427801927</v>
      </c>
      <c r="AX61" s="38">
        <f t="shared" si="25"/>
        <v>-0.09979171345</v>
      </c>
      <c r="AY61" s="38">
        <f t="shared" si="26"/>
        <v>-0.1162798263</v>
      </c>
      <c r="AZ61" s="42">
        <f t="shared" si="27"/>
        <v>0.244625684</v>
      </c>
      <c r="BA61" s="38">
        <f t="shared" si="28"/>
        <v>0.639348992</v>
      </c>
      <c r="BB61" s="38">
        <f t="shared" si="29"/>
        <v>0.360651008</v>
      </c>
      <c r="BC61" s="38">
        <f t="shared" si="30"/>
        <v>0.06811022579</v>
      </c>
      <c r="BD61" s="38">
        <f t="shared" si="31"/>
        <v>0.3461856385</v>
      </c>
      <c r="BE61" s="38">
        <f t="shared" si="32"/>
        <v>0.6538143615</v>
      </c>
      <c r="BF61" s="38">
        <f t="shared" si="33"/>
        <v>0.483402611</v>
      </c>
      <c r="BG61" s="37">
        <f t="shared" si="34"/>
        <v>0.2134949497</v>
      </c>
      <c r="BH61" s="43">
        <f t="shared" si="35"/>
        <v>0.04860756169</v>
      </c>
      <c r="BI61" s="44">
        <f t="shared" si="36"/>
        <v>0.64114775</v>
      </c>
      <c r="BJ61" s="38">
        <f t="shared" si="37"/>
        <v>0.5515128368</v>
      </c>
      <c r="BK61" s="43">
        <f t="shared" si="38"/>
        <v>-0.1390677214</v>
      </c>
      <c r="BL61" s="45">
        <v>55.77</v>
      </c>
      <c r="BM61" s="46">
        <f t="shared" si="39"/>
        <v>0.01759829457</v>
      </c>
      <c r="BN61" s="38">
        <v>0.007</v>
      </c>
      <c r="BO61" s="45">
        <v>14.09</v>
      </c>
      <c r="BP61" s="47">
        <f t="shared" si="40"/>
        <v>0.0206041737</v>
      </c>
      <c r="BQ61" s="63">
        <v>39.43</v>
      </c>
      <c r="BR61" s="47">
        <f t="shared" si="41"/>
        <v>0.9617862697</v>
      </c>
      <c r="BS61" s="38">
        <v>0.282</v>
      </c>
      <c r="BT61" s="47">
        <f t="shared" si="80"/>
        <v>0.6378174976</v>
      </c>
      <c r="BU61" s="45">
        <v>0.1</v>
      </c>
      <c r="BV61" s="47">
        <f t="shared" si="72"/>
        <v>0.995049505</v>
      </c>
      <c r="BW61" s="48">
        <f t="shared" si="44"/>
        <v>2.536909737</v>
      </c>
      <c r="BX61" s="49">
        <f t="shared" si="45"/>
        <v>1.233687938</v>
      </c>
      <c r="BY61" s="47">
        <f t="shared" si="46"/>
        <v>0.6538143615</v>
      </c>
      <c r="BZ61" s="38">
        <v>0.075</v>
      </c>
      <c r="CA61" s="50">
        <f t="shared" si="47"/>
        <v>0.1218106996</v>
      </c>
      <c r="CB61" s="38">
        <v>0.007</v>
      </c>
      <c r="CC61" s="50">
        <f t="shared" si="81"/>
        <v>0.1824862217</v>
      </c>
      <c r="CD61" s="38">
        <v>0.165</v>
      </c>
      <c r="CE61" s="50">
        <f t="shared" si="49"/>
        <v>0.6887494447</v>
      </c>
      <c r="CF61" s="50">
        <f t="shared" si="50"/>
        <v>0.3310154553</v>
      </c>
      <c r="CG61" s="60">
        <v>0.146</v>
      </c>
      <c r="CH61" s="51">
        <f t="shared" si="51"/>
        <v>0.2161484453</v>
      </c>
      <c r="CI61" s="60">
        <v>0.15</v>
      </c>
      <c r="CJ61" s="51">
        <f t="shared" si="52"/>
        <v>0.2242038217</v>
      </c>
      <c r="CK61" s="60">
        <v>0.108</v>
      </c>
      <c r="CL61" s="51">
        <f t="shared" si="82"/>
        <v>0.332231405</v>
      </c>
      <c r="CM61" s="60">
        <v>0.275</v>
      </c>
      <c r="CN61" s="51">
        <f t="shared" si="83"/>
        <v>0.2368815592</v>
      </c>
      <c r="CO61" s="38">
        <v>0.405</v>
      </c>
      <c r="CP61" s="51">
        <f t="shared" si="84"/>
        <v>0.7937898089</v>
      </c>
      <c r="CQ61" s="51">
        <f t="shared" si="56"/>
        <v>0.360651008</v>
      </c>
      <c r="CR61" s="52">
        <f t="shared" si="57"/>
        <v>0.4484936083</v>
      </c>
      <c r="CS61" s="53">
        <f t="shared" si="68"/>
        <v>0.2414576778</v>
      </c>
      <c r="CT61" s="54">
        <f t="shared" si="59"/>
        <v>0.5200105446</v>
      </c>
      <c r="CU61" s="55">
        <f t="shared" si="60"/>
        <v>0.129993595</v>
      </c>
      <c r="CV61" s="34">
        <f t="shared" si="61"/>
        <v>0.9010336978</v>
      </c>
      <c r="CW61" s="34">
        <f t="shared" si="62"/>
        <v>0.4495052286</v>
      </c>
      <c r="CX61" s="35">
        <f t="shared" si="63"/>
        <v>0.258436373</v>
      </c>
      <c r="CY61" s="38">
        <f>IFERROR(__xludf.DUMMYFUNCTION("(GOOGLEFINANCE(B61,""price"")/INDEX(GOOGLEFINANCE(B61,""price"",TODAY()-30),2,2))-1"),0.08620953547103394)</f>
        <v>0.08620953547</v>
      </c>
      <c r="CZ61" s="38">
        <f>IFERROR(__xludf.DUMMYFUNCTION("(GOOGLEFINANCE($B61,""price"")/INDEX(GOOGLEFINANCE($B61,""price"",TODAY()-180),2,2))-1"),-0.19289765861564045)</f>
        <v>-0.1928976586</v>
      </c>
      <c r="DA61" s="38">
        <f>IFERROR(__xludf.DUMMYFUNCTION("(GOOGLEFINANCE($B61,""price"")/INDEX(GOOGLEFINANCE($B61,""price"",TODAY()-365),2,2))-1"),-0.4753398453022335)</f>
        <v>-0.4753398453</v>
      </c>
      <c r="DB61" s="38">
        <f>IFERROR(__xludf.DUMMYFUNCTION("(GOOGLEFINANCE($B61,""price"")/INDEX(GOOGLEFINANCE($B61,""price"",TODAY()-365*5),2,2))-1"),-0.10272781869330216)</f>
        <v>-0.1027278187</v>
      </c>
      <c r="DC61" s="38">
        <f>IFERROR(__xludf.DUMMYFUNCTION("(INDEX(GOOGLEFINANCE(B61, ""price"", TODAY()-30, TODAY()), ROWS(GOOGLEFINANCE(B61, ""price"", TODAY()-30, TODAY())), 2) / INDEX(GOOGLEFINANCE(B61, ""price"", TODAY()-30, TODAY()), 2, 2)) - 1"),0.08620953547103394)</f>
        <v>0.08620953547</v>
      </c>
      <c r="DD61" s="38">
        <f>IFERROR(__xludf.DUMMYFUNCTION("(INDEX(GOOGLEFINANCE(B61, ""price"", TODAY()-7, TODAY()), ROWS(GOOGLEFINANCE(B61, ""price"", TODAY()-7, TODAY())), 2) / INDEX(GOOGLEFINANCE(B61, ""price"", TODAY()-7, TODAY()), 2, 2)) - 1"),0.055063091189533786)</f>
        <v>0.05506309119</v>
      </c>
    </row>
    <row r="62">
      <c r="A62" s="34" t="str">
        <f>IFERROR(__xludf.DUMMYFUNCTION("GOOGLEFINANCE(B62,""name"")"),"Rexford Industrial Realty Inc")</f>
        <v>Rexford Industrial Realty Inc</v>
      </c>
      <c r="B62" s="45" t="s">
        <v>168</v>
      </c>
      <c r="C62" s="45" t="s">
        <v>169</v>
      </c>
      <c r="D62" s="45" t="s">
        <v>121</v>
      </c>
      <c r="E62" s="56">
        <v>2.0</v>
      </c>
      <c r="F62" s="35">
        <f>IFERROR(__xludf.DUMMYFUNCTION("IFERROR(MIN(INDEX(GOOGLEFINANCE(B62,""close"",TODAY()-100,TODAY()),0,2)) * GOOGLEFINANCE(""CURRENCY:USDEUR""),""Error en datos"")"),27.0106606)</f>
        <v>27.0106606</v>
      </c>
      <c r="G62" s="35">
        <f>IFERROR(__xludf.DUMMYFUNCTION("IFERROR(MAX(INDEX(GOOGLEFINANCE(B62,""close"",TODAY()-100,TODAY()),0,2)) * GOOGLEFINANCE(""CURRENCY:USDEUR""),""Error en datos"")"),31.793352799999997)</f>
        <v>31.7933528</v>
      </c>
      <c r="H62" s="35">
        <f>IFERROR(__xludf.DUMMYFUNCTION("IFERROR(AVERAGE(INDEX(GOOGLEFINANCE(B62,""close"",TODAY()-20,TODAY()),0,2)) * GOOGLEFINANCE(""CURRENCY:USDEUR""),""Error en datos"")"),31.30435592307693)</f>
        <v>31.30435592</v>
      </c>
      <c r="I62" s="35">
        <f>IFERROR(__xludf.DUMMYFUNCTION("IFERROR(PERCENTILE(INDEX(GOOGLEFINANCE(B62,""close"",TODAY()-365,TODAY()),0,2),0.05) * GOOGLEFINANCE(""CURRENCY:USDEUR""),""Error en datos"")"),28.451457320000003)</f>
        <v>28.45145732</v>
      </c>
      <c r="J62" s="35">
        <f>IFERROR(__xludf.DUMMYFUNCTION("AVERAGE(INDEX(GOOGLEFINANCE(B62,""price"",TODAY()-20,TODAY(),""DAILY""),0,2))+(2*STDEV(INDEX(GOOGLEFINANCE(B62,""price"",TODAY()-20,TODAY(),""DAILY""),0,2)))"),37.65763087814683)</f>
        <v>37.65763088</v>
      </c>
      <c r="K62" s="35">
        <f>IFERROR(__xludf.DUMMYFUNCTION("AVERAGE(INDEX(GOOGLEFINANCE(B62,""price"",TODAY()-20,TODAY(),""DAILY""),0,2))-(2*STDEV(INDEX(GOOGLEFINANCE(B62,""price"",TODAY()-20,TODAY(),""DAILY""),0,2)))"),35.519292198776256)</f>
        <v>35.5192922</v>
      </c>
      <c r="L62" s="35">
        <v>400.0</v>
      </c>
      <c r="M62" s="35">
        <f t="shared" si="1"/>
        <v>0.06817379018</v>
      </c>
      <c r="N62" s="35">
        <v>-25.0</v>
      </c>
      <c r="O62" s="35">
        <f t="shared" si="2"/>
        <v>0.3333333333</v>
      </c>
      <c r="P62" s="35">
        <v>1.96</v>
      </c>
      <c r="Q62" s="35">
        <f t="shared" si="3"/>
        <v>0.1877897991</v>
      </c>
      <c r="R62" s="35" t="str">
        <f>IFERROR(__xludf.DUMMYFUNCTION("IF(B62="""", """", SPARKLINE(INDEX(GOOGLEFINANCE(B62, ""price"", TODAY()-1825, TODAY()), 0, 2)))"),"")</f>
        <v/>
      </c>
      <c r="S62" s="35">
        <f t="shared" si="4"/>
        <v>30.32713671</v>
      </c>
      <c r="T62" s="35">
        <f t="shared" si="5"/>
        <v>33.08209944</v>
      </c>
      <c r="U62" s="34" t="str">
        <f t="shared" si="6"/>
        <v>Compra</v>
      </c>
      <c r="V62" s="37">
        <f t="shared" si="7"/>
        <v>0.04552550104</v>
      </c>
      <c r="W62" s="37">
        <f t="shared" si="8"/>
        <v>-0.03192418153</v>
      </c>
      <c r="X62" s="34">
        <f>IFERROR(__xludf.DUMMYFUNCTION("AJ62*GOOGLEFINANCE(""CURRENCY:USD/EUR"")"),31.707794800000002)</f>
        <v>31.7077948</v>
      </c>
      <c r="Y62" s="35">
        <f>IFERROR(__xludf.DUMMYFUNCTION("AI62*GOOGLEFINANCE(""CURRENCY:USD/EUR"")"),32.75342095621313)</f>
        <v>32.75342096</v>
      </c>
      <c r="Z62" s="38">
        <f t="shared" si="9"/>
        <v>0.04334280089</v>
      </c>
      <c r="AA62" s="38">
        <f t="shared" si="10"/>
        <v>0.08297694346</v>
      </c>
      <c r="AB62" s="38">
        <f t="shared" si="11"/>
        <v>0.02994286248</v>
      </c>
      <c r="AC62" s="41">
        <v>35.0</v>
      </c>
      <c r="AD62" s="40">
        <f t="shared" si="12"/>
        <v>0.3324835714</v>
      </c>
      <c r="AE62" s="41">
        <v>38.0</v>
      </c>
      <c r="AF62" s="41">
        <f t="shared" si="13"/>
        <v>0.4116011808</v>
      </c>
      <c r="AG62" s="41">
        <v>43.0</v>
      </c>
      <c r="AH62" s="41">
        <f t="shared" si="14"/>
        <v>0.2559152478</v>
      </c>
      <c r="AI62" s="41">
        <f t="shared" si="15"/>
        <v>38.28212552</v>
      </c>
      <c r="AJ62" s="34">
        <f>IFERROR(__xludf.DUMMYFUNCTION("GOOGLEFINANCE(B62,""price"")"),37.06)</f>
        <v>37.06</v>
      </c>
      <c r="AK62" s="37">
        <f t="shared" si="87"/>
        <v>0.0845135703</v>
      </c>
      <c r="AL62" s="35">
        <v>35.41</v>
      </c>
      <c r="AM62" s="34">
        <f t="shared" si="16"/>
        <v>30.96258042</v>
      </c>
      <c r="AN62" s="34">
        <f t="shared" si="17"/>
        <v>34.27963233</v>
      </c>
      <c r="AO62" s="38">
        <f>IFERROR(__xludf.DUMMYFUNCTION("(GOOGLEFINANCE(B62, ""price"") - INDEX(GOOGLEFINANCE(B62, ""price"", DATE(2025,5,9)), 2, 2)) / INDEX(GOOGLEFINANCE(B62, ""price"", DATE(2025,5,8)), 2, 2)"),0.0850812407680946)</f>
        <v>0.08508124077</v>
      </c>
      <c r="AP62" s="37">
        <f t="shared" si="18"/>
        <v>0.0811105768</v>
      </c>
      <c r="AQ62" s="37">
        <f t="shared" si="19"/>
        <v>0.0465970065</v>
      </c>
      <c r="AR62" s="37">
        <f t="shared" si="20"/>
        <v>0.0345135703</v>
      </c>
      <c r="AS62" s="34">
        <f>IFERROR(__xludf.DUMMYFUNCTION("IF(X62&lt;K62,1,IF(X62&gt;J62,-1,0)) + IF(X62&lt;F62,1,IF(X62&gt;G62,-1,0)) + IF(X62&lt;I62,1,IF(X62&gt;I62,-1,0)) + IF(X62&lt;H62,1,IF(X62&gt;H62,-1,0))"),-1.0)</f>
        <v>-1</v>
      </c>
      <c r="AT62" s="34" t="str">
        <f t="shared" si="85"/>
        <v>Hold</v>
      </c>
      <c r="AU62" s="35" t="str">
        <f t="shared" si="22"/>
        <v>hold</v>
      </c>
      <c r="AV62" s="35" t="str">
        <f t="shared" si="23"/>
        <v>venta</v>
      </c>
      <c r="AW62" s="38">
        <f t="shared" si="24"/>
        <v>0.03297694346</v>
      </c>
      <c r="AX62" s="38">
        <f t="shared" si="25"/>
        <v>-0.1133529023</v>
      </c>
      <c r="AY62" s="38">
        <f t="shared" si="26"/>
        <v>-0.112763229</v>
      </c>
      <c r="AZ62" s="42">
        <f t="shared" si="27"/>
        <v>0.08587919669</v>
      </c>
      <c r="BA62" s="38">
        <f t="shared" si="28"/>
        <v>0.6036683018</v>
      </c>
      <c r="BB62" s="38">
        <f t="shared" si="29"/>
        <v>0.3963316982</v>
      </c>
      <c r="BC62" s="38">
        <f t="shared" si="30"/>
        <v>-0.02350256086</v>
      </c>
      <c r="BD62" s="38">
        <f t="shared" si="31"/>
        <v>0.5424314454</v>
      </c>
      <c r="BE62" s="38">
        <f t="shared" si="32"/>
        <v>0.4575685546</v>
      </c>
      <c r="BF62" s="38">
        <f t="shared" si="33"/>
        <v>0.08709775426</v>
      </c>
      <c r="BG62" s="37">
        <f t="shared" si="34"/>
        <v>0.1399607967</v>
      </c>
      <c r="BH62" s="43">
        <f t="shared" si="35"/>
        <v>0.01359878386</v>
      </c>
      <c r="BI62" s="44">
        <f t="shared" si="36"/>
        <v>0.4476926218</v>
      </c>
      <c r="BJ62" s="38">
        <f t="shared" si="37"/>
        <v>0.0635951934</v>
      </c>
      <c r="BK62" s="43">
        <f t="shared" si="38"/>
        <v>-0.1974923919</v>
      </c>
      <c r="BL62" s="63">
        <v>8.19</v>
      </c>
      <c r="BM62" s="46">
        <f t="shared" si="39"/>
        <v>0.002549285662</v>
      </c>
      <c r="BN62" s="60">
        <v>0.05</v>
      </c>
      <c r="BO62" s="63">
        <v>0.97</v>
      </c>
      <c r="BP62" s="47">
        <f t="shared" si="40"/>
        <v>0.00133640756</v>
      </c>
      <c r="BQ62" s="63">
        <v>1.23</v>
      </c>
      <c r="BR62" s="47">
        <f t="shared" si="41"/>
        <v>0.1130859809</v>
      </c>
      <c r="BS62" s="60">
        <v>0.386</v>
      </c>
      <c r="BT62" s="47">
        <f t="shared" si="80"/>
        <v>0.73565381</v>
      </c>
      <c r="BU62" s="63">
        <v>0.4</v>
      </c>
      <c r="BV62" s="47">
        <f t="shared" si="72"/>
        <v>0.9801980198</v>
      </c>
      <c r="BW62" s="48">
        <f t="shared" si="44"/>
        <v>1.862319115</v>
      </c>
      <c r="BX62" s="49">
        <f t="shared" si="45"/>
        <v>0.8817864597</v>
      </c>
      <c r="BY62" s="47">
        <f t="shared" si="46"/>
        <v>0.4575685546</v>
      </c>
      <c r="BZ62" s="60">
        <v>0.18</v>
      </c>
      <c r="CA62" s="50">
        <f t="shared" si="47"/>
        <v>0.2082304527</v>
      </c>
      <c r="CB62" s="60">
        <v>0.217</v>
      </c>
      <c r="CC62" s="50">
        <f t="shared" si="81"/>
        <v>0.2467850582</v>
      </c>
      <c r="CD62" s="60">
        <v>0.127</v>
      </c>
      <c r="CE62" s="50">
        <f t="shared" si="49"/>
        <v>0.6876943581</v>
      </c>
      <c r="CF62" s="50">
        <f t="shared" si="50"/>
        <v>0.3809032896</v>
      </c>
      <c r="CG62" s="60">
        <v>0.209</v>
      </c>
      <c r="CH62" s="51">
        <f t="shared" si="51"/>
        <v>0.2477432297</v>
      </c>
      <c r="CI62" s="60">
        <v>0.279</v>
      </c>
      <c r="CJ62" s="51">
        <f t="shared" si="52"/>
        <v>0.3885350318</v>
      </c>
      <c r="CK62" s="60">
        <v>0.296</v>
      </c>
      <c r="CL62" s="51">
        <f t="shared" si="82"/>
        <v>0.4876033058</v>
      </c>
      <c r="CM62" s="60">
        <v>0.031</v>
      </c>
      <c r="CN62" s="51">
        <f t="shared" si="83"/>
        <v>0.1149425287</v>
      </c>
      <c r="CO62" s="60">
        <v>0.341</v>
      </c>
      <c r="CP62" s="51">
        <f t="shared" si="84"/>
        <v>0.7428343949</v>
      </c>
      <c r="CQ62" s="51">
        <f t="shared" si="56"/>
        <v>0.3963316982</v>
      </c>
      <c r="CR62" s="52">
        <f t="shared" si="57"/>
        <v>0.4116011808</v>
      </c>
      <c r="CS62" s="53">
        <f t="shared" si="68"/>
        <v>0.1643676782</v>
      </c>
      <c r="CT62" s="54">
        <f t="shared" si="59"/>
        <v>0.3608576219</v>
      </c>
      <c r="CU62" s="55">
        <f t="shared" si="60"/>
        <v>0.03734686869</v>
      </c>
      <c r="CV62" s="34">
        <f t="shared" si="61"/>
        <v>1.268597629</v>
      </c>
      <c r="CW62" s="34">
        <f t="shared" si="62"/>
        <v>0.5229499977</v>
      </c>
      <c r="CX62" s="35">
        <f t="shared" si="63"/>
        <v>0.2605615662</v>
      </c>
      <c r="CY62" s="38">
        <f>IFERROR(__xludf.DUMMYFUNCTION("(GOOGLEFINANCE(B62,""price"")/INDEX(GOOGLEFINANCE(B62,""price"",TODAY()-30),2,2))-1"),0.019532324621733155)</f>
        <v>0.01953232462</v>
      </c>
      <c r="CZ62" s="38">
        <f>IFERROR(__xludf.DUMMYFUNCTION("(GOOGLEFINANCE($B62,""price"")/INDEX(GOOGLEFINANCE($B62,""price"",TODAY()-180),2,2))-1"),-0.044106267732783144)</f>
        <v>-0.04410626773</v>
      </c>
      <c r="DA62" s="38">
        <f>IFERROR(__xludf.DUMMYFUNCTION("(GOOGLEFINANCE($B62,""price"")/INDEX(GOOGLEFINANCE($B62,""price"",TODAY()-365),2,2))-1"),-0.25850340136054417)</f>
        <v>-0.2585034014</v>
      </c>
      <c r="DB62" s="38">
        <f>IFERROR(__xludf.DUMMYFUNCTION("(GOOGLEFINANCE($B62,""price"")/INDEX(GOOGLEFINANCE($B62,""price"",TODAY()-365*5),2,2))-1"),-0.11190989695662579)</f>
        <v>-0.111909897</v>
      </c>
      <c r="DC62" s="38">
        <f>IFERROR(__xludf.DUMMYFUNCTION("(INDEX(GOOGLEFINANCE(B62, ""price"", TODAY()-30, TODAY()), ROWS(GOOGLEFINANCE(B62, ""price"", TODAY()-30, TODAY())), 2) / INDEX(GOOGLEFINANCE(B62, ""price"", TODAY()-30, TODAY()), 2, 2)) - 1"),0.019532324621733155)</f>
        <v>0.01953232462</v>
      </c>
      <c r="DD62" s="38">
        <f>IFERROR(__xludf.DUMMYFUNCTION("(INDEX(GOOGLEFINANCE(B62, ""price"", TODAY()-7, TODAY()), ROWS(GOOGLEFINANCE(B62, ""price"", TODAY()-7, TODAY())), 2) / INDEX(GOOGLEFINANCE(B62, ""price"", TODAY()-7, TODAY()), 2, 2)) - 1"),0.00898448135039498)</f>
        <v>0.00898448135</v>
      </c>
    </row>
    <row r="63">
      <c r="A63" s="34" t="str">
        <f>IFERROR(__xludf.DUMMYFUNCTION("GOOGLEFINANCE(B63,""name"")"),"Resmed Inc")</f>
        <v>Resmed Inc</v>
      </c>
      <c r="B63" s="35" t="s">
        <v>170</v>
      </c>
      <c r="C63" s="35" t="s">
        <v>93</v>
      </c>
      <c r="D63" s="35" t="s">
        <v>105</v>
      </c>
      <c r="E63" s="57">
        <v>3.0</v>
      </c>
      <c r="F63" s="35">
        <f>IFERROR(__xludf.DUMMYFUNCTION("IFERROR(MIN(INDEX(GOOGLEFINANCE(B63,""close"",TODAY()-100,TODAY()),0,2)) * GOOGLEFINANCE(""CURRENCY:USDEUR""),""Error en datos"")"),175.0003332)</f>
        <v>175.0003332</v>
      </c>
      <c r="G63" s="35">
        <f>IFERROR(__xludf.DUMMYFUNCTION("IFERROR(MAX(INDEX(GOOGLEFINANCE(B63,""close"",TODAY()-100,TODAY()),0,2)) * GOOGLEFINANCE(""CURRENCY:USDEUR""),""Error en datos"")"),220.7995306)</f>
        <v>220.7995306</v>
      </c>
      <c r="H63" s="35">
        <f>IFERROR(__xludf.DUMMYFUNCTION("IFERROR(AVERAGE(INDEX(GOOGLEFINANCE(B63,""close"",TODAY()-20,TODAY()),0,2)) * GOOGLEFINANCE(""CURRENCY:USDEUR""),""Error en datos"")"),219.40625147692307)</f>
        <v>219.4062515</v>
      </c>
      <c r="I63" s="35">
        <f>IFERROR(__xludf.DUMMYFUNCTION("IFERROR(PERCENTILE(INDEX(GOOGLEFINANCE(B63,""close"",TODAY()-365,TODAY()),0,2),0.05) * GOOGLEFINANCE(""CURRENCY:USDEUR""),""Error en datos"")"),178.76146288)</f>
        <v>178.7614629</v>
      </c>
      <c r="J63" s="35">
        <f>IFERROR(__xludf.DUMMYFUNCTION("AVERAGE(INDEX(GOOGLEFINANCE(B63,""price"",TODAY()-20,TODAY(),""DAILY""),0,2))+(2*STDEV(INDEX(GOOGLEFINANCE(B63,""price"",TODAY()-20,TODAY(),""DAILY""),0,2)))"),258.619960614594)</f>
        <v>258.6199606</v>
      </c>
      <c r="K63" s="35">
        <f>IFERROR(__xludf.DUMMYFUNCTION("AVERAGE(INDEX(GOOGLEFINANCE(B63,""price"",TODAY()-20,TODAY(),""DAILY""),0,2))-(2*STDEV(INDEX(GOOGLEFINANCE(B63,""price"",TODAY()-20,TODAY(),""DAILY""),0,2)))"),254.26311630848295)</f>
        <v>254.2631163</v>
      </c>
      <c r="L63" s="35">
        <v>848.0</v>
      </c>
      <c r="M63" s="35">
        <f t="shared" si="1"/>
        <v>0.1472977746</v>
      </c>
      <c r="N63" s="35">
        <v>-100.0</v>
      </c>
      <c r="O63" s="35">
        <f t="shared" si="2"/>
        <v>0</v>
      </c>
      <c r="P63" s="35">
        <v>4.41</v>
      </c>
      <c r="Q63" s="35">
        <f t="shared" si="3"/>
        <v>0.2351236476</v>
      </c>
      <c r="R63" s="35" t="str">
        <f>IFERROR(__xludf.DUMMYFUNCTION("IF(B63="""", """", SPARKLINE(INDEX(GOOGLEFINANCE(B63, ""price"", TODAY()-1825, TODAY()), 0, 2)))"),"")</f>
        <v/>
      </c>
      <c r="S63" s="35">
        <f t="shared" si="4"/>
        <v>202.6749708</v>
      </c>
      <c r="T63" s="35">
        <f t="shared" si="5"/>
        <v>228.164749</v>
      </c>
      <c r="U63" s="34" t="str">
        <f t="shared" si="6"/>
        <v/>
      </c>
      <c r="V63" s="37">
        <f t="shared" si="7"/>
        <v>0.07393404891</v>
      </c>
      <c r="W63" s="37">
        <f t="shared" si="8"/>
        <v>-0.03628952394</v>
      </c>
      <c r="X63" s="34">
        <f>IFERROR(__xludf.DUMMYFUNCTION("AJ63*GOOGLEFINANCE(""CURRENCY:USD/EUR"")"),217.65955200000002)</f>
        <v>217.659552</v>
      </c>
      <c r="Y63" s="35">
        <f>IFERROR(__xludf.DUMMYFUNCTION("AI63*GOOGLEFINANCE(""CURRENCY:USD/EUR"")"),225.85574963308153)</f>
        <v>225.8557496</v>
      </c>
      <c r="Z63" s="38">
        <f t="shared" si="9"/>
        <v>0.04826435075</v>
      </c>
      <c r="AA63" s="38">
        <f t="shared" si="10"/>
        <v>0.04665604384</v>
      </c>
      <c r="AB63" s="38">
        <f t="shared" si="11"/>
        <v>0.01212724951</v>
      </c>
      <c r="AC63" s="41">
        <v>240.0</v>
      </c>
      <c r="AD63" s="40">
        <f t="shared" si="12"/>
        <v>0.3296907436</v>
      </c>
      <c r="AE63" s="41">
        <v>266.0</v>
      </c>
      <c r="AF63" s="41">
        <f t="shared" si="13"/>
        <v>0.3973235527</v>
      </c>
      <c r="AG63" s="41">
        <v>290.0</v>
      </c>
      <c r="AH63" s="41">
        <f t="shared" si="14"/>
        <v>0.2729857036</v>
      </c>
      <c r="AI63" s="41">
        <f t="shared" si="15"/>
        <v>263.9796976</v>
      </c>
      <c r="AJ63" s="34">
        <f>IFERROR(__xludf.DUMMYFUNCTION("GOOGLEFINANCE(B63,""price"")"),254.4)</f>
        <v>254.4</v>
      </c>
      <c r="AK63" s="37">
        <f>AP63+BN63</f>
        <v>0.08778911955</v>
      </c>
      <c r="AL63" s="34">
        <v>244.7</v>
      </c>
      <c r="AM63" s="34">
        <f t="shared" si="16"/>
        <v>212.9584356</v>
      </c>
      <c r="AN63" s="34">
        <f t="shared" si="17"/>
        <v>234.8087565</v>
      </c>
      <c r="AO63" s="38">
        <f>IFERROR(__xludf.DUMMYFUNCTION("(GOOGLEFINANCE(B63, ""price"") - INDEX(GOOGLEFINANCE(B63, ""price"", DATE(2025,5,8)), 2, 2)) / INDEX(GOOGLEFINANCE(B63, ""price"", DATE(2025,5,8)), 2, 2)"),0.046525978032827355)</f>
        <v>0.04652597803</v>
      </c>
      <c r="AP63" s="37">
        <f t="shared" si="18"/>
        <v>0.07878911955</v>
      </c>
      <c r="AQ63" s="37">
        <f t="shared" si="19"/>
        <v>0.03964037597</v>
      </c>
      <c r="AR63" s="37">
        <f t="shared" si="20"/>
        <v>0.03914874358</v>
      </c>
      <c r="AS63" s="34">
        <f>IFERROR(__xludf.DUMMYFUNCTION("IF(X63&lt;K63,1,IF(X63&gt;J63,-1,0)) + IF(X63&lt;F63,1,IF(X63&gt;G63,-1,0)) + IF(X63&lt;I63,1,IF(X63&gt;I63,-1,0)) + IF(X63&lt;H63,1,IF(X63&gt;H63,-1,0))"),1.0)</f>
        <v>1</v>
      </c>
      <c r="AT63" s="34" t="str">
        <f t="shared" si="85"/>
        <v>Hold</v>
      </c>
      <c r="AU63" s="35" t="str">
        <f t="shared" si="22"/>
        <v>hold</v>
      </c>
      <c r="AV63" s="35" t="str">
        <f t="shared" si="23"/>
        <v>hold</v>
      </c>
      <c r="AW63" s="38">
        <f t="shared" si="24"/>
        <v>0.03765604384</v>
      </c>
      <c r="AX63" s="38">
        <f t="shared" si="25"/>
        <v>0.1370813571</v>
      </c>
      <c r="AY63" s="38">
        <f t="shared" si="26"/>
        <v>0.1383789449</v>
      </c>
      <c r="AZ63" s="42">
        <f t="shared" si="27"/>
        <v>0.07563278665</v>
      </c>
      <c r="BA63" s="38">
        <f t="shared" si="28"/>
        <v>0.6574867051</v>
      </c>
      <c r="BB63" s="38">
        <f t="shared" si="29"/>
        <v>0.3425132949</v>
      </c>
      <c r="BC63" s="38">
        <f t="shared" si="30"/>
        <v>-0.02159848402</v>
      </c>
      <c r="BD63" s="38">
        <f t="shared" si="31"/>
        <v>0.5110989974</v>
      </c>
      <c r="BE63" s="38">
        <f t="shared" si="32"/>
        <v>0.4889010026</v>
      </c>
      <c r="BF63" s="38">
        <f t="shared" si="33"/>
        <v>0.09172022037</v>
      </c>
      <c r="BG63" s="37">
        <f t="shared" si="34"/>
        <v>0.1162047051</v>
      </c>
      <c r="BH63" s="43">
        <f t="shared" si="35"/>
        <v>0.127291825</v>
      </c>
      <c r="BI63" s="44">
        <f t="shared" si="36"/>
        <v>0.3763120191</v>
      </c>
      <c r="BJ63" s="38">
        <f t="shared" si="37"/>
        <v>0.07012173635</v>
      </c>
      <c r="BK63" s="43">
        <f t="shared" si="38"/>
        <v>0.3052924815</v>
      </c>
      <c r="BL63" s="47">
        <v>34.68</v>
      </c>
      <c r="BM63" s="46">
        <f t="shared" si="39"/>
        <v>0.01092776919</v>
      </c>
      <c r="BN63" s="38">
        <v>0.009</v>
      </c>
      <c r="BO63" s="47">
        <v>5.02</v>
      </c>
      <c r="BP63" s="58">
        <f t="shared" si="40"/>
        <v>0.007284155493</v>
      </c>
      <c r="BQ63" s="47">
        <v>8.91</v>
      </c>
      <c r="BR63" s="47">
        <f t="shared" si="41"/>
        <v>0.2837147301</v>
      </c>
      <c r="BS63" s="47">
        <v>0.321</v>
      </c>
      <c r="BT63" s="47">
        <f t="shared" si="80"/>
        <v>0.6745061148</v>
      </c>
      <c r="BU63" s="47">
        <v>0.2</v>
      </c>
      <c r="BV63" s="47">
        <f t="shared" si="72"/>
        <v>0.9900990099</v>
      </c>
      <c r="BW63" s="48">
        <f t="shared" si="44"/>
        <v>1.098018186</v>
      </c>
      <c r="BX63" s="49">
        <f t="shared" si="45"/>
        <v>0.6253322132</v>
      </c>
      <c r="BY63" s="47">
        <f t="shared" si="46"/>
        <v>0.4889010026</v>
      </c>
      <c r="BZ63" s="50">
        <v>0.095</v>
      </c>
      <c r="CA63" s="50">
        <f t="shared" si="47"/>
        <v>0.1382716049</v>
      </c>
      <c r="CB63" s="50">
        <v>0.224</v>
      </c>
      <c r="CC63" s="50">
        <f t="shared" si="81"/>
        <v>0.2489283527</v>
      </c>
      <c r="CD63" s="50">
        <v>0.371</v>
      </c>
      <c r="CE63" s="50">
        <f t="shared" si="49"/>
        <v>0.6944691248</v>
      </c>
      <c r="CF63" s="50">
        <f t="shared" si="50"/>
        <v>0.3605563608</v>
      </c>
      <c r="CG63" s="51">
        <v>0.204</v>
      </c>
      <c r="CH63" s="51">
        <f t="shared" si="51"/>
        <v>0.2452357071</v>
      </c>
      <c r="CI63" s="51">
        <v>0.117</v>
      </c>
      <c r="CJ63" s="51">
        <f t="shared" si="52"/>
        <v>0.1821656051</v>
      </c>
      <c r="CK63" s="51">
        <v>0.157</v>
      </c>
      <c r="CL63" s="51">
        <f t="shared" si="82"/>
        <v>0.3727272727</v>
      </c>
      <c r="CM63" s="51">
        <v>0.228</v>
      </c>
      <c r="CN63" s="51">
        <f t="shared" si="83"/>
        <v>0.2133933033</v>
      </c>
      <c r="CO63" s="51">
        <v>0.286</v>
      </c>
      <c r="CP63" s="51">
        <f t="shared" si="84"/>
        <v>0.699044586</v>
      </c>
      <c r="CQ63" s="51">
        <f t="shared" si="56"/>
        <v>0.3425132949</v>
      </c>
      <c r="CR63" s="52">
        <f t="shared" si="57"/>
        <v>0.3973235527</v>
      </c>
      <c r="CS63" s="53">
        <f t="shared" si="68"/>
        <v>0.1324297992</v>
      </c>
      <c r="CT63" s="54">
        <f t="shared" si="59"/>
        <v>0.2599288005</v>
      </c>
      <c r="CU63" s="55">
        <f t="shared" si="60"/>
        <v>0.06917014084</v>
      </c>
      <c r="CV63" s="34">
        <f t="shared" si="61"/>
        <v>4.468937344</v>
      </c>
      <c r="CW63" s="34">
        <f t="shared" si="62"/>
        <v>1.315896112</v>
      </c>
      <c r="CX63" s="35">
        <f t="shared" si="63"/>
        <v>0.1175618238</v>
      </c>
      <c r="CY63" s="38">
        <f>IFERROR(__xludf.DUMMYFUNCTION("(GOOGLEFINANCE(B63,""price"")/INDEX(GOOGLEFINANCE(B63,""price"",TODAY()-30),2,2))-1"),0.010807374443738027)</f>
        <v>0.01080737444</v>
      </c>
      <c r="CZ63" s="38">
        <f>IFERROR(__xludf.DUMMYFUNCTION("(GOOGLEFINANCE($B63,""price"")/INDEX(GOOGLEFINANCE($B63,""price"",TODAY()-180),2,2))-1"),0.09006770074556525)</f>
        <v>0.09006770075</v>
      </c>
      <c r="DA63" s="38">
        <f>IFERROR(__xludf.DUMMYFUNCTION("(GOOGLEFINANCE($B63,""price"")/INDEX(GOOGLEFINANCE($B63,""price"",TODAY()-365),2,2))-1"),0.2391018459889922)</f>
        <v>0.239101846</v>
      </c>
      <c r="DB63" s="38">
        <f>IFERROR(__xludf.DUMMYFUNCTION("(GOOGLEFINANCE($B63,""price"")/INDEX(GOOGLEFINANCE($B63,""price"",TODAY()-365*5),2,2))-1"),0.28777524677296884)</f>
        <v>0.2877752468</v>
      </c>
      <c r="DC63" s="38">
        <f>IFERROR(__xludf.DUMMYFUNCTION("(INDEX(GOOGLEFINANCE(B63, ""price"", TODAY()-30, TODAY()), ROWS(GOOGLEFINANCE(B63, ""price"", TODAY()-30, TODAY())), 2) / INDEX(GOOGLEFINANCE(B63, ""price"", TODAY()-30, TODAY()), 2, 2)) - 1"),0.010807374443738027)</f>
        <v>0.01080737444</v>
      </c>
      <c r="DD63" s="38">
        <f>IFERROR(__xludf.DUMMYFUNCTION("(INDEX(GOOGLEFINANCE(B63, ""price"", TODAY()-7, TODAY()), ROWS(GOOGLEFINANCE(B63, ""price"", TODAY()-7, TODAY())), 2) / INDEX(GOOGLEFINANCE(B63, ""price"", TODAY()-7, TODAY()), 2, 2)) - 1"),-0.007839007839007928)</f>
        <v>-0.007839007839</v>
      </c>
    </row>
    <row r="64">
      <c r="A64" s="34" t="str">
        <f>IFERROR(__xludf.DUMMYFUNCTION("GOOGLEFINANCE(B64,""name"")"),"Southern Copper Corp")</f>
        <v>Southern Copper Corp</v>
      </c>
      <c r="B64" s="35" t="s">
        <v>171</v>
      </c>
      <c r="C64" s="35" t="s">
        <v>109</v>
      </c>
      <c r="D64" s="35" t="s">
        <v>100</v>
      </c>
      <c r="E64" s="64">
        <v>4.0</v>
      </c>
      <c r="F64" s="35">
        <f>IFERROR(__xludf.DUMMYFUNCTION("IFERROR(MIN(INDEX(GOOGLEFINANCE(B64,""close"",TODAY()-100,TODAY()),0,2)) * GOOGLEFINANCE(""CURRENCY:USDEUR""),""Error en datos"")"),64.0743862)</f>
        <v>64.0743862</v>
      </c>
      <c r="G64" s="35">
        <f>IFERROR(__xludf.DUMMYFUNCTION("IFERROR(MAX(INDEX(GOOGLEFINANCE(B64,""close"",TODAY()-100,TODAY()),0,2)) * GOOGLEFINANCE(""CURRENCY:USDEUR""),""Error en datos"")"),90.76848220000001)</f>
        <v>90.7684822</v>
      </c>
      <c r="H64" s="35">
        <f>IFERROR(__xludf.DUMMYFUNCTION("IFERROR(AVERAGE(INDEX(GOOGLEFINANCE(B64,""close"",TODAY()-20,TODAY()),0,2)) * GOOGLEFINANCE(""CURRENCY:USDEUR""),""Error en datos"")"),87.37841098461539)</f>
        <v>87.37841098</v>
      </c>
      <c r="I64" s="35">
        <f>IFERROR(__xludf.DUMMYFUNCTION("IFERROR(PERCENTILE(INDEX(GOOGLEFINANCE(B64,""close"",TODAY()-365,TODAY()),0,2),0.05) * GOOGLEFINANCE(""CURRENCY:USDEUR""),""Error en datos"")"),73.84682096)</f>
        <v>73.84682096</v>
      </c>
      <c r="J64" s="35">
        <f>IFERROR(__xludf.DUMMYFUNCTION("AVERAGE(INDEX(GOOGLEFINANCE(B64,""price"",TODAY()-20,TODAY(),""DAILY""),0,2))+(2*STDEV(INDEX(GOOGLEFINANCE(B64,""price"",TODAY()-20,TODAY(),""DAILY""),0,2)))"),107.93874587737685)</f>
        <v>107.9387459</v>
      </c>
      <c r="K64" s="35">
        <f>IFERROR(__xludf.DUMMYFUNCTION("AVERAGE(INDEX(GOOGLEFINANCE(B64,""price"",TODAY()-20,TODAY(),""DAILY""),0,2))-(2*STDEV(INDEX(GOOGLEFINANCE(B64,""price"",TODAY()-20,TODAY(),""DAILY""),0,2)))"),96.31663873800775)</f>
        <v>96.31663874</v>
      </c>
      <c r="L64" s="35">
        <v>615.0</v>
      </c>
      <c r="M64" s="35">
        <f t="shared" si="1"/>
        <v>0.1061462381</v>
      </c>
      <c r="N64" s="35">
        <v>-50.0</v>
      </c>
      <c r="O64" s="35">
        <f t="shared" si="2"/>
        <v>0.2222222222</v>
      </c>
      <c r="P64" s="35">
        <v>3.21</v>
      </c>
      <c r="Q64" s="35">
        <f t="shared" si="3"/>
        <v>0.2119397218</v>
      </c>
      <c r="R64" s="35" t="str">
        <f>IFERROR(__xludf.DUMMYFUNCTION("IF(B64="""", """", SPARKLINE(INDEX(GOOGLEFINANCE(B64, ""price"", TODAY()-1825, TODAY()), 0, 2)))"),"")</f>
        <v/>
      </c>
      <c r="S64" s="35">
        <f t="shared" si="4"/>
        <v>78.07928197</v>
      </c>
      <c r="T64" s="35">
        <f t="shared" si="5"/>
        <v>77.89805238</v>
      </c>
      <c r="U64" s="34" t="str">
        <f t="shared" si="6"/>
        <v>Venta</v>
      </c>
      <c r="V64" s="37">
        <f t="shared" si="7"/>
        <v>0.1134257592</v>
      </c>
      <c r="W64" s="37">
        <f t="shared" si="8"/>
        <v>0.1810772699</v>
      </c>
      <c r="X64" s="34">
        <f>IFERROR(__xludf.DUMMYFUNCTION("AJ64*GOOGLEFINANCE(""CURRENCY:USD/EUR"")"),86.9354838)</f>
        <v>86.9354838</v>
      </c>
      <c r="Y64" s="35">
        <f>IFERROR(__xludf.DUMMYFUNCTION("AI64*GOOGLEFINANCE(""CURRENCY:USD/EUR"")"),73.6069400478844)</f>
        <v>73.60694005</v>
      </c>
      <c r="Z64" s="38">
        <f t="shared" si="9"/>
        <v>-0.103955612</v>
      </c>
      <c r="AA64" s="38">
        <f t="shared" si="10"/>
        <v>-0.1223153457</v>
      </c>
      <c r="AB64" s="38">
        <f t="shared" si="11"/>
        <v>-0.02882417804</v>
      </c>
      <c r="AC64" s="41">
        <v>71.3</v>
      </c>
      <c r="AD64" s="40">
        <f t="shared" si="12"/>
        <v>0.3259332357</v>
      </c>
      <c r="AE64" s="41">
        <v>86.55</v>
      </c>
      <c r="AF64" s="41">
        <f t="shared" si="13"/>
        <v>0.4327600126</v>
      </c>
      <c r="AG64" s="41">
        <v>105.0</v>
      </c>
      <c r="AH64" s="41">
        <f t="shared" si="14"/>
        <v>0.2413067517</v>
      </c>
      <c r="AI64" s="41">
        <f t="shared" si="15"/>
        <v>86.03162772</v>
      </c>
      <c r="AJ64" s="34">
        <f>IFERROR(__xludf.DUMMYFUNCTION("GOOGLEFINANCE(B64,""price"")"),101.61)</f>
        <v>101.61</v>
      </c>
      <c r="AK64" s="37">
        <f t="shared" ref="AK64:AK67" si="88">AR64+BN64</f>
        <v>-0.1471199666</v>
      </c>
      <c r="AL64" s="34">
        <v>87.46</v>
      </c>
      <c r="AM64" s="34">
        <f t="shared" si="16"/>
        <v>65.98087641</v>
      </c>
      <c r="AN64" s="34">
        <f t="shared" si="17"/>
        <v>85.51567778</v>
      </c>
      <c r="AO64" s="38">
        <f>IFERROR(__xludf.DUMMYFUNCTION("(GOOGLEFINANCE(B64, ""price"") - INDEX(GOOGLEFINANCE(B64, ""price"", DATE(2025,5,8)), 2, 2)) / INDEX(GOOGLEFINANCE(B64, ""price"", DATE(2025,5,8)), 2, 2)"),0.15361035422343325)</f>
        <v>0.1536103542</v>
      </c>
      <c r="AP64" s="37">
        <f t="shared" si="18"/>
        <v>-0.01633172052</v>
      </c>
      <c r="AQ64" s="37">
        <f t="shared" si="19"/>
        <v>0.1617882461</v>
      </c>
      <c r="AR64" s="37">
        <f t="shared" si="20"/>
        <v>-0.1781199666</v>
      </c>
      <c r="AS64" s="34">
        <f>IFERROR(__xludf.DUMMYFUNCTION("IF(X64&lt;K64,1,IF(X64&gt;J64,-1,0)) + IF(X64&lt;F64,1,IF(X64&gt;G64,-1,0)) + IF(X64&lt;I64,1,IF(X64&gt;I64,-1,0)) + IF(X64&lt;H64,1,IF(X64&gt;H64,-1,0))"),1.0)</f>
        <v>1</v>
      </c>
      <c r="AT64" s="34" t="str">
        <f t="shared" si="85"/>
        <v>venta</v>
      </c>
      <c r="AU64" s="35" t="str">
        <f t="shared" si="22"/>
        <v>venta</v>
      </c>
      <c r="AV64" s="35" t="str">
        <f t="shared" si="23"/>
        <v>venta</v>
      </c>
      <c r="AW64" s="38">
        <f t="shared" si="24"/>
        <v>-0.1533153457</v>
      </c>
      <c r="AX64" s="38">
        <f t="shared" si="25"/>
        <v>-0.1100765235</v>
      </c>
      <c r="AY64" s="38">
        <f t="shared" si="26"/>
        <v>-0.1121335803</v>
      </c>
      <c r="AZ64" s="42">
        <f t="shared" si="27"/>
        <v>-0.05589725346</v>
      </c>
      <c r="BA64" s="38">
        <f t="shared" si="28"/>
        <v>0.6184720321</v>
      </c>
      <c r="BB64" s="38">
        <f t="shared" si="29"/>
        <v>0.3815279679</v>
      </c>
      <c r="BC64" s="38">
        <f t="shared" si="30"/>
        <v>-0.2410363005</v>
      </c>
      <c r="BD64" s="38">
        <f t="shared" si="31"/>
        <v>0.4996734889</v>
      </c>
      <c r="BE64" s="38">
        <f t="shared" si="32"/>
        <v>0.5003265111</v>
      </c>
      <c r="BF64" s="38">
        <f t="shared" si="33"/>
        <v>-0.05736616346</v>
      </c>
      <c r="BG64" s="37">
        <f t="shared" si="34"/>
        <v>0.03740672504</v>
      </c>
      <c r="BH64" s="43">
        <f t="shared" si="35"/>
        <v>-0.03736342764</v>
      </c>
      <c r="BI64" s="44">
        <f t="shared" si="36"/>
        <v>0.305079425</v>
      </c>
      <c r="BJ64" s="38">
        <f t="shared" si="37"/>
        <v>-0.2984024639</v>
      </c>
      <c r="BK64" s="43">
        <f t="shared" si="38"/>
        <v>-0.459108082</v>
      </c>
      <c r="BL64" s="35">
        <v>70.32</v>
      </c>
      <c r="BM64" s="46">
        <f t="shared" si="39"/>
        <v>0.02220029288</v>
      </c>
      <c r="BN64" s="38">
        <v>0.031</v>
      </c>
      <c r="BO64" s="35">
        <v>11.96</v>
      </c>
      <c r="BP64" s="47">
        <f t="shared" si="40"/>
        <v>0.01747609886</v>
      </c>
      <c r="BQ64" s="35">
        <v>4.52</v>
      </c>
      <c r="BR64" s="47">
        <f t="shared" si="41"/>
        <v>0.1861808487</v>
      </c>
      <c r="BS64" s="38">
        <v>0.494</v>
      </c>
      <c r="BT64" s="47">
        <f t="shared" si="80"/>
        <v>0.8372530574</v>
      </c>
      <c r="BU64" s="35">
        <v>0.8</v>
      </c>
      <c r="BV64" s="47">
        <f t="shared" si="72"/>
        <v>0.9603960396</v>
      </c>
      <c r="BW64" s="48">
        <f t="shared" si="44"/>
        <v>1.524598596</v>
      </c>
      <c r="BX64" s="49">
        <f t="shared" si="45"/>
        <v>0.6475222777</v>
      </c>
      <c r="BY64" s="47">
        <f t="shared" si="46"/>
        <v>0.5003265111</v>
      </c>
      <c r="BZ64" s="38">
        <v>0.232</v>
      </c>
      <c r="CA64" s="50">
        <f t="shared" si="47"/>
        <v>0.2510288066</v>
      </c>
      <c r="CB64" s="38">
        <v>0.387</v>
      </c>
      <c r="CC64" s="50">
        <f t="shared" si="81"/>
        <v>0.2988364972</v>
      </c>
      <c r="CD64" s="38">
        <v>0.549</v>
      </c>
      <c r="CE64" s="50">
        <f t="shared" si="49"/>
        <v>0.6994113727</v>
      </c>
      <c r="CF64" s="50">
        <f t="shared" si="50"/>
        <v>0.4164255589</v>
      </c>
      <c r="CG64" s="38">
        <v>0.226</v>
      </c>
      <c r="CH64" s="51">
        <f t="shared" si="51"/>
        <v>0.2562688064</v>
      </c>
      <c r="CI64" s="38">
        <v>0.105</v>
      </c>
      <c r="CJ64" s="51">
        <f t="shared" si="52"/>
        <v>0.1668789809</v>
      </c>
      <c r="CK64" s="38">
        <v>0.15</v>
      </c>
      <c r="CL64" s="51">
        <f t="shared" si="82"/>
        <v>0.3669421488</v>
      </c>
      <c r="CM64" s="38">
        <v>0.366</v>
      </c>
      <c r="CN64" s="51">
        <f t="shared" si="83"/>
        <v>0.2823588206</v>
      </c>
      <c r="CO64" s="38">
        <v>0.457</v>
      </c>
      <c r="CP64" s="51">
        <f t="shared" si="84"/>
        <v>0.8351910828</v>
      </c>
      <c r="CQ64" s="51">
        <f t="shared" si="56"/>
        <v>0.3815279679</v>
      </c>
      <c r="CR64" s="52">
        <f t="shared" si="57"/>
        <v>0.4327600126</v>
      </c>
      <c r="CS64" s="53">
        <f t="shared" si="68"/>
        <v>0.161613605</v>
      </c>
      <c r="CT64" s="54">
        <f t="shared" si="59"/>
        <v>0.2356546342</v>
      </c>
      <c r="CU64" s="55">
        <f t="shared" si="60"/>
        <v>-0.05230799626</v>
      </c>
      <c r="CV64" s="34">
        <f t="shared" si="61"/>
        <v>1.036233822</v>
      </c>
      <c r="CW64" s="34">
        <f t="shared" si="62"/>
        <v>0.4754384618</v>
      </c>
      <c r="CX64" s="35">
        <f t="shared" si="63"/>
        <v>0.217080972</v>
      </c>
      <c r="CY64" s="38">
        <f>IFERROR(__xludf.DUMMYFUNCTION("(GOOGLEFINANCE(B64,""price"")/INDEX(GOOGLEFINANCE(B64,""price"",TODAY()-30),2,2))-1"),0.05349922239502325)</f>
        <v>0.0534992224</v>
      </c>
      <c r="CZ64" s="38">
        <f>IFERROR(__xludf.DUMMYFUNCTION("(GOOGLEFINANCE($B64,""price"")/INDEX(GOOGLEFINANCE($B64,""price"",TODAY()-180),2,2))-1"),0.06576463184392689)</f>
        <v>0.06576463184</v>
      </c>
      <c r="DA64" s="38">
        <f>IFERROR(__xludf.DUMMYFUNCTION("(GOOGLEFINANCE($B64,""price"")/INDEX(GOOGLEFINANCE($B64,""price"",TODAY()-365),2,2))-1"),-0.0709518149401116)</f>
        <v>-0.07095181494</v>
      </c>
      <c r="DB64" s="38">
        <f>IFERROR(__xludf.DUMMYFUNCTION("(GOOGLEFINANCE($B64,""price"")/INDEX(GOOGLEFINANCE($B64,""price"",TODAY()-365*5),2,2))-1"),1.4686588921282802)</f>
        <v>1.468658892</v>
      </c>
      <c r="DC64" s="38">
        <f>IFERROR(__xludf.DUMMYFUNCTION("(INDEX(GOOGLEFINANCE(B64, ""price"", TODAY()-30, TODAY()), ROWS(GOOGLEFINANCE(B64, ""price"", TODAY()-30, TODAY())), 2) / INDEX(GOOGLEFINANCE(B64, ""price"", TODAY()-30, TODAY()), 2, 2)) - 1"),0.05349922239502325)</f>
        <v>0.0534992224</v>
      </c>
      <c r="DD64" s="38">
        <f>IFERROR(__xludf.DUMMYFUNCTION("(INDEX(GOOGLEFINANCE(B64, ""price"", TODAY()-7, TODAY()), ROWS(GOOGLEFINANCE(B64, ""price"", TODAY()-7, TODAY())), 2) / INDEX(GOOGLEFINANCE(B64, ""price"", TODAY()-7, TODAY()), 2, 2)) - 1"),-0.02774854080949196)</f>
        <v>-0.02774854081</v>
      </c>
    </row>
    <row r="65">
      <c r="A65" s="34" t="str">
        <f>IFERROR(__xludf.DUMMYFUNCTION("GOOGLEFINANCE(B65,""name"")"),"Shell PLC")</f>
        <v>Shell PLC</v>
      </c>
      <c r="B65" s="45" t="s">
        <v>172</v>
      </c>
      <c r="C65" s="45" t="s">
        <v>129</v>
      </c>
      <c r="D65" s="35" t="s">
        <v>94</v>
      </c>
      <c r="E65" s="64">
        <v>4.0</v>
      </c>
      <c r="F65" s="35">
        <f>IFERROR(__xludf.DUMMYFUNCTION("IFERROR(MIN(INDEX(GOOGLEFINANCE(B65,""close"",TODAY()-100,TODAY()),0,2)) * GOOGLEFINANCE(""CURRENCY:USDEUR""),""Error en datos"")"),51.120905)</f>
        <v>51.120905</v>
      </c>
      <c r="G65" s="35">
        <f>IFERROR(__xludf.DUMMYFUNCTION("IFERROR(MAX(INDEX(GOOGLEFINANCE(B65,""close"",TODAY()-100,TODAY()),0,2)) * GOOGLEFINANCE(""CURRENCY:USDEUR""),""Error en datos"")"),62.06377320000001)</f>
        <v>62.0637732</v>
      </c>
      <c r="H65" s="35">
        <f>IFERROR(__xludf.DUMMYFUNCTION("IFERROR(AVERAGE(INDEX(GOOGLEFINANCE(B65,""close"",TODAY()-20,TODAY()),0,2)) * GOOGLEFINANCE(""CURRENCY:USDEUR""),""Error en datos"")"),60.86201236923076)</f>
        <v>60.86201237</v>
      </c>
      <c r="I65" s="35">
        <f>IFERROR(__xludf.DUMMYFUNCTION("IFERROR(PERCENTILE(INDEX(GOOGLEFINANCE(B65,""close"",TODAY()-365,TODAY()),0,2),0.05) * GOOGLEFINANCE(""CURRENCY:USDEUR""),""Error en datos"")"),53.23247644)</f>
        <v>53.23247644</v>
      </c>
      <c r="J65" s="35">
        <f>IFERROR(__xludf.DUMMYFUNCTION("AVERAGE(INDEX(GOOGLEFINANCE(B65,""price"",TODAY()-20,TODAY(),""DAILY""),0,2))+(2*STDEV(INDEX(GOOGLEFINANCE(B65,""price"",TODAY()-20,TODAY(),""DAILY""),0,2)))"),73.06561111996236)</f>
        <v>73.06561112</v>
      </c>
      <c r="K65" s="35">
        <f>IFERROR(__xludf.DUMMYFUNCTION("AVERAGE(INDEX(GOOGLEFINANCE(B65,""price"",TODAY()-20,TODAY(),""DAILY""),0,2))-(2*STDEV(INDEX(GOOGLEFINANCE(B65,""price"",TODAY()-20,TODAY(),""DAILY""),0,2)))"),69.20515811080686)</f>
        <v>69.20515811</v>
      </c>
      <c r="L65" s="45">
        <v>1345.0</v>
      </c>
      <c r="M65" s="35">
        <f t="shared" si="1"/>
        <v>0.2350759449</v>
      </c>
      <c r="N65" s="45">
        <v>0.0</v>
      </c>
      <c r="O65" s="35">
        <f t="shared" si="2"/>
        <v>0.4444444444</v>
      </c>
      <c r="P65" s="45">
        <v>4.0</v>
      </c>
      <c r="Q65" s="35">
        <f t="shared" si="3"/>
        <v>0.227202473</v>
      </c>
      <c r="R65" s="35" t="str">
        <f>IFERROR(__xludf.DUMMYFUNCTION("IF(B65="""", """", SPARKLINE(INDEX(GOOGLEFINANCE(B65, ""price"", TODAY()-1825, TODAY()), 0, 2)))"),"")</f>
        <v/>
      </c>
      <c r="S65" s="35">
        <f t="shared" si="4"/>
        <v>57.85284652</v>
      </c>
      <c r="T65" s="35">
        <f t="shared" si="5"/>
        <v>67.80820681</v>
      </c>
      <c r="U65" s="34" t="str">
        <f t="shared" si="6"/>
        <v/>
      </c>
      <c r="V65" s="37">
        <f t="shared" si="7"/>
        <v>0.06923751767</v>
      </c>
      <c r="W65" s="37">
        <f t="shared" si="8"/>
        <v>-0.08839889346</v>
      </c>
      <c r="X65" s="34">
        <f>IFERROR(__xludf.DUMMYFUNCTION("AJ65*GOOGLEFINANCE(""CURRENCY:USD/EUR"")"),61.858433999999995)</f>
        <v>61.858434</v>
      </c>
      <c r="Y65" s="35">
        <f>IFERROR(__xludf.DUMMYFUNCTION("AI65*GOOGLEFINANCE(""CURRENCY:USD/EUR"")"),67.85690973427786)</f>
        <v>67.85690973</v>
      </c>
      <c r="Z65" s="38">
        <f t="shared" si="9"/>
        <v>0.09618369591</v>
      </c>
      <c r="AA65" s="38">
        <f t="shared" si="10"/>
        <v>0.1409710247</v>
      </c>
      <c r="AB65" s="38">
        <f t="shared" si="11"/>
        <v>0.04551599027</v>
      </c>
      <c r="AC65" s="41">
        <v>70.0</v>
      </c>
      <c r="AD65" s="40">
        <f t="shared" si="12"/>
        <v>0.3128409986</v>
      </c>
      <c r="AE65" s="41">
        <v>79.0</v>
      </c>
      <c r="AF65" s="41">
        <f t="shared" si="13"/>
        <v>0.3397618818</v>
      </c>
      <c r="AG65" s="41">
        <v>88.0</v>
      </c>
      <c r="AH65" s="41">
        <f t="shared" si="14"/>
        <v>0.3473971196</v>
      </c>
      <c r="AI65" s="41">
        <f t="shared" si="15"/>
        <v>79.31100509</v>
      </c>
      <c r="AJ65" s="34">
        <f>IFERROR(__xludf.DUMMYFUNCTION("GOOGLEFINANCE(B65,""price"")"),72.3)</f>
        <v>72.3</v>
      </c>
      <c r="AK65" s="37">
        <f t="shared" si="88"/>
        <v>0.1499864715</v>
      </c>
      <c r="AL65" s="34">
        <v>66.15</v>
      </c>
      <c r="AM65" s="34">
        <f t="shared" si="16"/>
        <v>61.7086417</v>
      </c>
      <c r="AN65" s="34">
        <f t="shared" si="17"/>
        <v>74.16560202</v>
      </c>
      <c r="AO65" s="38">
        <f>IFERROR(__xludf.DUMMYFUNCTION("(GOOGLEFINANCE(B65, ""price"") - INDEX(GOOGLEFINANCE(B65, ""price"", DATE(2025,5,9)), 2, 2)) / INDEX(GOOGLEFINANCE(B65, ""price"", DATE(2025,5,8)), 2, 2)"),0.09449907805777492)</f>
        <v>0.09449907806</v>
      </c>
      <c r="AP65" s="37">
        <f t="shared" si="18"/>
        <v>0.198956993</v>
      </c>
      <c r="AQ65" s="37">
        <f t="shared" si="19"/>
        <v>0.09297052154</v>
      </c>
      <c r="AR65" s="37">
        <f t="shared" si="20"/>
        <v>0.1059864715</v>
      </c>
      <c r="AS65" s="34">
        <f>IFERROR(__xludf.DUMMYFUNCTION("IF(X65&lt;K65,1,IF(X65&gt;J65,-1,0)) + IF(X65&lt;F65,1,IF(X65&gt;G65,-1,0)) + IF(X65&lt;I65,1,IF(X65&gt;I65,-1,0)) + IF(X65&lt;H65,1,IF(X65&gt;H65,-1,0))"),-1.0)</f>
        <v>-1</v>
      </c>
      <c r="AT65" s="34" t="str">
        <f t="shared" si="85"/>
        <v>Hold</v>
      </c>
      <c r="AU65" s="35" t="str">
        <f t="shared" si="22"/>
        <v>hold</v>
      </c>
      <c r="AV65" s="35" t="str">
        <f t="shared" si="23"/>
        <v>hold</v>
      </c>
      <c r="AW65" s="38">
        <f t="shared" si="24"/>
        <v>0.09697102475</v>
      </c>
      <c r="AX65" s="38">
        <f t="shared" si="25"/>
        <v>0.03366531927</v>
      </c>
      <c r="AY65" s="38">
        <f t="shared" si="26"/>
        <v>0.04396248606</v>
      </c>
      <c r="AZ65" s="42">
        <f t="shared" si="27"/>
        <v>0.09047203906</v>
      </c>
      <c r="BA65" s="38">
        <f t="shared" si="28"/>
        <v>0.7638974337</v>
      </c>
      <c r="BB65" s="38">
        <f t="shared" si="29"/>
        <v>0.2361025663</v>
      </c>
      <c r="BC65" s="38">
        <f t="shared" si="30"/>
        <v>-0.002421533937</v>
      </c>
      <c r="BD65" s="38">
        <f t="shared" si="31"/>
        <v>0.497872617</v>
      </c>
      <c r="BE65" s="38">
        <f t="shared" si="32"/>
        <v>0.502127383</v>
      </c>
      <c r="BF65" s="38">
        <f t="shared" si="33"/>
        <v>0.1551749163</v>
      </c>
      <c r="BG65" s="37">
        <f t="shared" si="34"/>
        <v>0.1045673869</v>
      </c>
      <c r="BH65" s="43">
        <f t="shared" si="35"/>
        <v>0.0742649365</v>
      </c>
      <c r="BI65" s="44">
        <f t="shared" si="36"/>
        <v>0.377634824</v>
      </c>
      <c r="BJ65" s="38">
        <f t="shared" si="37"/>
        <v>0.1527533823</v>
      </c>
      <c r="BK65" s="43">
        <f t="shared" si="38"/>
        <v>0.1385188849</v>
      </c>
      <c r="BL65" s="45">
        <v>194.5</v>
      </c>
      <c r="BM65" s="46">
        <f t="shared" si="39"/>
        <v>0.06147700424</v>
      </c>
      <c r="BN65" s="38">
        <v>0.044</v>
      </c>
      <c r="BO65" s="45">
        <v>281.07</v>
      </c>
      <c r="BP65" s="47">
        <f t="shared" si="40"/>
        <v>0.4126855918</v>
      </c>
      <c r="BQ65" s="45">
        <v>2.17</v>
      </c>
      <c r="BR65" s="47">
        <f t="shared" si="41"/>
        <v>0.1339702288</v>
      </c>
      <c r="BS65" s="38">
        <v>0.116</v>
      </c>
      <c r="BT65" s="47">
        <f t="shared" si="80"/>
        <v>0.4816556914</v>
      </c>
      <c r="BU65" s="45">
        <v>0.4</v>
      </c>
      <c r="BV65" s="47">
        <f t="shared" si="72"/>
        <v>0.9801980198</v>
      </c>
      <c r="BW65" s="48">
        <f t="shared" si="44"/>
        <v>1.292749981</v>
      </c>
      <c r="BX65" s="49">
        <f t="shared" si="45"/>
        <v>0.6810047115</v>
      </c>
      <c r="BY65" s="47">
        <f t="shared" si="46"/>
        <v>0.502127383</v>
      </c>
      <c r="BZ65" s="38">
        <v>-0.07</v>
      </c>
      <c r="CA65" s="50">
        <f t="shared" si="47"/>
        <v>0.002469135802</v>
      </c>
      <c r="CB65" s="38">
        <v>-0.06</v>
      </c>
      <c r="CC65" s="50">
        <f t="shared" si="81"/>
        <v>0.161971831</v>
      </c>
      <c r="CD65" s="38">
        <v>-0.196</v>
      </c>
      <c r="CE65" s="50">
        <f t="shared" si="49"/>
        <v>0.6787261217</v>
      </c>
      <c r="CF65" s="50">
        <f t="shared" si="50"/>
        <v>0.2810556962</v>
      </c>
      <c r="CG65" s="38">
        <v>0.121</v>
      </c>
      <c r="CH65" s="51">
        <f t="shared" si="51"/>
        <v>0.2036108325</v>
      </c>
      <c r="CI65" s="38">
        <v>-0.026</v>
      </c>
      <c r="CJ65" s="51">
        <f t="shared" si="52"/>
        <v>0</v>
      </c>
      <c r="CK65" s="38">
        <v>0.041</v>
      </c>
      <c r="CL65" s="51">
        <f t="shared" si="82"/>
        <v>0.2768595041</v>
      </c>
      <c r="CM65" s="38">
        <v>0.128</v>
      </c>
      <c r="CN65" s="51">
        <f t="shared" si="83"/>
        <v>0.1634182909</v>
      </c>
      <c r="CO65" s="38">
        <v>0.082</v>
      </c>
      <c r="CP65" s="51">
        <f t="shared" si="84"/>
        <v>0.5366242038</v>
      </c>
      <c r="CQ65" s="51">
        <f t="shared" si="56"/>
        <v>0.2361025663</v>
      </c>
      <c r="CR65" s="52">
        <f t="shared" si="57"/>
        <v>0.3397618818</v>
      </c>
      <c r="CS65" s="53">
        <f t="shared" si="68"/>
        <v>0.2854497018</v>
      </c>
      <c r="CT65" s="54">
        <f t="shared" si="59"/>
        <v>0.3228747918</v>
      </c>
      <c r="CU65" s="55">
        <f t="shared" si="60"/>
        <v>0.06172286423</v>
      </c>
      <c r="CV65" s="34">
        <f t="shared" si="61"/>
        <v>1.321160084</v>
      </c>
      <c r="CW65" s="34">
        <f t="shared" si="62"/>
        <v>0.5001709618</v>
      </c>
      <c r="CX65" s="35">
        <f t="shared" si="63"/>
        <v>0.3358234587</v>
      </c>
      <c r="CY65" s="38">
        <f>IFERROR(__xludf.DUMMYFUNCTION("(GOOGLEFINANCE(B65,""price"")/INDEX(GOOGLEFINANCE(B65,""price"",TODAY()-30),2,2))-1"),0.012179756404871789)</f>
        <v>0.0121797564</v>
      </c>
      <c r="CZ65" s="38">
        <f>IFERROR(__xludf.DUMMYFUNCTION("(GOOGLEFINANCE($B65,""price"")/INDEX(GOOGLEFINANCE($B65,""price"",TODAY()-180),2,2))-1"),0.08951175406871603)</f>
        <v>0.08951175407</v>
      </c>
      <c r="DA65" s="38">
        <f>IFERROR(__xludf.DUMMYFUNCTION("(GOOGLEFINANCE($B65,""price"")/INDEX(GOOGLEFINANCE($B65,""price"",TODAY()-365),2,2))-1"),-0.009046052631578871)</f>
        <v>-0.009046052632</v>
      </c>
      <c r="DB65" s="38">
        <f>IFERROR(__xludf.DUMMYFUNCTION("(GOOGLEFINANCE($B65,""price"")/INDEX(GOOGLEFINANCE($B65,""price"",TODAY()-365*5),2,2))-1"),1.127722189523249)</f>
        <v>1.12772219</v>
      </c>
      <c r="DC65" s="38">
        <f>IFERROR(__xludf.DUMMYFUNCTION("(INDEX(GOOGLEFINANCE(B65, ""price"", TODAY()-30, TODAY()), ROWS(GOOGLEFINANCE(B65, ""price"", TODAY()-30, TODAY())), 2) / INDEX(GOOGLEFINANCE(B65, ""price"", TODAY()-30, TODAY()), 2, 2)) - 1"),0.012179756404871789)</f>
        <v>0.0121797564</v>
      </c>
      <c r="DD65" s="38">
        <f>IFERROR(__xludf.DUMMYFUNCTION("(INDEX(GOOGLEFINANCE(B65, ""price"", TODAY()-7, TODAY()), ROWS(GOOGLEFINANCE(B65, ""price"", TODAY()-7, TODAY())), 2) / INDEX(GOOGLEFINANCE(B65, ""price"", TODAY()-7, TODAY()), 2, 2)) - 1"),0.035519908335720496)</f>
        <v>0.03551990834</v>
      </c>
    </row>
    <row r="66">
      <c r="A66" s="34" t="str">
        <f>IFERROR(__xludf.DUMMYFUNCTION("GOOGLEFINANCE(B66,""name"")"),"Skechers USA Inc")</f>
        <v>Skechers USA Inc</v>
      </c>
      <c r="B66" s="35" t="s">
        <v>173</v>
      </c>
      <c r="C66" s="35" t="s">
        <v>119</v>
      </c>
      <c r="D66" s="35" t="s">
        <v>105</v>
      </c>
      <c r="E66" s="67">
        <v>6.0</v>
      </c>
      <c r="F66" s="35">
        <f>IFERROR(__xludf.DUMMYFUNCTION("IFERROR(MIN(INDEX(GOOGLEFINANCE(B66,""close"",TODAY()-100,TODAY()),0,2)) * GOOGLEFINANCE(""CURRENCY:USDEUR""),""Error en datos"")"),38.911778399999996)</f>
        <v>38.9117784</v>
      </c>
      <c r="G66" s="35">
        <f>IFERROR(__xludf.DUMMYFUNCTION("IFERROR(MAX(INDEX(GOOGLEFINANCE(B66,""close"",TODAY()-100,TODAY()),0,2)) * GOOGLEFINANCE(""CURRENCY:USDEUR""),""Error en datos"")"),54.2095488)</f>
        <v>54.2095488</v>
      </c>
      <c r="H66" s="35">
        <f>IFERROR(__xludf.DUMMYFUNCTION("IFERROR(AVERAGE(INDEX(GOOGLEFINANCE(B66,""close"",TODAY()-20,TODAY()),0,2)) * GOOGLEFINANCE(""CURRENCY:USDEUR""),""Error en datos"")"),53.997628215384616)</f>
        <v>53.99762822</v>
      </c>
      <c r="I66" s="35">
        <f>IFERROR(__xludf.DUMMYFUNCTION("IFERROR(PERCENTILE(INDEX(GOOGLEFINANCE(B66,""close"",TODAY()-365,TODAY()),0,2),0.05) * GOOGLEFINANCE(""CURRENCY:USDEUR""),""Error en datos"")"),41.84470664)</f>
        <v>41.84470664</v>
      </c>
      <c r="J66" s="35">
        <f>IFERROR(__xludf.DUMMYFUNCTION("AVERAGE(INDEX(GOOGLEFINANCE(B66,""price"",TODAY()-20,TODAY(),""DAILY""),0,2))+(2*STDEV(INDEX(GOOGLEFINANCE(B66,""price"",TODAY()-20,TODAY(),""DAILY""),0,2)))"),63.49607444839389)</f>
        <v>63.49607445</v>
      </c>
      <c r="K66" s="35">
        <f>IFERROR(__xludf.DUMMYFUNCTION("AVERAGE(INDEX(GOOGLEFINANCE(B66,""price"",TODAY()-20,TODAY(),""DAILY""),0,2))-(2*STDEV(INDEX(GOOGLEFINANCE(B66,""price"",TODAY()-20,TODAY(),""DAILY""),0,2)))"),62.728540936221485)</f>
        <v>62.72854094</v>
      </c>
      <c r="L66" s="35">
        <v>501.0</v>
      </c>
      <c r="M66" s="35">
        <f t="shared" si="1"/>
        <v>0.08601200989</v>
      </c>
      <c r="N66" s="35">
        <v>0.0</v>
      </c>
      <c r="O66" s="35">
        <f t="shared" si="2"/>
        <v>0.4444444444</v>
      </c>
      <c r="P66" s="35">
        <v>2.89</v>
      </c>
      <c r="Q66" s="35">
        <f t="shared" si="3"/>
        <v>0.2057573416</v>
      </c>
      <c r="R66" s="35" t="str">
        <f>IFERROR(__xludf.DUMMYFUNCTION("IF(B66="""", """", SPARKLINE(INDEX(GOOGLEFINANCE(B66, ""price"", TODAY()-1825, TODAY()), 0, 2)))"),"")</f>
        <v/>
      </c>
      <c r="S66" s="35">
        <f t="shared" si="4"/>
        <v>47.82834199</v>
      </c>
      <c r="T66" s="35">
        <f t="shared" si="5"/>
        <v>51.97725791</v>
      </c>
      <c r="U66" s="34" t="str">
        <f t="shared" si="6"/>
        <v>Venta</v>
      </c>
      <c r="V66" s="37">
        <f t="shared" si="7"/>
        <v>0.1298412311</v>
      </c>
      <c r="W66" s="37">
        <f t="shared" si="8"/>
        <v>0.06790790159</v>
      </c>
      <c r="X66" s="34">
        <f>IFERROR(__xludf.DUMMYFUNCTION("AJ66*GOOGLEFINANCE(""CURRENCY:USD/EUR"")"),54.038432799999995)</f>
        <v>54.0384328</v>
      </c>
      <c r="Y66" s="35">
        <f>IFERROR(__xludf.DUMMYFUNCTION("AI66*GOOGLEFINANCE(""CURRENCY:USD/EUR"")"),50.60214716995025)</f>
        <v>50.60214717</v>
      </c>
      <c r="Z66" s="38">
        <f t="shared" si="9"/>
        <v>-0.03814275842</v>
      </c>
      <c r="AA66" s="38">
        <f t="shared" si="10"/>
        <v>-0.06358966114</v>
      </c>
      <c r="AB66" s="38">
        <f t="shared" si="11"/>
        <v>-0.01586343808</v>
      </c>
      <c r="AC66" s="41">
        <v>45.0</v>
      </c>
      <c r="AD66" s="40">
        <f t="shared" si="12"/>
        <v>0.3323770876</v>
      </c>
      <c r="AE66" s="41">
        <v>60.0</v>
      </c>
      <c r="AF66" s="41">
        <f t="shared" si="13"/>
        <v>0.349981888</v>
      </c>
      <c r="AG66" s="41">
        <v>73.0</v>
      </c>
      <c r="AH66" s="41">
        <f t="shared" si="14"/>
        <v>0.3176410244</v>
      </c>
      <c r="AI66" s="41">
        <f t="shared" si="15"/>
        <v>59.143677</v>
      </c>
      <c r="AJ66" s="34">
        <f>IFERROR(__xludf.DUMMYFUNCTION("GOOGLEFINANCE(B66,""price"")"),63.16)</f>
        <v>63.16</v>
      </c>
      <c r="AK66" s="37">
        <f t="shared" si="88"/>
        <v>-0.06532730965</v>
      </c>
      <c r="AL66" s="34">
        <v>61.48</v>
      </c>
      <c r="AM66" s="34">
        <f t="shared" si="16"/>
        <v>42.35043931</v>
      </c>
      <c r="AN66" s="34">
        <f t="shared" si="17"/>
        <v>51.9848994</v>
      </c>
      <c r="AO66" s="38">
        <f>IFERROR(__xludf.DUMMYFUNCTION("(GOOGLEFINANCE(B66, ""price"") - INDEX(GOOGLEFINANCE(B66, ""price"", DATE(2025,5,9)), 2, 2)) / INDEX(GOOGLEFINANCE(B66, ""price"", DATE(2025,5,8)), 2, 2)"),0.02717214448421729)</f>
        <v>0.02717214448</v>
      </c>
      <c r="AP66" s="37">
        <f t="shared" si="18"/>
        <v>-0.03800134999</v>
      </c>
      <c r="AQ66" s="37">
        <f t="shared" si="19"/>
        <v>0.02732595966</v>
      </c>
      <c r="AR66" s="37">
        <f t="shared" si="20"/>
        <v>-0.06532730965</v>
      </c>
      <c r="AS66" s="34">
        <f>IFERROR(__xludf.DUMMYFUNCTION("IF(X66&lt;K66,1,IF(X66&gt;J66,-1,0)) + IF(X66&lt;F66,1,IF(X66&gt;G66,-1,0)) + IF(X66&lt;I66,1,IF(X66&gt;I66,-1,0)) + IF(X66&lt;H66,1,IF(X66&gt;H66,-1,0))"),-1.0)</f>
        <v>-1</v>
      </c>
      <c r="AT66" s="34" t="str">
        <f t="shared" si="85"/>
        <v>venta</v>
      </c>
      <c r="AU66" s="35" t="str">
        <f t="shared" si="22"/>
        <v>venta</v>
      </c>
      <c r="AV66" s="35" t="str">
        <f t="shared" si="23"/>
        <v>venta</v>
      </c>
      <c r="AW66" s="38">
        <f t="shared" si="24"/>
        <v>-0.06358966114</v>
      </c>
      <c r="AX66" s="38">
        <f t="shared" si="25"/>
        <v>-0.06773236021</v>
      </c>
      <c r="AY66" s="38">
        <f t="shared" si="26"/>
        <v>-0.05396157289</v>
      </c>
      <c r="AZ66" s="42">
        <f t="shared" si="27"/>
        <v>-0.02986459367</v>
      </c>
      <c r="BA66" s="38">
        <f t="shared" si="28"/>
        <v>0.700060052</v>
      </c>
      <c r="BB66" s="38">
        <f t="shared" si="29"/>
        <v>0.299939948</v>
      </c>
      <c r="BC66" s="38">
        <f t="shared" si="30"/>
        <v>-0.216290386</v>
      </c>
      <c r="BD66" s="38">
        <f t="shared" si="31"/>
        <v>0.5915997634</v>
      </c>
      <c r="BE66" s="38">
        <f t="shared" si="32"/>
        <v>0.4084002366</v>
      </c>
      <c r="BF66" s="38">
        <f t="shared" si="33"/>
        <v>0.03402791443</v>
      </c>
      <c r="BG66" s="37">
        <f t="shared" si="34"/>
        <v>0.03140204845</v>
      </c>
      <c r="BH66" s="43">
        <f t="shared" si="35"/>
        <v>-0.01127976222</v>
      </c>
      <c r="BI66" s="44">
        <f t="shared" si="36"/>
        <v>0.3045769011</v>
      </c>
      <c r="BJ66" s="38">
        <f t="shared" si="37"/>
        <v>-0.1822624716</v>
      </c>
      <c r="BK66" s="43">
        <f t="shared" si="38"/>
        <v>-0.3259511803</v>
      </c>
      <c r="BL66" s="35">
        <v>9.2</v>
      </c>
      <c r="BM66" s="46">
        <f t="shared" si="39"/>
        <v>0.002868737091</v>
      </c>
      <c r="BN66" s="38">
        <v>0.0</v>
      </c>
      <c r="BO66" s="35">
        <v>9.13</v>
      </c>
      <c r="BP66" s="47">
        <f t="shared" si="40"/>
        <v>0.01332001821</v>
      </c>
      <c r="BQ66" s="35">
        <v>4.16</v>
      </c>
      <c r="BR66" s="47">
        <f t="shared" si="41"/>
        <v>0.1781826261</v>
      </c>
      <c r="BS66" s="38">
        <v>0.095</v>
      </c>
      <c r="BT66" s="47">
        <f t="shared" si="80"/>
        <v>0.4619002822</v>
      </c>
      <c r="BU66" s="35">
        <v>0.4</v>
      </c>
      <c r="BV66" s="47">
        <f t="shared" si="72"/>
        <v>0.9801980198</v>
      </c>
      <c r="BW66" s="48">
        <f t="shared" si="44"/>
        <v>1.403842719</v>
      </c>
      <c r="BX66" s="49">
        <f t="shared" si="45"/>
        <v>0.6204335644</v>
      </c>
      <c r="BY66" s="47">
        <f t="shared" si="46"/>
        <v>0.4084002366</v>
      </c>
      <c r="BZ66" s="38">
        <v>0.107</v>
      </c>
      <c r="CA66" s="50">
        <f t="shared" si="47"/>
        <v>0.1481481481</v>
      </c>
      <c r="CB66" s="38">
        <v>0.031</v>
      </c>
      <c r="CC66" s="50">
        <f t="shared" si="81"/>
        <v>0.1898346601</v>
      </c>
      <c r="CD66" s="38">
        <v>0.096</v>
      </c>
      <c r="CE66" s="50">
        <f t="shared" si="49"/>
        <v>0.6868336295</v>
      </c>
      <c r="CF66" s="50">
        <f t="shared" si="50"/>
        <v>0.3416054793</v>
      </c>
      <c r="CG66" s="38">
        <v>0.175</v>
      </c>
      <c r="CH66" s="51">
        <f t="shared" si="51"/>
        <v>0.2306920762</v>
      </c>
      <c r="CI66" s="38">
        <v>0.119</v>
      </c>
      <c r="CJ66" s="51">
        <f t="shared" si="52"/>
        <v>0.1847133758</v>
      </c>
      <c r="CK66" s="38">
        <v>0.158</v>
      </c>
      <c r="CL66" s="51">
        <f t="shared" si="82"/>
        <v>0.373553719</v>
      </c>
      <c r="CM66" s="38">
        <v>0.151</v>
      </c>
      <c r="CN66" s="51">
        <f t="shared" si="83"/>
        <v>0.1749125437</v>
      </c>
      <c r="CO66" s="38">
        <v>0.081</v>
      </c>
      <c r="CP66" s="51">
        <f t="shared" si="84"/>
        <v>0.5358280255</v>
      </c>
      <c r="CQ66" s="51">
        <f t="shared" si="56"/>
        <v>0.299939948</v>
      </c>
      <c r="CR66" s="52">
        <f t="shared" si="57"/>
        <v>0.349981888</v>
      </c>
      <c r="CS66" s="53">
        <f t="shared" si="68"/>
        <v>0.2055564515</v>
      </c>
      <c r="CT66" s="54">
        <f t="shared" si="59"/>
        <v>0.2494656804</v>
      </c>
      <c r="CU66" s="55">
        <f t="shared" si="60"/>
        <v>-0.05937550939</v>
      </c>
      <c r="CV66" s="34">
        <f t="shared" si="61"/>
        <v>5.573314434</v>
      </c>
      <c r="CW66" s="34">
        <f t="shared" si="62"/>
        <v>1.568319552</v>
      </c>
      <c r="CX66" s="35">
        <f t="shared" si="63"/>
        <v>0.325100893</v>
      </c>
      <c r="CY66" s="38">
        <f>IFERROR(__xludf.DUMMYFUNCTION("(GOOGLEFINANCE(B66,""price"")/INDEX(GOOGLEFINANCE(B66,""price"",TODAY()-30),2,2))-1"),0.010075163921317687)</f>
        <v>0.01007516392</v>
      </c>
      <c r="CZ66" s="38">
        <f>IFERROR(__xludf.DUMMYFUNCTION("(GOOGLEFINANCE($B66,""price"")/INDEX(GOOGLEFINANCE($B66,""price"",TODAY()-180),2,2))-1"),-0.09213741555268073)</f>
        <v>-0.09213741555</v>
      </c>
      <c r="DA66" s="38">
        <f>IFERROR(__xludf.DUMMYFUNCTION("(GOOGLEFINANCE($B66,""price"")/INDEX(GOOGLEFINANCE($B66,""price"",TODAY()-365),2,2))-1"),-0.0443334846421547)</f>
        <v>-0.04433348464</v>
      </c>
      <c r="DB66" s="38">
        <f>IFERROR(__xludf.DUMMYFUNCTION("(GOOGLEFINANCE($B66,""price"")/INDEX(GOOGLEFINANCE($B66,""price"",TODAY()-365*5),2,2))-1"),1.129467296021578)</f>
        <v>1.129467296</v>
      </c>
      <c r="DC66" s="38">
        <f>IFERROR(__xludf.DUMMYFUNCTION("(INDEX(GOOGLEFINANCE(B66, ""price"", TODAY()-30, TODAY()), ROWS(GOOGLEFINANCE(B66, ""price"", TODAY()-30, TODAY())), 2) / INDEX(GOOGLEFINANCE(B66, ""price"", TODAY()-30, TODAY()), 2, 2)) - 1"),0.010075163921317687)</f>
        <v>0.01007516392</v>
      </c>
      <c r="DD66" s="38">
        <f>IFERROR(__xludf.DUMMYFUNCTION("(INDEX(GOOGLEFINANCE(B66, ""price"", TODAY()-7, TODAY()), ROWS(GOOGLEFINANCE(B66, ""price"", TODAY()-7, TODAY())), 2) / INDEX(GOOGLEFINANCE(B66, ""price"", TODAY()-7, TODAY()), 2, 2)) - 1"),-0.0031565656565657463)</f>
        <v>-0.003156565657</v>
      </c>
    </row>
    <row r="67">
      <c r="A67" s="34" t="str">
        <f>IFERROR(__xludf.DUMMYFUNCTION("GOOGLEFINANCE(B67,""name"")"),"Snowflake Inc")</f>
        <v>Snowflake Inc</v>
      </c>
      <c r="B67" s="45" t="s">
        <v>174</v>
      </c>
      <c r="C67" s="45" t="s">
        <v>90</v>
      </c>
      <c r="D67" s="35" t="s">
        <v>105</v>
      </c>
      <c r="E67" s="64">
        <v>4.0</v>
      </c>
      <c r="F67" s="35">
        <f>IFERROR(__xludf.DUMMYFUNCTION("IFERROR(MIN(INDEX(GOOGLEFINANCE(B67,""close"",TODAY()-100,TODAY()),0,2)) * GOOGLEFINANCE(""CURRENCY:USDEUR""),""Error en datos"")"),112.1152032)</f>
        <v>112.1152032</v>
      </c>
      <c r="G67" s="35">
        <f>IFERROR(__xludf.DUMMYFUNCTION("IFERROR(MAX(INDEX(GOOGLEFINANCE(B67,""close"",TODAY()-100,TODAY()),0,2)) * GOOGLEFINANCE(""CURRENCY:USDEUR""),""Error en datos"")"),193.1814082)</f>
        <v>193.1814082</v>
      </c>
      <c r="H67" s="35">
        <f>IFERROR(__xludf.DUMMYFUNCTION("IFERROR(AVERAGE(INDEX(GOOGLEFINANCE(B67,""close"",TODAY()-20,TODAY()),0,2)) * GOOGLEFINANCE(""CURRENCY:USDEUR""),""Error en datos"")"),188.90707311666665)</f>
        <v>188.9070731</v>
      </c>
      <c r="I67" s="35">
        <f>IFERROR(__xludf.DUMMYFUNCTION("IFERROR(PERCENTILE(INDEX(GOOGLEFINANCE(B67,""close"",TODAY()-365,TODAY()),0,2),0.05) * GOOGLEFINANCE(""CURRENCY:USDEUR""),""Error en datos"")"),95.68592825)</f>
        <v>95.68592825</v>
      </c>
      <c r="J67" s="35">
        <f>IFERROR(__xludf.DUMMYFUNCTION("AVERAGE(INDEX(GOOGLEFINANCE(B67,""price"",TODAY()-20,TODAY(),""DAILY""),0,2))+(2*STDEV(INDEX(GOOGLEFINANCE(B67,""price"",TODAY()-20,TODAY(),""DAILY""),0,2)))"),229.7737736972801)</f>
        <v>229.7737737</v>
      </c>
      <c r="K67" s="35">
        <f>IFERROR(__xludf.DUMMYFUNCTION("AVERAGE(INDEX(GOOGLEFINANCE(B67,""price"",TODAY()-20,TODAY(),""DAILY""),0,2))-(2*STDEV(INDEX(GOOGLEFINANCE(B67,""price"",TODAY()-20,TODAY(),""DAILY""),0,2)))"),211.81455963605322)</f>
        <v>211.8145596</v>
      </c>
      <c r="L67" s="45">
        <v>1086.0</v>
      </c>
      <c r="M67" s="35">
        <f t="shared" si="1"/>
        <v>0.1893323914</v>
      </c>
      <c r="N67" s="45">
        <v>-18.75</v>
      </c>
      <c r="O67" s="35">
        <f t="shared" si="2"/>
        <v>0.3611111111</v>
      </c>
      <c r="P67" s="45">
        <v>9.29</v>
      </c>
      <c r="Q67" s="35">
        <f t="shared" si="3"/>
        <v>0.3294049459</v>
      </c>
      <c r="R67" s="35" t="str">
        <f>IFERROR(__xludf.DUMMYFUNCTION("IF(B67="""", """", SPARKLINE(INDEX(GOOGLEFINANCE(B67, ""price"", TODAY()-1825, TODAY()), 0, 2)))"),"")</f>
        <v/>
      </c>
      <c r="S67" s="35">
        <f t="shared" si="4"/>
        <v>139.871897</v>
      </c>
      <c r="T67" s="35">
        <f t="shared" si="5"/>
        <v>196.0552352</v>
      </c>
      <c r="U67" s="34" t="str">
        <f t="shared" si="6"/>
        <v/>
      </c>
      <c r="V67" s="37">
        <f t="shared" si="7"/>
        <v>0.2896835678</v>
      </c>
      <c r="W67" s="37">
        <f t="shared" si="8"/>
        <v>-0.06519265693</v>
      </c>
      <c r="X67" s="34">
        <f>IFERROR(__xludf.DUMMYFUNCTION("AJ67*GOOGLEFINANCE(""CURRENCY:USD/EUR"")"),180.3904872)</f>
        <v>180.3904872</v>
      </c>
      <c r="Y67" s="35">
        <f>IFERROR(__xludf.DUMMYFUNCTION("AI67*GOOGLEFINANCE(""CURRENCY:USD/EUR"")"),192.9707640159995)</f>
        <v>192.970764</v>
      </c>
      <c r="Z67" s="38">
        <f t="shared" si="9"/>
        <v>0.08683799359</v>
      </c>
      <c r="AA67" s="38">
        <f t="shared" si="10"/>
        <v>0.06973913653</v>
      </c>
      <c r="AB67" s="38">
        <f t="shared" si="11"/>
        <v>0.01800389294</v>
      </c>
      <c r="AC67" s="41">
        <v>182.0</v>
      </c>
      <c r="AD67" s="40">
        <f t="shared" si="12"/>
        <v>0.3272215844</v>
      </c>
      <c r="AE67" s="41">
        <v>230.0</v>
      </c>
      <c r="AF67" s="41">
        <f t="shared" si="13"/>
        <v>0.3212023032</v>
      </c>
      <c r="AG67" s="41">
        <v>262.0</v>
      </c>
      <c r="AH67" s="41">
        <f t="shared" si="14"/>
        <v>0.3515761124</v>
      </c>
      <c r="AI67" s="41">
        <f t="shared" si="15"/>
        <v>225.5437995</v>
      </c>
      <c r="AJ67" s="34">
        <f>IFERROR(__xludf.DUMMYFUNCTION("GOOGLEFINANCE(B67,""price"")"),210.84)</f>
        <v>210.84</v>
      </c>
      <c r="AK67" s="37">
        <f t="shared" si="88"/>
        <v>0.08443665755</v>
      </c>
      <c r="AL67" s="34">
        <v>174.14</v>
      </c>
      <c r="AM67" s="34">
        <f t="shared" si="16"/>
        <v>167.9034003</v>
      </c>
      <c r="AN67" s="34">
        <f t="shared" si="17"/>
        <v>233.639347</v>
      </c>
      <c r="AO67" s="38">
        <f>IFERROR(__xludf.DUMMYFUNCTION("(GOOGLEFINANCE(B67, ""price"") - INDEX(GOOGLEFINANCE(B67, ""price"", DATE(2025,5,9)), 2, 2)) / INDEX(GOOGLEFINANCE(B67, ""price"", DATE(2025,5,8)), 2, 2)"),0.21095591193884014)</f>
        <v>0.2109559119</v>
      </c>
      <c r="AP67" s="37">
        <f t="shared" si="18"/>
        <v>0.2951866288</v>
      </c>
      <c r="AQ67" s="37">
        <f t="shared" si="19"/>
        <v>0.2107499713</v>
      </c>
      <c r="AR67" s="37">
        <f t="shared" si="20"/>
        <v>0.08443665755</v>
      </c>
      <c r="AS67" s="34">
        <f>IFERROR(__xludf.DUMMYFUNCTION("IF(X67&lt;K67,1,IF(X67&gt;J67,-1,0)) + IF(X67&lt;F67,1,IF(X67&gt;G67,-1,0)) + IF(X67&lt;I67,1,IF(X67&gt;I67,-1,0)) + IF(X67&lt;H67,1,IF(X67&gt;H67,-1,0))"),1.0)</f>
        <v>1</v>
      </c>
      <c r="AT67" s="34" t="str">
        <f t="shared" si="85"/>
        <v>Hold</v>
      </c>
      <c r="AU67" s="35" t="str">
        <f t="shared" si="22"/>
        <v>hold</v>
      </c>
      <c r="AV67" s="35" t="str">
        <f t="shared" si="23"/>
        <v>hold</v>
      </c>
      <c r="AW67" s="38">
        <f t="shared" si="24"/>
        <v>0.06973913653</v>
      </c>
      <c r="AX67" s="38">
        <f t="shared" si="25"/>
        <v>0.3028897218</v>
      </c>
      <c r="AY67" s="38">
        <f t="shared" si="26"/>
        <v>0.3232333134</v>
      </c>
      <c r="AZ67" s="42">
        <f t="shared" si="27"/>
        <v>0.05668093797</v>
      </c>
      <c r="BA67" s="38">
        <f t="shared" si="28"/>
        <v>0.7032266528</v>
      </c>
      <c r="BB67" s="38">
        <f t="shared" si="29"/>
        <v>0.2967733472</v>
      </c>
      <c r="BC67" s="38">
        <f t="shared" si="30"/>
        <v>-0.06922253526</v>
      </c>
      <c r="BD67" s="38">
        <f t="shared" si="31"/>
        <v>0.7598279064</v>
      </c>
      <c r="BE67" s="38">
        <f t="shared" si="32"/>
        <v>0.2401720936</v>
      </c>
      <c r="BF67" s="38">
        <f t="shared" si="33"/>
        <v>0.1273264418</v>
      </c>
      <c r="BG67" s="37">
        <f t="shared" si="34"/>
        <v>0.08430992266</v>
      </c>
      <c r="BH67" s="43">
        <f t="shared" si="35"/>
        <v>0.203771618</v>
      </c>
      <c r="BI67" s="44">
        <f t="shared" si="36"/>
        <v>0.4020846048</v>
      </c>
      <c r="BJ67" s="38">
        <f t="shared" si="37"/>
        <v>0.05810390656</v>
      </c>
      <c r="BK67" s="43">
        <f t="shared" si="38"/>
        <v>0.5919416126</v>
      </c>
      <c r="BL67" s="45">
        <v>58.1</v>
      </c>
      <c r="BM67" s="46">
        <f t="shared" si="39"/>
        <v>0.01833524688</v>
      </c>
      <c r="BN67" s="45">
        <v>0.0</v>
      </c>
      <c r="BO67" s="45">
        <v>3.63</v>
      </c>
      <c r="BP67" s="47">
        <f t="shared" si="40"/>
        <v>0.005242829659</v>
      </c>
      <c r="BQ67" s="45">
        <v>-3.86</v>
      </c>
      <c r="BR67" s="47">
        <f t="shared" si="41"/>
        <v>0</v>
      </c>
      <c r="BS67" s="38">
        <v>-0.396</v>
      </c>
      <c r="BT67" s="47">
        <f t="shared" si="80"/>
        <v>0</v>
      </c>
      <c r="BU67" s="45">
        <v>0.9</v>
      </c>
      <c r="BV67" s="47">
        <f t="shared" si="72"/>
        <v>0.9554455446</v>
      </c>
      <c r="BW67" s="48">
        <f t="shared" si="44"/>
        <v>0.9048243769</v>
      </c>
      <c r="BX67" s="49">
        <f t="shared" si="45"/>
        <v>0.6003975916</v>
      </c>
      <c r="BY67" s="47">
        <f t="shared" si="46"/>
        <v>0.2401720936</v>
      </c>
      <c r="BZ67" s="38">
        <v>0.292</v>
      </c>
      <c r="CA67" s="50">
        <f t="shared" si="47"/>
        <v>0.3004115226</v>
      </c>
      <c r="CB67" s="38">
        <v>0.329</v>
      </c>
      <c r="CC67" s="50">
        <f t="shared" si="81"/>
        <v>0.281077771</v>
      </c>
      <c r="CD67" s="38">
        <v>0.516</v>
      </c>
      <c r="CE67" s="50">
        <f t="shared" si="49"/>
        <v>0.6984951133</v>
      </c>
      <c r="CF67" s="50">
        <f t="shared" si="50"/>
        <v>0.426661469</v>
      </c>
      <c r="CG67" s="38">
        <v>-0.13</v>
      </c>
      <c r="CH67" s="51">
        <f t="shared" si="51"/>
        <v>0.0777331996</v>
      </c>
      <c r="CI67" s="38">
        <v>0.688</v>
      </c>
      <c r="CJ67" s="51">
        <f t="shared" si="52"/>
        <v>0.9095541401</v>
      </c>
      <c r="CK67" s="38">
        <v>0.299</v>
      </c>
      <c r="CL67" s="51">
        <f t="shared" si="82"/>
        <v>0.4900826446</v>
      </c>
      <c r="CM67" s="38">
        <v>-0.186</v>
      </c>
      <c r="CN67" s="51">
        <f t="shared" si="83"/>
        <v>0.006496751624</v>
      </c>
      <c r="CO67" s="38">
        <v>-0.592</v>
      </c>
      <c r="CP67" s="51">
        <f t="shared" si="84"/>
        <v>0</v>
      </c>
      <c r="CQ67" s="51">
        <f t="shared" si="56"/>
        <v>0.2967733472</v>
      </c>
      <c r="CR67" s="52">
        <f t="shared" si="57"/>
        <v>0.3212023032</v>
      </c>
      <c r="CS67" s="53">
        <f t="shared" si="68"/>
        <v>0.2672952099</v>
      </c>
      <c r="CT67" s="54">
        <f t="shared" si="59"/>
        <v>0.258160537</v>
      </c>
      <c r="CU67" s="55">
        <f t="shared" si="60"/>
        <v>0.03491931095</v>
      </c>
      <c r="CV67" s="34">
        <f t="shared" si="61"/>
        <v>1.633403576</v>
      </c>
      <c r="CW67" s="34">
        <f t="shared" si="62"/>
        <v>0.5689520456</v>
      </c>
      <c r="CX67" s="35">
        <f t="shared" si="63"/>
        <v>0.3452580285</v>
      </c>
      <c r="CY67" s="38">
        <f>IFERROR(__xludf.DUMMYFUNCTION("(GOOGLEFINANCE(B67,""price"")/INDEX(GOOGLEFINANCE(B67,""price"",TODAY()-30),2,2))-1"),0.008224942616679387)</f>
        <v>0.008224942617</v>
      </c>
      <c r="CZ67" s="38">
        <f>IFERROR(__xludf.DUMMYFUNCTION("(GOOGLEFINANCE($B67,""price"")/INDEX(GOOGLEFINANCE($B67,""price"",TODAY()-180),2,2))-1"),0.2723432502564722)</f>
        <v>0.2723432503</v>
      </c>
      <c r="DA67" s="38">
        <f>IFERROR(__xludf.DUMMYFUNCTION("(GOOGLEFINANCE($B67,""price"")/INDEX(GOOGLEFINANCE($B67,""price"",TODAY()-365),2,2))-1"),0.5767274902781934)</f>
        <v>0.5767274903</v>
      </c>
      <c r="DB67" s="38" t="str">
        <f>IFERROR(__xludf.DUMMYFUNCTION("(GOOGLEFINANCE($B67,""price"")/INDEX(GOOGLEFINANCE($B67,""price"",TODAY()-365*5),2,2))-1"),"#N/A")</f>
        <v>#N/A</v>
      </c>
      <c r="DC67" s="38">
        <f>IFERROR(__xludf.DUMMYFUNCTION("(INDEX(GOOGLEFINANCE(B67, ""price"", TODAY()-30, TODAY()), ROWS(GOOGLEFINANCE(B67, ""price"", TODAY()-30, TODAY())), 2) / INDEX(GOOGLEFINANCE(B67, ""price"", TODAY()-30, TODAY()), 2, 2)) - 1"),0.008224942616679387)</f>
        <v>0.008224942617</v>
      </c>
      <c r="DD67" s="38">
        <f>IFERROR(__xludf.DUMMYFUNCTION("(INDEX(GOOGLEFINANCE(B67, ""price"", TODAY()-7, TODAY()), ROWS(GOOGLEFINANCE(B67, ""price"", TODAY()-7, TODAY())), 2) / INDEX(GOOGLEFINANCE(B67, ""price"", TODAY()-7, TODAY()), 2, 2)) - 1"),-0.06621196687187203)</f>
        <v>-0.06621196687</v>
      </c>
    </row>
    <row r="68">
      <c r="A68" s="34" t="str">
        <f>IFERROR(__xludf.DUMMYFUNCTION("GOOGLEFINANCE(B68,""name"")"),"Synopsys Inc")</f>
        <v>Synopsys Inc</v>
      </c>
      <c r="B68" s="35" t="s">
        <v>175</v>
      </c>
      <c r="C68" s="35" t="s">
        <v>90</v>
      </c>
      <c r="D68" s="35" t="s">
        <v>94</v>
      </c>
      <c r="E68" s="56">
        <v>2.0</v>
      </c>
      <c r="F68" s="35">
        <f>IFERROR(__xludf.DUMMYFUNCTION("IFERROR(MIN(INDEX(GOOGLEFINANCE(B68,""close"",TODAY()-100,TODAY()),0,2)) * GOOGLEFINANCE(""CURRENCY:USDEUR""),""Error en datos"")"),325.890422)</f>
        <v>325.890422</v>
      </c>
      <c r="G68" s="35">
        <f>IFERROR(__xludf.DUMMYFUNCTION("IFERROR(MAX(INDEX(GOOGLEFINANCE(B68,""close"",TODAY()-100,TODAY()),0,2)) * GOOGLEFINANCE(""CURRENCY:USDEUR""),""Error en datos"")"),484.42084020000004)</f>
        <v>484.4208402</v>
      </c>
      <c r="H68" s="35">
        <f>IFERROR(__xludf.DUMMYFUNCTION("IFERROR(AVERAGE(INDEX(GOOGLEFINANCE(B68,""close"",TODAY()-20,TODAY()),0,2)) * GOOGLEFINANCE(""CURRENCY:USDEUR""),""Error en datos"")"),449.86001516923073)</f>
        <v>449.8600152</v>
      </c>
      <c r="I68" s="35">
        <f>IFERROR(__xludf.DUMMYFUNCTION("IFERROR(PERCENTILE(INDEX(GOOGLEFINANCE(B68,""close"",TODAY()-365,TODAY()),0,2),0.05) * GOOGLEFINANCE(""CURRENCY:USDEUR""),""Error en datos"")"),365.18036676)</f>
        <v>365.1803668</v>
      </c>
      <c r="J68" s="35">
        <f>IFERROR(__xludf.DUMMYFUNCTION("AVERAGE(INDEX(GOOGLEFINANCE(B68,""price"",TODAY()-20,TODAY(),""DAILY""),0,2))+(2*STDEV(INDEX(GOOGLEFINANCE(B68,""price"",TODAY()-20,TODAY(),""DAILY""),0,2)))"),583.5362249368213)</f>
        <v>583.5362249</v>
      </c>
      <c r="K68" s="35">
        <f>IFERROR(__xludf.DUMMYFUNCTION("AVERAGE(INDEX(GOOGLEFINANCE(B68,""price"",TODAY()-20,TODAY(),""DAILY""),0,2))-(2*STDEV(INDEX(GOOGLEFINANCE(B68,""price"",TODAY()-20,TODAY(),""DAILY""),0,2)))"),468.05454429394786)</f>
        <v>468.0545443</v>
      </c>
      <c r="L68" s="35">
        <v>1259.0</v>
      </c>
      <c r="M68" s="35">
        <f t="shared" si="1"/>
        <v>0.2198869657</v>
      </c>
      <c r="N68" s="35">
        <v>-30.0</v>
      </c>
      <c r="O68" s="35">
        <f t="shared" si="2"/>
        <v>0.3111111111</v>
      </c>
      <c r="P68" s="35">
        <v>2.12</v>
      </c>
      <c r="Q68" s="35">
        <f t="shared" si="3"/>
        <v>0.1908809892</v>
      </c>
      <c r="R68" s="35" t="str">
        <f>IFERROR(__xludf.DUMMYFUNCTION("IF(B68="""", """", SPARKLINE(INDEX(GOOGLEFINANCE(B68, ""price"", TODAY()-1825, TODAY()), 0, 2)))"),"")</f>
        <v/>
      </c>
      <c r="S68" s="35">
        <f t="shared" si="4"/>
        <v>386.375111</v>
      </c>
      <c r="T68" s="35">
        <f t="shared" si="5"/>
        <v>515.3548945</v>
      </c>
      <c r="U68" s="34" t="str">
        <f t="shared" si="6"/>
        <v/>
      </c>
      <c r="V68" s="37">
        <f t="shared" si="7"/>
        <v>0.2384565381</v>
      </c>
      <c r="W68" s="37">
        <f t="shared" si="8"/>
        <v>-0.06473696558</v>
      </c>
      <c r="X68" s="34">
        <f>IFERROR(__xludf.DUMMYFUNCTION("AJ68*GOOGLEFINANCE(""CURRENCY:USD/EUR"")"),478.5087824)</f>
        <v>478.5087824</v>
      </c>
      <c r="Y68" s="35">
        <f>IFERROR(__xludf.DUMMYFUNCTION("AI68*GOOGLEFINANCE(""CURRENCY:USD/EUR"")"),511.63016690468027)</f>
        <v>511.6301669</v>
      </c>
      <c r="Z68" s="38">
        <f t="shared" si="9"/>
        <v>0.07700195581</v>
      </c>
      <c r="AA68" s="38">
        <f t="shared" si="10"/>
        <v>0.06921792394</v>
      </c>
      <c r="AB68" s="38">
        <f t="shared" si="11"/>
        <v>0.02574733653</v>
      </c>
      <c r="AC68" s="41">
        <v>520.0</v>
      </c>
      <c r="AD68" s="40">
        <f t="shared" si="12"/>
        <v>0.3255136262</v>
      </c>
      <c r="AE68" s="41">
        <v>599.0</v>
      </c>
      <c r="AF68" s="41">
        <f t="shared" si="13"/>
        <v>0.3871866415</v>
      </c>
      <c r="AG68" s="41">
        <v>685.0</v>
      </c>
      <c r="AH68" s="41">
        <f t="shared" si="14"/>
        <v>0.2872997323</v>
      </c>
      <c r="AI68" s="41">
        <f t="shared" si="15"/>
        <v>597.9922005</v>
      </c>
      <c r="AJ68" s="34">
        <f>IFERROR(__xludf.DUMMYFUNCTION("GOOGLEFINANCE(B68,""price"")"),559.28)</f>
        <v>559.28</v>
      </c>
      <c r="AK68" s="37">
        <f>AP68+BN68</f>
        <v>0.2444171151</v>
      </c>
      <c r="AL68" s="34">
        <v>480.54</v>
      </c>
      <c r="AM68" s="34">
        <f t="shared" si="16"/>
        <v>468.2363222</v>
      </c>
      <c r="AN68" s="34">
        <f t="shared" si="17"/>
        <v>595.4645186</v>
      </c>
      <c r="AO68" s="38">
        <f>IFERROR(__xludf.DUMMYFUNCTION("(GOOGLEFINANCE(B68, ""price"") - INDEX(GOOGLEFINANCE(B68, ""price"", DATE(2025,5,8)), 2, 2)) / INDEX(GOOGLEFINANCE(B68, ""price"", DATE(2025,5,8)), 2, 2)"),0.15434468524251801)</f>
        <v>0.1543446852</v>
      </c>
      <c r="AP68" s="37">
        <f t="shared" si="18"/>
        <v>0.2444171151</v>
      </c>
      <c r="AQ68" s="37">
        <f t="shared" si="19"/>
        <v>0.1638573272</v>
      </c>
      <c r="AR68" s="37">
        <f t="shared" si="20"/>
        <v>0.08055978795</v>
      </c>
      <c r="AS68" s="34">
        <f>IFERROR(__xludf.DUMMYFUNCTION("IF(X68&lt;K68,1,IF(X68&gt;J68,-1,0)) + IF(X68&lt;F68,1,IF(X68&gt;G68,-1,0)) + IF(X68&lt;I68,1,IF(X68&gt;I68,-1,0)) + IF(X68&lt;H68,1,IF(X68&gt;H68,-1,0))"),-2.0)</f>
        <v>-2</v>
      </c>
      <c r="AT68" s="34" t="str">
        <f t="shared" si="85"/>
        <v>Hold</v>
      </c>
      <c r="AU68" s="35" t="str">
        <f t="shared" si="22"/>
        <v>hold</v>
      </c>
      <c r="AV68" s="35" t="str">
        <f t="shared" si="23"/>
        <v>venta</v>
      </c>
      <c r="AW68" s="38">
        <f t="shared" si="24"/>
        <v>0.06921792394</v>
      </c>
      <c r="AX68" s="38">
        <f t="shared" si="25"/>
        <v>-0.01484988257</v>
      </c>
      <c r="AY68" s="38">
        <f t="shared" si="26"/>
        <v>-0.01143736845</v>
      </c>
      <c r="AZ68" s="42">
        <f t="shared" si="27"/>
        <v>0.1334982096</v>
      </c>
      <c r="BA68" s="38">
        <f t="shared" si="28"/>
        <v>0.6547649198</v>
      </c>
      <c r="BB68" s="38">
        <f t="shared" si="29"/>
        <v>0.3452350802</v>
      </c>
      <c r="BC68" s="38">
        <f t="shared" si="30"/>
        <v>-0.02146765245</v>
      </c>
      <c r="BD68" s="38">
        <f t="shared" si="31"/>
        <v>0.5107369062</v>
      </c>
      <c r="BE68" s="38">
        <f t="shared" si="32"/>
        <v>0.4892630938</v>
      </c>
      <c r="BF68" s="38">
        <f t="shared" si="33"/>
        <v>0.1462534438</v>
      </c>
      <c r="BG68" s="37">
        <f t="shared" si="34"/>
        <v>0.2046035235</v>
      </c>
      <c r="BH68" s="43">
        <f t="shared" si="35"/>
        <v>0.09658307753</v>
      </c>
      <c r="BI68" s="44">
        <f t="shared" si="36"/>
        <v>0.4300663676</v>
      </c>
      <c r="BJ68" s="38">
        <f t="shared" si="37"/>
        <v>0.1247857914</v>
      </c>
      <c r="BK68" s="43">
        <f t="shared" si="38"/>
        <v>0.1308568018</v>
      </c>
      <c r="BL68" s="59">
        <v>74.3</v>
      </c>
      <c r="BM68" s="46">
        <f t="shared" si="39"/>
        <v>0.02345912129</v>
      </c>
      <c r="BN68" s="38">
        <v>0.0</v>
      </c>
      <c r="BO68" s="59">
        <v>6.07</v>
      </c>
      <c r="BP68" s="47">
        <f t="shared" si="40"/>
        <v>0.008826164217</v>
      </c>
      <c r="BQ68" s="59">
        <v>13.51</v>
      </c>
      <c r="BR68" s="47">
        <f t="shared" si="41"/>
        <v>0.3859142413</v>
      </c>
      <c r="BS68" s="60">
        <v>0.207</v>
      </c>
      <c r="BT68" s="47">
        <f t="shared" si="80"/>
        <v>0.5672624647</v>
      </c>
      <c r="BU68" s="59">
        <v>0.1</v>
      </c>
      <c r="BV68" s="47">
        <f t="shared" si="72"/>
        <v>0.995049505</v>
      </c>
      <c r="BW68" s="48">
        <f t="shared" si="44"/>
        <v>1.461670914</v>
      </c>
      <c r="BX68" s="49">
        <f t="shared" si="45"/>
        <v>0.7635496576</v>
      </c>
      <c r="BY68" s="47">
        <f t="shared" si="46"/>
        <v>0.4892630938</v>
      </c>
      <c r="BZ68" s="60">
        <v>0.085</v>
      </c>
      <c r="CA68" s="50">
        <f t="shared" si="47"/>
        <v>0.1300411523</v>
      </c>
      <c r="CB68" s="60">
        <v>-0.088</v>
      </c>
      <c r="CC68" s="50">
        <f t="shared" si="81"/>
        <v>0.1533986528</v>
      </c>
      <c r="CD68" s="60">
        <v>0.489</v>
      </c>
      <c r="CE68" s="50">
        <f t="shared" si="49"/>
        <v>0.6977454465</v>
      </c>
      <c r="CF68" s="50">
        <f t="shared" si="50"/>
        <v>0.3270617505</v>
      </c>
      <c r="CG68" s="60">
        <v>0.341</v>
      </c>
      <c r="CH68" s="51">
        <f t="shared" si="51"/>
        <v>0.3139418255</v>
      </c>
      <c r="CI68" s="60">
        <v>0.125</v>
      </c>
      <c r="CJ68" s="51">
        <f t="shared" si="52"/>
        <v>0.1923566879</v>
      </c>
      <c r="CK68" s="60">
        <v>0.169</v>
      </c>
      <c r="CL68" s="51">
        <f t="shared" si="82"/>
        <v>0.3826446281</v>
      </c>
      <c r="CM68" s="60">
        <v>0.197</v>
      </c>
      <c r="CN68" s="51">
        <f t="shared" si="83"/>
        <v>0.1979010495</v>
      </c>
      <c r="CO68" s="60">
        <v>0.211</v>
      </c>
      <c r="CP68" s="51">
        <f t="shared" si="84"/>
        <v>0.6393312102</v>
      </c>
      <c r="CQ68" s="51">
        <f t="shared" si="56"/>
        <v>0.3452350802</v>
      </c>
      <c r="CR68" s="52">
        <f t="shared" si="57"/>
        <v>0.3871866415</v>
      </c>
      <c r="CS68" s="53">
        <f t="shared" si="68"/>
        <v>0.2354415079</v>
      </c>
      <c r="CT68" s="54">
        <f t="shared" si="59"/>
        <v>0.3719749895</v>
      </c>
      <c r="CU68" s="55">
        <f t="shared" si="60"/>
        <v>0.08280560353</v>
      </c>
      <c r="CV68" s="34">
        <f t="shared" si="61"/>
        <v>0.4480313461</v>
      </c>
      <c r="CW68" s="34">
        <f t="shared" si="62"/>
        <v>0.3056011573</v>
      </c>
      <c r="CX68" s="35">
        <f t="shared" si="63"/>
        <v>0.2509960501</v>
      </c>
      <c r="CY68" s="38">
        <f>IFERROR(__xludf.DUMMYFUNCTION("(GOOGLEFINANCE(B68,""price"")/INDEX(GOOGLEFINANCE(B68,""price"",TODAY()-30),2,2))-1"),0.16660061325379094)</f>
        <v>0.1666006133</v>
      </c>
      <c r="CZ68" s="38">
        <f>IFERROR(__xludf.DUMMYFUNCTION("(GOOGLEFINANCE($B68,""price"")/INDEX(GOOGLEFINANCE($B68,""price"",TODAY()-180),2,2))-1"),0.10270312900490941)</f>
        <v>0.102703129</v>
      </c>
      <c r="DA68" s="38">
        <f>IFERROR(__xludf.DUMMYFUNCTION("(GOOGLEFINANCE($B68,""price"")/INDEX(GOOGLEFINANCE($B68,""price"",TODAY()-365),2,2))-1"),-0.09209266083342804)</f>
        <v>-0.09209266083</v>
      </c>
      <c r="DB68" s="38">
        <f>IFERROR(__xludf.DUMMYFUNCTION("(GOOGLEFINANCE($B68,""price"")/INDEX(GOOGLEFINANCE($B68,""price"",TODAY()-365*5),2,2))-1"),1.8776948803704654)</f>
        <v>1.87769488</v>
      </c>
      <c r="DC68" s="38">
        <f>IFERROR(__xludf.DUMMYFUNCTION("(INDEX(GOOGLEFINANCE(B68, ""price"", TODAY()-30, TODAY()), ROWS(GOOGLEFINANCE(B68, ""price"", TODAY()-30, TODAY())), 2) / INDEX(GOOGLEFINANCE(B68, ""price"", TODAY()-30, TODAY()), 2, 2)) - 1"),0.16660061325379094)</f>
        <v>0.1666006133</v>
      </c>
      <c r="DD68" s="38">
        <f>IFERROR(__xludf.DUMMYFUNCTION("(INDEX(GOOGLEFINANCE(B68, ""price"", TODAY()-7, TODAY()), ROWS(GOOGLEFINANCE(B68, ""price"", TODAY()-7, TODAY())), 2) / INDEX(GOOGLEFINANCE(B68, ""price"", TODAY()-7, TODAY()), 2, 2)) - 1"),0.04242153135018256)</f>
        <v>0.04242153135</v>
      </c>
    </row>
    <row r="69">
      <c r="A69" s="34" t="str">
        <f>IFERROR(__xludf.DUMMYFUNCTION("GOOGLEFINANCE(B69,""name"")"),"Tidewater Inc")</f>
        <v>Tidewater Inc</v>
      </c>
      <c r="B69" s="45" t="s">
        <v>176</v>
      </c>
      <c r="C69" s="45" t="s">
        <v>129</v>
      </c>
      <c r="D69" s="35" t="s">
        <v>98</v>
      </c>
      <c r="E69" s="36">
        <v>1.0</v>
      </c>
      <c r="F69" s="35">
        <f>IFERROR(__xludf.DUMMYFUNCTION("IFERROR(MIN(INDEX(GOOGLEFINANCE(B69,""close"",TODAY()-100,TODAY()),0,2)) * GOOGLEFINANCE(""CURRENCY:USDEUR""),""Error en datos"")"),27.609566600000004)</f>
        <v>27.6095666</v>
      </c>
      <c r="G69" s="35">
        <f>IFERROR(__xludf.DUMMYFUNCTION("IFERROR(MAX(INDEX(GOOGLEFINANCE(B69,""close"",TODAY()-100,TODAY()),0,2)) * GOOGLEFINANCE(""CURRENCY:USDEUR""),""Error en datos"")"),45.3714074)</f>
        <v>45.3714074</v>
      </c>
      <c r="H69" s="35">
        <f>IFERROR(__xludf.DUMMYFUNCTION("IFERROR(AVERAGE(INDEX(GOOGLEFINANCE(B69,""close"",TODAY()-20,TODAY()),0,2)) * GOOGLEFINANCE(""CURRENCY:USDEUR""),""Error en datos"")"),41.46930446153846)</f>
        <v>41.46930446</v>
      </c>
      <c r="I69" s="35">
        <f>IFERROR(__xludf.DUMMYFUNCTION("IFERROR(PERCENTILE(INDEX(GOOGLEFINANCE(B69,""close"",TODAY()-365,TODAY()),0,2),0.05) * GOOGLEFINANCE(""CURRENCY:USDEUR""),""Error en datos"")"),30.886438000000002)</f>
        <v>30.886438</v>
      </c>
      <c r="J69" s="35">
        <f>IFERROR(__xludf.DUMMYFUNCTION("AVERAGE(INDEX(GOOGLEFINANCE(B69,""price"",TODAY()-20,TODAY(),""DAILY""),0,2))+(2*STDEV(INDEX(GOOGLEFINANCE(B69,""price"",TODAY()-20,TODAY(),""DAILY""),0,2)))"),54.16984162268884)</f>
        <v>54.16984162</v>
      </c>
      <c r="K69" s="35">
        <f>IFERROR(__xludf.DUMMYFUNCTION("AVERAGE(INDEX(GOOGLEFINANCE(B69,""price"",TODAY()-20,TODAY(),""DAILY""),0,2))-(2*STDEV(INDEX(GOOGLEFINANCE(B69,""price"",TODAY()-20,TODAY(),""DAILY""),0,2)))"),42.76861991577268)</f>
        <v>42.76861992</v>
      </c>
      <c r="L69" s="35">
        <v>293.0</v>
      </c>
      <c r="M69" s="35">
        <f t="shared" si="1"/>
        <v>0.04927587425</v>
      </c>
      <c r="N69" s="35">
        <v>-18.0</v>
      </c>
      <c r="O69" s="35">
        <f t="shared" si="2"/>
        <v>0.3644444444</v>
      </c>
      <c r="P69" s="35">
        <v>-6.0</v>
      </c>
      <c r="Q69" s="35">
        <f t="shared" si="3"/>
        <v>0.03400309119</v>
      </c>
      <c r="R69" s="35" t="str">
        <f>IFERROR(__xludf.DUMMYFUNCTION("IF(B69="""", """", SPARKLINE(INDEX(GOOGLEFINANCE(B69, ""price"", TODAY()-1825, TODAY()), 0, 2)))"),"")</f>
        <v/>
      </c>
      <c r="S69" s="35">
        <f t="shared" si="4"/>
        <v>33.75487484</v>
      </c>
      <c r="T69" s="35">
        <f t="shared" si="5"/>
        <v>52.52452169</v>
      </c>
      <c r="U69" s="34" t="str">
        <f t="shared" si="6"/>
        <v/>
      </c>
      <c r="V69" s="37">
        <f t="shared" si="7"/>
        <v>0.3334981692</v>
      </c>
      <c r="W69" s="37">
        <f t="shared" si="8"/>
        <v>-0.1519207081</v>
      </c>
      <c r="X69" s="34">
        <f>IFERROR(__xludf.DUMMYFUNCTION("AJ69*GOOGLEFINANCE(""CURRENCY:USD/EUR"")"),45.0120638)</f>
        <v>45.0120638</v>
      </c>
      <c r="Y69" s="35">
        <f>IFERROR(__xludf.DUMMYFUNCTION("AI69*GOOGLEFINANCE(""CURRENCY:USD/EUR"")"),53.07530112789646)</f>
        <v>53.07530113</v>
      </c>
      <c r="Z69" s="38">
        <f t="shared" si="9"/>
        <v>0.1668987657</v>
      </c>
      <c r="AA69" s="38">
        <f t="shared" si="10"/>
        <v>0.1791350284</v>
      </c>
      <c r="AB69" s="38">
        <f t="shared" si="11"/>
        <v>0.09155589197</v>
      </c>
      <c r="AC69" s="41">
        <v>55.0</v>
      </c>
      <c r="AD69" s="40">
        <f t="shared" si="12"/>
        <v>0.3331414516</v>
      </c>
      <c r="AE69" s="41">
        <v>62.5</v>
      </c>
      <c r="AF69" s="41">
        <f t="shared" si="13"/>
        <v>0.3958112508</v>
      </c>
      <c r="AG69" s="41">
        <v>70.0</v>
      </c>
      <c r="AH69" s="41">
        <f t="shared" si="14"/>
        <v>0.2710472976</v>
      </c>
      <c r="AI69" s="41">
        <f t="shared" si="15"/>
        <v>62.03429384</v>
      </c>
      <c r="AJ69" s="34">
        <f>IFERROR(__xludf.DUMMYFUNCTION("GOOGLEFINANCE(B69,""price"")"),52.61)</f>
        <v>52.61</v>
      </c>
      <c r="AK69" s="37">
        <f>AR69+BN69</f>
        <v>0.2280254983</v>
      </c>
      <c r="AL69" s="35">
        <v>41.33</v>
      </c>
      <c r="AM69" s="34">
        <f t="shared" si="16"/>
        <v>49.44577765</v>
      </c>
      <c r="AN69" s="34">
        <f t="shared" si="17"/>
        <v>67.56089021</v>
      </c>
      <c r="AO69" s="38">
        <f>IFERROR(__xludf.DUMMYFUNCTION("(GOOGLEFINANCE(B69, ""price"") - INDEX(GOOGLEFINANCE(B69, ""price"", DATE(2025,5,9)), 2, 2)) / INDEX(GOOGLEFINANCE(B69, ""price"", DATE(2025,5,8)), 2, 2)"),0.2713347921225382)</f>
        <v>0.2713347921</v>
      </c>
      <c r="AP69" s="37">
        <f t="shared" si="18"/>
        <v>0.5009507342</v>
      </c>
      <c r="AQ69" s="37">
        <f t="shared" si="19"/>
        <v>0.2729252359</v>
      </c>
      <c r="AR69" s="37">
        <f t="shared" si="20"/>
        <v>0.2280254983</v>
      </c>
      <c r="AS69" s="34">
        <f>IFERROR(__xludf.DUMMYFUNCTION("IF(X69&lt;K69,1,IF(X69&gt;J69,-1,0)) + IF(X69&lt;F69,1,IF(X69&gt;G69,-1,0)) + IF(X69&lt;I69,1,IF(X69&gt;I69,-1,0)) + IF(X69&lt;H69,1,IF(X69&gt;H69,-1,0))"),-2.0)</f>
        <v>-2</v>
      </c>
      <c r="AT69" s="34" t="str">
        <f t="shared" si="85"/>
        <v>recompra</v>
      </c>
      <c r="AU69" s="35" t="str">
        <f t="shared" si="22"/>
        <v>hold</v>
      </c>
      <c r="AV69" s="35" t="str">
        <f t="shared" si="23"/>
        <v>venta</v>
      </c>
      <c r="AW69" s="38">
        <f t="shared" si="24"/>
        <v>0.1791350284</v>
      </c>
      <c r="AX69" s="38">
        <f t="shared" si="25"/>
        <v>-0.162325273</v>
      </c>
      <c r="AY69" s="38">
        <f t="shared" si="26"/>
        <v>-0.1596220358</v>
      </c>
      <c r="AZ69" s="42">
        <f t="shared" si="27"/>
        <v>0.265601164</v>
      </c>
      <c r="BA69" s="38">
        <f t="shared" si="28"/>
        <v>0.627718016</v>
      </c>
      <c r="BB69" s="38">
        <f t="shared" si="29"/>
        <v>0.372281984</v>
      </c>
      <c r="BC69" s="38">
        <f t="shared" si="30"/>
        <v>0.09850056796</v>
      </c>
      <c r="BD69" s="38">
        <f t="shared" si="31"/>
        <v>0.5723195236</v>
      </c>
      <c r="BE69" s="38">
        <f t="shared" si="32"/>
        <v>0.4276804764</v>
      </c>
      <c r="BF69" s="38">
        <f t="shared" si="33"/>
        <v>0.2489565401</v>
      </c>
      <c r="BG69" s="37">
        <f t="shared" si="34"/>
        <v>0.3574737741</v>
      </c>
      <c r="BH69" s="43">
        <f t="shared" si="35"/>
        <v>0.09892586915</v>
      </c>
      <c r="BI69" s="44">
        <f t="shared" si="36"/>
        <v>0.7194752661</v>
      </c>
      <c r="BJ69" s="38">
        <f t="shared" si="37"/>
        <v>0.347457108</v>
      </c>
      <c r="BK69" s="43">
        <f t="shared" si="38"/>
        <v>-0.1718530337</v>
      </c>
      <c r="BL69" s="45">
        <v>1.95</v>
      </c>
      <c r="BM69" s="46">
        <f t="shared" si="39"/>
        <v>0.0005756451496</v>
      </c>
      <c r="BN69" s="45">
        <v>0.0</v>
      </c>
      <c r="BO69" s="45">
        <v>1.36</v>
      </c>
      <c r="BP69" s="47">
        <f t="shared" si="40"/>
        <v>0.001909153657</v>
      </c>
      <c r="BQ69" s="45">
        <v>3.34</v>
      </c>
      <c r="BR69" s="47">
        <f t="shared" si="41"/>
        <v>0.1599644523</v>
      </c>
      <c r="BS69" s="38">
        <v>0.219</v>
      </c>
      <c r="BT69" s="47">
        <f t="shared" si="80"/>
        <v>0.57855127</v>
      </c>
      <c r="BU69" s="45">
        <v>0.6</v>
      </c>
      <c r="BV69" s="47">
        <f t="shared" si="72"/>
        <v>0.9702970297</v>
      </c>
      <c r="BW69" s="48">
        <f t="shared" si="44"/>
        <v>2.765975843</v>
      </c>
      <c r="BX69" s="49">
        <f t="shared" si="45"/>
        <v>1.340024663</v>
      </c>
      <c r="BY69" s="47">
        <f t="shared" si="46"/>
        <v>0.4276804764</v>
      </c>
      <c r="BZ69" s="38">
        <v>0.193</v>
      </c>
      <c r="CA69" s="50">
        <f t="shared" si="47"/>
        <v>0.2189300412</v>
      </c>
      <c r="CB69" s="38">
        <v>0.228</v>
      </c>
      <c r="CC69" s="50">
        <f t="shared" si="81"/>
        <v>0.2501530925</v>
      </c>
      <c r="CD69" s="38">
        <v>0.33</v>
      </c>
      <c r="CE69" s="50">
        <f t="shared" si="49"/>
        <v>0.6933307419</v>
      </c>
      <c r="CF69" s="50">
        <f t="shared" si="50"/>
        <v>0.3874712918</v>
      </c>
      <c r="CG69" s="38">
        <v>-0.013</v>
      </c>
      <c r="CH69" s="51">
        <f t="shared" si="51"/>
        <v>0.1364092277</v>
      </c>
      <c r="CI69" s="38">
        <v>0.231</v>
      </c>
      <c r="CJ69" s="51">
        <f t="shared" si="52"/>
        <v>0.327388535</v>
      </c>
      <c r="CK69" s="38">
        <v>0.721</v>
      </c>
      <c r="CL69" s="51">
        <f t="shared" si="82"/>
        <v>0.8388429752</v>
      </c>
      <c r="CM69" s="38">
        <v>0.011</v>
      </c>
      <c r="CN69" s="51">
        <f t="shared" si="83"/>
        <v>0.1049475262</v>
      </c>
      <c r="CO69" s="38">
        <v>-0.022</v>
      </c>
      <c r="CP69" s="51">
        <f t="shared" si="84"/>
        <v>0.4538216561</v>
      </c>
      <c r="CQ69" s="51">
        <f t="shared" si="56"/>
        <v>0.372281984</v>
      </c>
      <c r="CR69" s="52">
        <f t="shared" si="57"/>
        <v>0.3958112508</v>
      </c>
      <c r="CS69" s="53">
        <f t="shared" si="68"/>
        <v>0.124249821</v>
      </c>
      <c r="CT69" s="54">
        <f t="shared" si="59"/>
        <v>0.5110998824</v>
      </c>
      <c r="CU69" s="55">
        <f t="shared" si="60"/>
        <v>0.0916665214</v>
      </c>
      <c r="CV69" s="34">
        <f t="shared" si="61"/>
        <v>0.3799874792</v>
      </c>
      <c r="CW69" s="34">
        <f t="shared" si="62"/>
        <v>0.2929024952</v>
      </c>
      <c r="CX69" s="35">
        <f t="shared" si="63"/>
        <v>0.1992237678</v>
      </c>
      <c r="CY69" s="38">
        <f>IFERROR(__xludf.DUMMYFUNCTION("(GOOGLEFINANCE(B69,""price"")/INDEX(GOOGLEFINANCE(B69,""price"",TODAY()-30),2,2))-1"),0.107578947368421)</f>
        <v>0.1075789474</v>
      </c>
      <c r="CZ69" s="38">
        <f>IFERROR(__xludf.DUMMYFUNCTION("(GOOGLEFINANCE($B69,""price"")/INDEX(GOOGLEFINANCE($B69,""price"",TODAY()-180),2,2))-1"),-0.06901433374623955)</f>
        <v>-0.06901433375</v>
      </c>
      <c r="DA69" s="38">
        <f>IFERROR(__xludf.DUMMYFUNCTION("(GOOGLEFINANCE($B69,""price"")/INDEX(GOOGLEFINANCE($B69,""price"",TODAY()-365),2,2))-1"),-0.4983790999237223)</f>
        <v>-0.4983790999</v>
      </c>
      <c r="DB69" s="38">
        <f>IFERROR(__xludf.DUMMYFUNCTION("(GOOGLEFINANCE($B69,""price"")/INDEX(GOOGLEFINANCE($B69,""price"",TODAY()-365*5),2,2))-1"),8.278659611992945)</f>
        <v>8.278659612</v>
      </c>
      <c r="DC69" s="38">
        <f>IFERROR(__xludf.DUMMYFUNCTION("(INDEX(GOOGLEFINANCE(B69, ""price"", TODAY()-30, TODAY()), ROWS(GOOGLEFINANCE(B69, ""price"", TODAY()-30, TODAY())), 2) / INDEX(GOOGLEFINANCE(B69, ""price"", TODAY()-30, TODAY()), 2, 2)) - 1"),0.107578947368421)</f>
        <v>0.1075789474</v>
      </c>
      <c r="DD69" s="38">
        <f>IFERROR(__xludf.DUMMYFUNCTION("(INDEX(GOOGLEFINANCE(B69, ""price"", TODAY()-7, TODAY()), ROWS(GOOGLEFINANCE(B69, ""price"", TODAY()-7, TODAY())), 2) / INDEX(GOOGLEFINANCE(B69, ""price"", TODAY()-7, TODAY()), 2, 2)) - 1"),0.09126737191454048)</f>
        <v>0.09126737191</v>
      </c>
    </row>
    <row r="70">
      <c r="A70" s="34" t="str">
        <f>IFERROR(__xludf.DUMMYFUNCTION("GOOGLEFINANCE(B70,""name"")"),"Tesla Inc")</f>
        <v>Tesla Inc</v>
      </c>
      <c r="B70" s="35" t="s">
        <v>177</v>
      </c>
      <c r="C70" s="35" t="s">
        <v>114</v>
      </c>
      <c r="D70" s="35" t="s">
        <v>105</v>
      </c>
      <c r="E70" s="64">
        <v>4.0</v>
      </c>
      <c r="F70" s="35">
        <f>IFERROR(__xludf.DUMMYFUNCTION("IFERROR(MIN(INDEX(GOOGLEFINANCE(B70,""close"",TODAY()-100,TODAY()),0,2)) * GOOGLEFINANCE(""CURRENCY:USDEUR""),""Error en datos"")"),189.81897880000002)</f>
        <v>189.8189788</v>
      </c>
      <c r="G70" s="35">
        <f>IFERROR(__xludf.DUMMYFUNCTION("IFERROR(MAX(INDEX(GOOGLEFINANCE(B70,""close"",TODAY()-100,TODAY()),0,2)) * GOOGLEFINANCE(""CURRENCY:USDEUR""),""Error en datos"")"),310.4814262)</f>
        <v>310.4814262</v>
      </c>
      <c r="H70" s="35">
        <f>IFERROR(__xludf.DUMMYFUNCTION("IFERROR(AVERAGE(INDEX(GOOGLEFINANCE(B70,""close"",TODAY()-20,TODAY()),0,2)) * GOOGLEFINANCE(""CURRENCY:USDEUR""),""Error en datos"")"),268.91669166153844)</f>
        <v>268.9166917</v>
      </c>
      <c r="I70" s="35">
        <f>IFERROR(__xludf.DUMMYFUNCTION("IFERROR(PERCENTILE(INDEX(GOOGLEFINANCE(B70,""close"",TODAY()-365,TODAY()),0,2),0.05) * GOOGLEFINANCE(""CURRENCY:USDEUR""),""Error en datos"")"),180.20568192)</f>
        <v>180.2056819</v>
      </c>
      <c r="J70" s="35">
        <f>IFERROR(__xludf.DUMMYFUNCTION("AVERAGE(INDEX(GOOGLEFINANCE(B70,""price"",TODAY()-20,TODAY(),""DAILY""),0,2))+(2*STDEV(INDEX(GOOGLEFINANCE(B70,""price"",TODAY()-20,TODAY(),""DAILY""),0,2)))"),344.9756232986632)</f>
        <v>344.9756233</v>
      </c>
      <c r="K70" s="35">
        <f>IFERROR(__xludf.DUMMYFUNCTION("AVERAGE(INDEX(GOOGLEFINANCE(B70,""price"",TODAY()-20,TODAY(),""DAILY""),0,2))-(2*STDEV(INDEX(GOOGLEFINANCE(B70,""price"",TODAY()-20,TODAY(),""DAILY""),0,2)))"),283.64283823979827)</f>
        <v>283.6428382</v>
      </c>
      <c r="L70" s="35">
        <v>3779.0</v>
      </c>
      <c r="M70" s="35">
        <f t="shared" si="1"/>
        <v>0.6649593783</v>
      </c>
      <c r="N70" s="35">
        <v>107.0</v>
      </c>
      <c r="O70" s="35">
        <f t="shared" si="2"/>
        <v>0.92</v>
      </c>
      <c r="P70" s="35">
        <v>6.53</v>
      </c>
      <c r="Q70" s="35">
        <f t="shared" si="3"/>
        <v>0.2760819165</v>
      </c>
      <c r="R70" s="35" t="str">
        <f>IFERROR(__xludf.DUMMYFUNCTION("IF(B70="""", """", SPARKLINE(INDEX(GOOGLEFINANCE(B70, ""price"", TODAY()-1825, TODAY()), 0, 2)))"),"")</f>
        <v/>
      </c>
      <c r="S70" s="35">
        <f t="shared" si="4"/>
        <v>217.8891663</v>
      </c>
      <c r="T70" s="35">
        <f t="shared" si="5"/>
        <v>287.4388184</v>
      </c>
      <c r="U70" s="34" t="str">
        <f t="shared" si="6"/>
        <v/>
      </c>
      <c r="V70" s="37">
        <f t="shared" si="7"/>
        <v>0.2310519625</v>
      </c>
      <c r="W70" s="37">
        <f t="shared" si="8"/>
        <v>-0.03990248526</v>
      </c>
      <c r="X70" s="34">
        <f>IFERROR(__xludf.DUMMYFUNCTION("AJ70*GOOGLEFINANCE(""CURRENCY:USD/EUR"")"),268.2328858)</f>
        <v>268.2328858</v>
      </c>
      <c r="Y70" s="35">
        <f>IFERROR(__xludf.DUMMYFUNCTION("AI70*GOOGLEFINANCE(""CURRENCY:USD/EUR"")"),279.38087713282175)</f>
        <v>279.3808771</v>
      </c>
      <c r="Z70" s="38">
        <f t="shared" si="9"/>
        <v>0.07160170739</v>
      </c>
      <c r="AA70" s="38">
        <f t="shared" si="10"/>
        <v>0.04156086715</v>
      </c>
      <c r="AB70" s="38">
        <f t="shared" si="11"/>
        <v>0.01508717307</v>
      </c>
      <c r="AC70" s="39">
        <v>120.0</v>
      </c>
      <c r="AD70" s="40">
        <f t="shared" si="12"/>
        <v>0.2395474544</v>
      </c>
      <c r="AE70" s="39">
        <v>294.0</v>
      </c>
      <c r="AF70" s="41">
        <f t="shared" si="13"/>
        <v>0.4001564072</v>
      </c>
      <c r="AG70" s="39">
        <v>500.0</v>
      </c>
      <c r="AH70" s="41">
        <f t="shared" si="14"/>
        <v>0.3602961384</v>
      </c>
      <c r="AI70" s="41">
        <f t="shared" si="15"/>
        <v>326.5397475</v>
      </c>
      <c r="AJ70" s="34">
        <f>IFERROR(__xludf.DUMMYFUNCTION("GOOGLEFINANCE(B70,""price"")"),313.51)</f>
        <v>313.51</v>
      </c>
      <c r="AK70" s="37">
        <f>AP70+BN70</f>
        <v>0.1821727154</v>
      </c>
      <c r="AL70" s="34">
        <v>276.22</v>
      </c>
      <c r="AM70" s="34">
        <f t="shared" si="16"/>
        <v>172.3807976</v>
      </c>
      <c r="AN70" s="34">
        <f t="shared" si="17"/>
        <v>317.097599</v>
      </c>
      <c r="AO70" s="38">
        <f>IFERROR(__xludf.DUMMYFUNCTION("(GOOGLEFINANCE(B70, ""price"") - INDEX(GOOGLEFINANCE(B70, ""price"", DATE(2025,5,8)), 2, 2)) / INDEX(GOOGLEFINANCE(B70, ""price"", DATE(2025,5,8)), 2, 2)"),0.1007302857945369)</f>
        <v>0.1007302858</v>
      </c>
      <c r="AP70" s="37">
        <f t="shared" si="18"/>
        <v>0.1821727154</v>
      </c>
      <c r="AQ70" s="37">
        <f t="shared" si="19"/>
        <v>0.1350010861</v>
      </c>
      <c r="AR70" s="37">
        <f t="shared" si="20"/>
        <v>0.04717162936</v>
      </c>
      <c r="AS70" s="34">
        <f>IFERROR(__xludf.DUMMYFUNCTION("IF(X70&lt;K70,1,IF(X70&gt;J70,-1,0)) + IF(X70&lt;F70,1,IF(X70&gt;G70,-1,0)) + IF(X70&lt;I70,1,IF(X70&gt;I70,-1,0)) + IF(X70&lt;H70,1,IF(X70&gt;H70,-1,0))"),1.0)</f>
        <v>1</v>
      </c>
      <c r="AT70" s="34" t="str">
        <f t="shared" si="85"/>
        <v>Hold</v>
      </c>
      <c r="AU70" s="35" t="str">
        <f t="shared" si="22"/>
        <v>hold</v>
      </c>
      <c r="AV70" s="35" t="str">
        <f t="shared" si="23"/>
        <v>hold</v>
      </c>
      <c r="AW70" s="38">
        <f t="shared" si="24"/>
        <v>0.04156086715</v>
      </c>
      <c r="AX70" s="38">
        <f t="shared" si="25"/>
        <v>0.08524111629</v>
      </c>
      <c r="AY70" s="38">
        <f t="shared" si="26"/>
        <v>0.141248293</v>
      </c>
      <c r="AZ70" s="42">
        <f t="shared" si="27"/>
        <v>0.01365024207</v>
      </c>
      <c r="BA70" s="38">
        <f t="shared" si="28"/>
        <v>0.5317339506</v>
      </c>
      <c r="BB70" s="38">
        <f t="shared" si="29"/>
        <v>0.4682660494</v>
      </c>
      <c r="BC70" s="38">
        <f t="shared" si="30"/>
        <v>-0.3573465198</v>
      </c>
      <c r="BD70" s="38">
        <f t="shared" si="31"/>
        <v>0.575893386</v>
      </c>
      <c r="BE70" s="38">
        <f t="shared" si="32"/>
        <v>0.424106614</v>
      </c>
      <c r="BF70" s="38">
        <f t="shared" si="33"/>
        <v>0.2164395473</v>
      </c>
      <c r="BG70" s="37">
        <f t="shared" si="34"/>
        <v>0.09775397036</v>
      </c>
      <c r="BH70" s="43">
        <f t="shared" si="35"/>
        <v>0.1195011317</v>
      </c>
      <c r="BI70" s="44">
        <f t="shared" si="36"/>
        <v>0.3315010869</v>
      </c>
      <c r="BJ70" s="38">
        <f t="shared" si="37"/>
        <v>-0.1409069724</v>
      </c>
      <c r="BK70" s="43">
        <f t="shared" si="38"/>
        <v>0.06576191451</v>
      </c>
      <c r="BL70" s="63">
        <v>889.69</v>
      </c>
      <c r="BM70" s="46">
        <f t="shared" si="39"/>
        <v>0.2813576369</v>
      </c>
      <c r="BN70" s="38">
        <v>0.0</v>
      </c>
      <c r="BO70" s="63">
        <v>95.72</v>
      </c>
      <c r="BP70" s="47">
        <f t="shared" si="40"/>
        <v>0.1404843376</v>
      </c>
      <c r="BQ70" s="63">
        <v>1.75</v>
      </c>
      <c r="BR70" s="47">
        <f t="shared" si="41"/>
        <v>0.1246389691</v>
      </c>
      <c r="BS70" s="60">
        <v>0.073</v>
      </c>
      <c r="BT70" s="47">
        <f t="shared" si="80"/>
        <v>0.4412041392</v>
      </c>
      <c r="BU70" s="63">
        <v>0.2</v>
      </c>
      <c r="BV70" s="47">
        <f t="shared" si="72"/>
        <v>0.9900990099</v>
      </c>
      <c r="BW70" s="48">
        <f t="shared" si="44"/>
        <v>1.054121127</v>
      </c>
      <c r="BX70" s="49">
        <f t="shared" si="45"/>
        <v>0.5435010421</v>
      </c>
      <c r="BY70" s="47">
        <f t="shared" si="46"/>
        <v>0.424106614</v>
      </c>
      <c r="BZ70" s="60">
        <v>0.01</v>
      </c>
      <c r="CA70" s="50">
        <f t="shared" si="47"/>
        <v>0.0683127572</v>
      </c>
      <c r="CB70" s="60">
        <v>0.023</v>
      </c>
      <c r="CC70" s="50">
        <f t="shared" si="81"/>
        <v>0.1873851806</v>
      </c>
      <c r="CD70" s="60">
        <v>-0.561</v>
      </c>
      <c r="CE70" s="50">
        <f t="shared" si="49"/>
        <v>0.668591737</v>
      </c>
      <c r="CF70" s="50">
        <f t="shared" si="50"/>
        <v>0.3080965583</v>
      </c>
      <c r="CG70" s="60">
        <v>1.009</v>
      </c>
      <c r="CH70" s="51">
        <f t="shared" si="51"/>
        <v>0.6489468405</v>
      </c>
      <c r="CI70" s="60">
        <v>0.298</v>
      </c>
      <c r="CJ70" s="51">
        <f t="shared" si="52"/>
        <v>0.4127388535</v>
      </c>
      <c r="CK70" s="60">
        <v>0.33</v>
      </c>
      <c r="CL70" s="51">
        <f t="shared" si="82"/>
        <v>0.5157024793</v>
      </c>
      <c r="CM70" s="60">
        <v>0.224</v>
      </c>
      <c r="CN70" s="51">
        <f t="shared" si="83"/>
        <v>0.2113943028</v>
      </c>
      <c r="CO70" s="60">
        <v>0.102</v>
      </c>
      <c r="CP70" s="51">
        <f t="shared" si="84"/>
        <v>0.5525477707</v>
      </c>
      <c r="CQ70" s="51">
        <f t="shared" si="56"/>
        <v>0.4682660494</v>
      </c>
      <c r="CR70" s="52">
        <f t="shared" si="57"/>
        <v>0.4001564072</v>
      </c>
      <c r="CS70" s="53">
        <f t="shared" si="68"/>
        <v>0.6315001683</v>
      </c>
      <c r="CT70" s="54">
        <f t="shared" si="59"/>
        <v>0.3630139143</v>
      </c>
      <c r="CU70" s="55">
        <f t="shared" si="60"/>
        <v>0.07075879981</v>
      </c>
      <c r="CV70" s="34">
        <f t="shared" si="61"/>
        <v>0.8549596322</v>
      </c>
      <c r="CW70" s="34">
        <f t="shared" si="62"/>
        <v>0.4138181117</v>
      </c>
      <c r="CX70" s="35">
        <f t="shared" si="63"/>
        <v>0.5980409583</v>
      </c>
      <c r="CY70" s="38">
        <f>IFERROR(__xludf.DUMMYFUNCTION("(GOOGLEFINANCE(B70,""price"")/INDEX(GOOGLEFINANCE(B70,""price"",TODAY()-30),2,2))-1"),-0.04745845106796709)</f>
        <v>-0.04745845107</v>
      </c>
      <c r="CZ70" s="38">
        <f>IFERROR(__xludf.DUMMYFUNCTION("(GOOGLEFINANCE($B70,""price"")/INDEX(GOOGLEFINANCE($B70,""price"",TODAY()-180),2,2))-1"),-0.26787632525337446)</f>
        <v>-0.2678763253</v>
      </c>
      <c r="DA70" s="38">
        <f>IFERROR(__xludf.DUMMYFUNCTION("(GOOGLEFINANCE($B70,""price"")/INDEX(GOOGLEFINANCE($B70,""price"",TODAY()-365),2,2))-1"),0.24093571880937303)</f>
        <v>0.2409357188</v>
      </c>
      <c r="DB70" s="38">
        <f>IFERROR(__xludf.DUMMYFUNCTION("(GOOGLEFINANCE($B70,""price"")/INDEX(GOOGLEFINANCE($B70,""price"",TODAY()-365*5),2,2))-1"),2.0417192199476086)</f>
        <v>2.04171922</v>
      </c>
      <c r="DC70" s="38">
        <f>IFERROR(__xludf.DUMMYFUNCTION("(INDEX(GOOGLEFINANCE(B70, ""price"", TODAY()-30, TODAY()), ROWS(GOOGLEFINANCE(B70, ""price"", TODAY()-30, TODAY())), 2) / INDEX(GOOGLEFINANCE(B70, ""price"", TODAY()-30, TODAY()), 2, 2)) - 1"),-0.04745845106796709)</f>
        <v>-0.04745845107</v>
      </c>
      <c r="DD70" s="38">
        <f>IFERROR(__xludf.DUMMYFUNCTION("(INDEX(GOOGLEFINANCE(B70, ""price"", TODAY()-7, TODAY()), ROWS(GOOGLEFINANCE(B70, ""price"", TODAY()-7, TODAY())), 2) / INDEX(GOOGLEFINANCE(B70, ""price"", TODAY()-7, TODAY()), 2, 2)) - 1"),0.06657821324079749)</f>
        <v>0.06657821324</v>
      </c>
    </row>
    <row r="71">
      <c r="A71" s="34" t="str">
        <f>IFERROR(__xludf.DUMMYFUNCTION("GOOGLEFINANCE(B71,""name"")"),"Trade Desk Inc")</f>
        <v>Trade Desk Inc</v>
      </c>
      <c r="B71" s="35" t="s">
        <v>178</v>
      </c>
      <c r="C71" s="35" t="s">
        <v>90</v>
      </c>
      <c r="D71" s="35" t="s">
        <v>94</v>
      </c>
      <c r="E71" s="56">
        <v>2.0</v>
      </c>
      <c r="F71" s="35">
        <f>IFERROR(__xludf.DUMMYFUNCTION("IFERROR(MIN(INDEX(GOOGLEFINANCE(B71,""close"",TODAY()-100,TODAY()),0,2)) * GOOGLEFINANCE(""CURRENCY:USDEUR""),""Error en datos"")"),38.7321066)</f>
        <v>38.7321066</v>
      </c>
      <c r="G71" s="35">
        <f>IFERROR(__xludf.DUMMYFUNCTION("IFERROR(MAX(INDEX(GOOGLEFINANCE(B71,""close"",TODAY()-100,TODAY()),0,2)) * GOOGLEFINANCE(""CURRENCY:USDEUR""),""Error en datos"")"),67.933052)</f>
        <v>67.933052</v>
      </c>
      <c r="H71" s="35">
        <f>IFERROR(__xludf.DUMMYFUNCTION("IFERROR(AVERAGE(INDEX(GOOGLEFINANCE(B71,""close"",TODAY()-20,TODAY()),0,2)) * GOOGLEFINANCE(""CURRENCY:USDEUR""),""Error en datos"")"),62.38560290769231)</f>
        <v>62.38560291</v>
      </c>
      <c r="I71" s="35">
        <f>IFERROR(__xludf.DUMMYFUNCTION("IFERROR(PERCENTILE(INDEX(GOOGLEFINANCE(B71,""close"",TODAY()-365,TODAY()),0,2),0.05) * GOOGLEFINANCE(""CURRENCY:USDEUR""),""Error en datos"")"),43.9597004)</f>
        <v>43.9597004</v>
      </c>
      <c r="J71" s="35">
        <f>IFERROR(__xludf.DUMMYFUNCTION("AVERAGE(INDEX(GOOGLEFINANCE(B71,""price"",TODAY()-20,TODAY(),""DAILY""),0,2))+(2*STDEV(INDEX(GOOGLEFINANCE(B71,""price"",TODAY()-20,TODAY(),""DAILY""),0,2)))"),78.14831425693089)</f>
        <v>78.14831426</v>
      </c>
      <c r="K71" s="35">
        <f>IFERROR(__xludf.DUMMYFUNCTION("AVERAGE(INDEX(GOOGLEFINANCE(B71,""price"",TODAY()-20,TODAY(),""DAILY""),0,2))-(2*STDEV(INDEX(GOOGLEFINANCE(B71,""price"",TODAY()-20,TODAY(),""DAILY""),0,2)))"),67.6839934353768)</f>
        <v>67.68399344</v>
      </c>
      <c r="L71" s="35">
        <v>1172.0</v>
      </c>
      <c r="M71" s="35">
        <f t="shared" si="1"/>
        <v>0.2045213705</v>
      </c>
      <c r="N71" s="35">
        <v>-10.0</v>
      </c>
      <c r="O71" s="35">
        <f t="shared" si="2"/>
        <v>0.4</v>
      </c>
      <c r="P71" s="35">
        <v>3.16</v>
      </c>
      <c r="Q71" s="35">
        <f t="shared" si="3"/>
        <v>0.2109737249</v>
      </c>
      <c r="R71" s="35" t="str">
        <f>IFERROR(__xludf.DUMMYFUNCTION("IF(B71="""", """", SPARKLINE(INDEX(GOOGLEFINANCE(B71, ""price"", TODAY()-1825, TODAY()), 0, 2)))"),"")</f>
        <v/>
      </c>
      <c r="S71" s="35">
        <f t="shared" si="4"/>
        <v>50.12526681</v>
      </c>
      <c r="T71" s="35">
        <f t="shared" si="5"/>
        <v>73.60869055</v>
      </c>
      <c r="U71" s="34" t="str">
        <f t="shared" si="6"/>
        <v/>
      </c>
      <c r="V71" s="37">
        <f t="shared" si="7"/>
        <v>0.2866489198</v>
      </c>
      <c r="W71" s="37">
        <f t="shared" si="8"/>
        <v>-0.1251815615</v>
      </c>
      <c r="X71" s="34">
        <f>IFERROR(__xludf.DUMMYFUNCTION("AJ71*GOOGLEFINANCE(""CURRENCY:USD/EUR"")"),64.4936204)</f>
        <v>64.4936204</v>
      </c>
      <c r="Y71" s="35">
        <f>IFERROR(__xludf.DUMMYFUNCTION("AI71*GOOGLEFINANCE(""CURRENCY:USD/EUR"")"),73.7222920325884)</f>
        <v>73.72229203</v>
      </c>
      <c r="Z71" s="38">
        <f t="shared" si="9"/>
        <v>0.1413328961</v>
      </c>
      <c r="AA71" s="38">
        <f t="shared" si="10"/>
        <v>0.1430943336</v>
      </c>
      <c r="AB71" s="38">
        <f t="shared" si="11"/>
        <v>0.06035195039</v>
      </c>
      <c r="AC71" s="41">
        <v>48.0</v>
      </c>
      <c r="AD71" s="40">
        <f t="shared" si="12"/>
        <v>0.3305974374</v>
      </c>
      <c r="AE71" s="41">
        <v>87.63</v>
      </c>
      <c r="AF71" s="41">
        <f t="shared" si="13"/>
        <v>0.4237190643</v>
      </c>
      <c r="AG71" s="41">
        <v>135.0</v>
      </c>
      <c r="AH71" s="41">
        <f t="shared" si="14"/>
        <v>0.2456834983</v>
      </c>
      <c r="AI71" s="41">
        <f t="shared" si="15"/>
        <v>86.16645087</v>
      </c>
      <c r="AJ71" s="34">
        <f>IFERROR(__xludf.DUMMYFUNCTION("GOOGLEFINANCE(B71,""price"")"),75.38)</f>
        <v>75.38</v>
      </c>
      <c r="AK71" s="37">
        <f>AR71+BN71</f>
        <v>0.1910458885</v>
      </c>
      <c r="AL71" s="34">
        <v>56.46</v>
      </c>
      <c r="AM71" s="34">
        <f t="shared" si="16"/>
        <v>54.07571252</v>
      </c>
      <c r="AN71" s="34">
        <f t="shared" si="17"/>
        <v>98.42696375</v>
      </c>
      <c r="AO71" s="38">
        <f>IFERROR(__xludf.DUMMYFUNCTION("(GOOGLEFINANCE(B71, ""price"") - INDEX(GOOGLEFINANCE(B71, ""price"", DATE(2025,5,8)), 2, 2)) / INDEX(GOOGLEFINANCE(B71, ""price"", DATE(2025,5,8)), 2, 2)"),0.2584307178631051)</f>
        <v>0.2584307179</v>
      </c>
      <c r="AP71" s="37">
        <f t="shared" si="18"/>
        <v>0.5261503873</v>
      </c>
      <c r="AQ71" s="37">
        <f t="shared" si="19"/>
        <v>0.3351044988</v>
      </c>
      <c r="AR71" s="37">
        <f t="shared" si="20"/>
        <v>0.1910458885</v>
      </c>
      <c r="AS71" s="34">
        <f>IFERROR(__xludf.DUMMYFUNCTION("IF(X71&lt;K71,1,IF(X71&gt;J71,-1,0)) + IF(X71&lt;F71,1,IF(X71&gt;G71,-1,0)) + IF(X71&lt;I71,1,IF(X71&gt;I71,-1,0)) + IF(X71&lt;H71,1,IF(X71&gt;H71,-1,0))"),-1.0)</f>
        <v>-1</v>
      </c>
      <c r="AT71" s="34" t="str">
        <f t="shared" si="85"/>
        <v>Hold</v>
      </c>
      <c r="AU71" s="35" t="str">
        <f t="shared" si="22"/>
        <v>hold</v>
      </c>
      <c r="AV71" s="35" t="str">
        <f t="shared" si="23"/>
        <v>venta</v>
      </c>
      <c r="AW71" s="38">
        <f t="shared" si="24"/>
        <v>0.1430943336</v>
      </c>
      <c r="AX71" s="38">
        <f t="shared" si="25"/>
        <v>-0.05882970603</v>
      </c>
      <c r="AY71" s="38">
        <f t="shared" si="26"/>
        <v>-0.05189173819</v>
      </c>
      <c r="AZ71" s="42">
        <f t="shared" si="27"/>
        <v>0.1420444743</v>
      </c>
      <c r="BA71" s="38">
        <f t="shared" si="28"/>
        <v>0.6163620374</v>
      </c>
      <c r="BB71" s="38">
        <f t="shared" si="29"/>
        <v>0.3836379626</v>
      </c>
      <c r="BC71" s="38">
        <f t="shared" si="30"/>
        <v>-0.1615339286</v>
      </c>
      <c r="BD71" s="38">
        <f t="shared" si="31"/>
        <v>0.5903020222</v>
      </c>
      <c r="BE71" s="38">
        <f t="shared" si="32"/>
        <v>0.4096979778</v>
      </c>
      <c r="BF71" s="38">
        <f t="shared" si="33"/>
        <v>0.4199707245</v>
      </c>
      <c r="BG71" s="37">
        <f t="shared" si="34"/>
        <v>0.1548705506</v>
      </c>
      <c r="BH71" s="43">
        <f t="shared" si="35"/>
        <v>0.05148940623</v>
      </c>
      <c r="BI71" s="44">
        <f t="shared" si="36"/>
        <v>0.4891388736</v>
      </c>
      <c r="BJ71" s="38">
        <f t="shared" si="37"/>
        <v>0.2584367958</v>
      </c>
      <c r="BK71" s="43">
        <f t="shared" si="38"/>
        <v>-0.2173658501</v>
      </c>
      <c r="BL71" s="47">
        <v>26.08</v>
      </c>
      <c r="BM71" s="46">
        <f t="shared" si="39"/>
        <v>0.008207687709</v>
      </c>
      <c r="BN71" s="38">
        <v>0.0</v>
      </c>
      <c r="BO71" s="47">
        <v>2.44</v>
      </c>
      <c r="BP71" s="58">
        <f t="shared" si="40"/>
        <v>0.003495219773</v>
      </c>
      <c r="BQ71" s="47">
        <v>0.78</v>
      </c>
      <c r="BR71" s="47">
        <f t="shared" si="41"/>
        <v>0.1030882026</v>
      </c>
      <c r="BS71" s="47">
        <v>0.175</v>
      </c>
      <c r="BT71" s="47">
        <f t="shared" si="80"/>
        <v>0.537158984</v>
      </c>
      <c r="BU71" s="47">
        <v>0.1</v>
      </c>
      <c r="BV71" s="47">
        <f t="shared" si="72"/>
        <v>0.995049505</v>
      </c>
      <c r="BW71" s="48">
        <f t="shared" si="44"/>
        <v>1.962259607</v>
      </c>
      <c r="BX71" s="49">
        <f t="shared" si="45"/>
        <v>0.9267883409</v>
      </c>
      <c r="BY71" s="47">
        <f t="shared" si="46"/>
        <v>0.4096979778</v>
      </c>
      <c r="BZ71" s="50">
        <v>0.256</v>
      </c>
      <c r="CA71" s="50">
        <f t="shared" si="47"/>
        <v>0.270781893</v>
      </c>
      <c r="CB71" s="50">
        <v>0.868</v>
      </c>
      <c r="CC71" s="50">
        <f t="shared" si="81"/>
        <v>0.4461114513</v>
      </c>
      <c r="CD71" s="50">
        <v>1.167</v>
      </c>
      <c r="CE71" s="50">
        <f t="shared" si="49"/>
        <v>0.7165704131</v>
      </c>
      <c r="CF71" s="50">
        <f t="shared" si="50"/>
        <v>0.4778212525</v>
      </c>
      <c r="CG71" s="51">
        <v>0.277</v>
      </c>
      <c r="CH71" s="51">
        <f t="shared" si="51"/>
        <v>0.2818455366</v>
      </c>
      <c r="CI71" s="51">
        <v>0.299</v>
      </c>
      <c r="CJ71" s="51">
        <f t="shared" si="52"/>
        <v>0.4140127389</v>
      </c>
      <c r="CK71" s="51">
        <v>0.312</v>
      </c>
      <c r="CL71" s="51">
        <f t="shared" si="82"/>
        <v>0.5008264463</v>
      </c>
      <c r="CM71" s="51">
        <v>0.112</v>
      </c>
      <c r="CN71" s="51">
        <f t="shared" si="83"/>
        <v>0.1554222889</v>
      </c>
      <c r="CO71" s="51">
        <v>0.119</v>
      </c>
      <c r="CP71" s="51">
        <f t="shared" si="84"/>
        <v>0.5660828025</v>
      </c>
      <c r="CQ71" s="51">
        <f t="shared" si="56"/>
        <v>0.3836379626</v>
      </c>
      <c r="CR71" s="52">
        <f t="shared" si="57"/>
        <v>0.4237190643</v>
      </c>
      <c r="CS71" s="53">
        <f t="shared" si="68"/>
        <v>0.2550041165</v>
      </c>
      <c r="CT71" s="54">
        <f t="shared" si="59"/>
        <v>0.4217633841</v>
      </c>
      <c r="CU71" s="55">
        <f t="shared" si="60"/>
        <v>0.07778732726</v>
      </c>
      <c r="CV71" s="34">
        <f t="shared" si="61"/>
        <v>0.722833697</v>
      </c>
      <c r="CW71" s="34">
        <f t="shared" si="62"/>
        <v>0.3925679564</v>
      </c>
      <c r="CX71" s="35">
        <f t="shared" si="63"/>
        <v>0.3054868624</v>
      </c>
      <c r="CY71" s="38">
        <f>IFERROR(__xludf.DUMMYFUNCTION("(GOOGLEFINANCE(B71,""price"")/INDEX(GOOGLEFINANCE(B71,""price"",TODAY()-30),2,2))-1"),0.07302491103202846)</f>
        <v>0.07302491103</v>
      </c>
      <c r="CZ71" s="38">
        <f>IFERROR(__xludf.DUMMYFUNCTION("(GOOGLEFINANCE($B71,""price"")/INDEX(GOOGLEFINANCE($B71,""price"",TODAY()-180),2,2))-1"),-0.3701537433155081)</f>
        <v>-0.3701537433</v>
      </c>
      <c r="DA71" s="38">
        <f>IFERROR(__xludf.DUMMYFUNCTION("(GOOGLEFINANCE($B71,""price"")/INDEX(GOOGLEFINANCE($B71,""price"",TODAY()-365),2,2))-1"),-0.24687780997102615)</f>
        <v>-0.24687781</v>
      </c>
      <c r="DB71" s="38">
        <f>IFERROR(__xludf.DUMMYFUNCTION("(GOOGLEFINANCE($B71,""price"")/INDEX(GOOGLEFINANCE($B71,""price"",TODAY()-365*5),2,2))-1"),0.7273143904674608)</f>
        <v>0.7273143905</v>
      </c>
      <c r="DC71" s="38">
        <f>IFERROR(__xludf.DUMMYFUNCTION("(INDEX(GOOGLEFINANCE(B71, ""price"", TODAY()-30, TODAY()), ROWS(GOOGLEFINANCE(B71, ""price"", TODAY()-30, TODAY())), 2) / INDEX(GOOGLEFINANCE(B71, ""price"", TODAY()-30, TODAY()), 2, 2)) - 1"),0.07302491103202846)</f>
        <v>0.07302491103</v>
      </c>
      <c r="DD71" s="38">
        <f>IFERROR(__xludf.DUMMYFUNCTION("(INDEX(GOOGLEFINANCE(B71, ""price"", TODAY()-7, TODAY()), ROWS(GOOGLEFINANCE(B71, ""price"", TODAY()-7, TODAY())), 2) / INDEX(GOOGLEFINANCE(B71, ""price"", TODAY()-7, TODAY()), 2, 2)) - 1"),0.024741707449700723)</f>
        <v>0.02474170745</v>
      </c>
    </row>
    <row r="72">
      <c r="A72" s="34" t="str">
        <f>IFERROR(__xludf.DUMMYFUNCTION("GOOGLEFINANCE(B72,""name"")"),"UnitedHealth Group Inc")</f>
        <v>UnitedHealth Group Inc</v>
      </c>
      <c r="B72" s="35" t="s">
        <v>179</v>
      </c>
      <c r="C72" s="35" t="s">
        <v>93</v>
      </c>
      <c r="D72" s="35" t="s">
        <v>105</v>
      </c>
      <c r="E72" s="56">
        <v>2.0</v>
      </c>
      <c r="F72" s="35">
        <f>IFERROR(__xludf.DUMMYFUNCTION("IFERROR(MIN(INDEX(GOOGLEFINANCE(B72,""close"",TODAY()-100,TODAY()),0,2)) * GOOGLEFINANCE(""CURRENCY:USDEUR""),""Error en datos"")"),234.72837300000003)</f>
        <v>234.728373</v>
      </c>
      <c r="G72" s="35">
        <f>IFERROR(__xludf.DUMMYFUNCTION("IFERROR(MAX(INDEX(GOOGLEFINANCE(B72,""close"",TODAY()-100,TODAY()),0,2)) * GOOGLEFINANCE(""CURRENCY:USDEUR""),""Error en datos"")"),512.8945426)</f>
        <v>512.8945426</v>
      </c>
      <c r="H72" s="35">
        <f>IFERROR(__xludf.DUMMYFUNCTION("IFERROR(AVERAGE(INDEX(GOOGLEFINANCE(B72,""close"",TODAY()-20,TODAY()),0,2)) * GOOGLEFINANCE(""CURRENCY:USDEUR""),""Error en datos"")"),262.6972832)</f>
        <v>262.6972832</v>
      </c>
      <c r="I72" s="35">
        <f>IFERROR(__xludf.DUMMYFUNCTION("IFERROR(PERCENTILE(INDEX(GOOGLEFINANCE(B72,""close"",TODAY()-365,TODAY()),0,2),0.05) * GOOGLEFINANCE(""CURRENCY:USDEUR""),""Error en datos"")"),258.342381)</f>
        <v>258.342381</v>
      </c>
      <c r="J72" s="35">
        <f>IFERROR(__xludf.DUMMYFUNCTION("AVERAGE(INDEX(GOOGLEFINANCE(B72,""price"",TODAY()-20,TODAY(),""DAILY""),0,2))+(2*STDEV(INDEX(GOOGLEFINANCE(B72,""price"",TODAY()-20,TODAY(),""DAILY""),0,2)))"),320.41447070603795)</f>
        <v>320.4144707</v>
      </c>
      <c r="K72" s="35">
        <f>IFERROR(__xludf.DUMMYFUNCTION("AVERAGE(INDEX(GOOGLEFINANCE(B72,""price"",TODAY()-20,TODAY(),""DAILY""),0,2))-(2*STDEV(INDEX(GOOGLEFINANCE(B72,""price"",TODAY()-20,TODAY(),""DAILY""),0,2)))"),293.6655292939621)</f>
        <v>293.6655293</v>
      </c>
      <c r="L72" s="35">
        <v>3569.0</v>
      </c>
      <c r="M72" s="35">
        <f t="shared" si="1"/>
        <v>0.6278700106</v>
      </c>
      <c r="N72" s="35">
        <v>-28.0</v>
      </c>
      <c r="O72" s="35">
        <f t="shared" si="2"/>
        <v>0.32</v>
      </c>
      <c r="P72" s="35">
        <v>1.12</v>
      </c>
      <c r="Q72" s="35">
        <f t="shared" si="3"/>
        <v>0.171561051</v>
      </c>
      <c r="R72" s="35" t="str">
        <f>IFERROR(__xludf.DUMMYFUNCTION("IF(B72="""", """", SPARKLINE(INDEX(GOOGLEFINANCE(B72, ""price"", TODAY()-1825, TODAY()), 0, 2)))"),"")</f>
        <v/>
      </c>
      <c r="S72" s="35">
        <f t="shared" si="4"/>
        <v>262.2454278</v>
      </c>
      <c r="T72" s="35">
        <f t="shared" si="5"/>
        <v>323.6190091</v>
      </c>
      <c r="U72" s="34" t="str">
        <f t="shared" si="6"/>
        <v>Compra</v>
      </c>
      <c r="V72" s="37">
        <f t="shared" si="7"/>
        <v>-0.007868773089</v>
      </c>
      <c r="W72" s="37">
        <f t="shared" si="8"/>
        <v>-0.1469779711</v>
      </c>
      <c r="X72" s="34">
        <f>IFERROR(__xludf.DUMMYFUNCTION("AJ72*GOOGLEFINANCE(""CURRENCY:USD/EUR"")"),260.18187800000004)</f>
        <v>260.181878</v>
      </c>
      <c r="Y72" s="35">
        <f>IFERROR(__xludf.DUMMYFUNCTION("AI72*GOOGLEFINANCE(""CURRENCY:USD/EUR"")"),305.01190962611656)</f>
        <v>305.0119096</v>
      </c>
      <c r="Z72" s="38">
        <f t="shared" si="9"/>
        <v>0.2438184074</v>
      </c>
      <c r="AA72" s="38">
        <f t="shared" si="10"/>
        <v>0.1933026675</v>
      </c>
      <c r="AB72" s="38">
        <f t="shared" si="11"/>
        <v>0.07321112361</v>
      </c>
      <c r="AC72" s="41">
        <v>270.0</v>
      </c>
      <c r="AD72" s="40">
        <f t="shared" si="12"/>
        <v>0.2948958409</v>
      </c>
      <c r="AE72" s="41">
        <v>362.0</v>
      </c>
      <c r="AF72" s="41">
        <f t="shared" si="13"/>
        <v>0.4278264852</v>
      </c>
      <c r="AG72" s="41">
        <v>440.0</v>
      </c>
      <c r="AH72" s="41">
        <f t="shared" si="14"/>
        <v>0.2772776739</v>
      </c>
      <c r="AI72" s="41">
        <f t="shared" si="15"/>
        <v>356.4972412</v>
      </c>
      <c r="AJ72" s="34">
        <f>IFERROR(__xludf.DUMMYFUNCTION("GOOGLEFINANCE(B72,""price"")"),304.1)</f>
        <v>304.1</v>
      </c>
      <c r="AK72" s="37">
        <f t="shared" ref="AK72:AK75" si="89">AP72+BN72</f>
        <v>-0.06738224006</v>
      </c>
      <c r="AL72" s="34">
        <v>391.06</v>
      </c>
      <c r="AM72" s="34">
        <f t="shared" si="16"/>
        <v>253.7201666</v>
      </c>
      <c r="AN72" s="34">
        <f t="shared" si="17"/>
        <v>237.1864208</v>
      </c>
      <c r="AO72" s="38">
        <f>IFERROR(__xludf.DUMMYFUNCTION("(GOOGLEFINANCE(B72, ""price"") - INDEX(GOOGLEFINANCE(B72, ""price"", DATE(2025,5,8)), 2, 2)) / INDEX(GOOGLEFINANCE(B72, ""price"", DATE(2025,5,8)), 2, 2)"),-0.211256646349371)</f>
        <v>-0.2112566463</v>
      </c>
      <c r="AP72" s="37">
        <f t="shared" si="18"/>
        <v>-0.08838224006</v>
      </c>
      <c r="AQ72" s="37">
        <f t="shared" si="19"/>
        <v>-0.2223699688</v>
      </c>
      <c r="AR72" s="37">
        <f t="shared" si="20"/>
        <v>0.1339877287</v>
      </c>
      <c r="AS72" s="34">
        <f>IFERROR(__xludf.DUMMYFUNCTION("IF(X72&lt;K72,1,IF(X72&gt;J72,-1,0)) + IF(X72&lt;F72,1,IF(X72&gt;G72,-1,0)) + IF(X72&lt;I72,1,IF(X72&gt;I72,-1,0)) + IF(X72&lt;H72,1,IF(X72&gt;H72,-1,0))"),1.0)</f>
        <v>1</v>
      </c>
      <c r="AT72" s="34" t="str">
        <f t="shared" si="85"/>
        <v>Hold</v>
      </c>
      <c r="AU72" s="35" t="str">
        <f t="shared" si="22"/>
        <v>hold</v>
      </c>
      <c r="AV72" s="35" t="str">
        <f t="shared" si="23"/>
        <v>venta</v>
      </c>
      <c r="AW72" s="38">
        <f t="shared" si="24"/>
        <v>0.1723026675</v>
      </c>
      <c r="AX72" s="38">
        <f t="shared" si="25"/>
        <v>-0.1214628617</v>
      </c>
      <c r="AY72" s="38">
        <f t="shared" si="26"/>
        <v>-0.1188179116</v>
      </c>
      <c r="AZ72" s="42">
        <f t="shared" si="27"/>
        <v>0.154101796</v>
      </c>
      <c r="BA72" s="38">
        <f t="shared" si="28"/>
        <v>0.7114394987</v>
      </c>
      <c r="BB72" s="38">
        <f t="shared" si="29"/>
        <v>0.2885605013</v>
      </c>
      <c r="BC72" s="38">
        <f t="shared" si="30"/>
        <v>-0.02483536298</v>
      </c>
      <c r="BD72" s="38">
        <f t="shared" si="31"/>
        <v>0.3432102688</v>
      </c>
      <c r="BE72" s="38">
        <f t="shared" si="32"/>
        <v>0.6567897312</v>
      </c>
      <c r="BF72" s="38">
        <f t="shared" si="33"/>
        <v>0.3588608978</v>
      </c>
      <c r="BG72" s="37">
        <f t="shared" si="34"/>
        <v>0.1411908245</v>
      </c>
      <c r="BH72" s="43">
        <f t="shared" si="35"/>
        <v>0.01118645646</v>
      </c>
      <c r="BI72" s="44">
        <f t="shared" si="36"/>
        <v>0.5097685189</v>
      </c>
      <c r="BJ72" s="38">
        <f t="shared" si="37"/>
        <v>0.3340255349</v>
      </c>
      <c r="BK72" s="43">
        <f t="shared" si="38"/>
        <v>-0.5021560938</v>
      </c>
      <c r="BL72" s="47">
        <v>364.71</v>
      </c>
      <c r="BM72" s="46">
        <f t="shared" si="39"/>
        <v>0.1153124773</v>
      </c>
      <c r="BN72" s="38">
        <v>0.021</v>
      </c>
      <c r="BO72" s="47">
        <v>410.06</v>
      </c>
      <c r="BP72" s="47">
        <f t="shared" si="40"/>
        <v>0.602117692</v>
      </c>
      <c r="BQ72" s="47">
        <v>23.82</v>
      </c>
      <c r="BR72" s="47">
        <f t="shared" si="41"/>
        <v>0.6149744501</v>
      </c>
      <c r="BS72" s="47">
        <v>0.082</v>
      </c>
      <c r="BT72" s="47">
        <f t="shared" si="80"/>
        <v>0.4496707432</v>
      </c>
      <c r="BU72" s="47">
        <v>0.8</v>
      </c>
      <c r="BV72" s="47">
        <f t="shared" si="72"/>
        <v>0.9603960396</v>
      </c>
      <c r="BW72" s="48">
        <f t="shared" si="44"/>
        <v>2.26777921</v>
      </c>
      <c r="BX72" s="49">
        <f t="shared" si="45"/>
        <v>1.008350581</v>
      </c>
      <c r="BY72" s="47">
        <f t="shared" si="46"/>
        <v>0.6567897312</v>
      </c>
      <c r="BZ72" s="50">
        <v>0.081</v>
      </c>
      <c r="CA72" s="50">
        <f t="shared" si="47"/>
        <v>0.1267489712</v>
      </c>
      <c r="CB72" s="50">
        <v>0.035</v>
      </c>
      <c r="CC72" s="50">
        <f t="shared" si="81"/>
        <v>0.1910593999</v>
      </c>
      <c r="CD72" s="50">
        <v>0.447</v>
      </c>
      <c r="CE72" s="50">
        <f t="shared" si="49"/>
        <v>0.6965792981</v>
      </c>
      <c r="CF72" s="50">
        <f t="shared" si="50"/>
        <v>0.3381292231</v>
      </c>
      <c r="CG72" s="51">
        <v>0.108</v>
      </c>
      <c r="CH72" s="51">
        <f t="shared" si="51"/>
        <v>0.1970912738</v>
      </c>
      <c r="CI72" s="51">
        <v>0.107</v>
      </c>
      <c r="CJ72" s="51">
        <f t="shared" si="52"/>
        <v>0.1694267516</v>
      </c>
      <c r="CK72" s="51">
        <v>0.106</v>
      </c>
      <c r="CL72" s="51">
        <f t="shared" si="82"/>
        <v>0.3305785124</v>
      </c>
      <c r="CM72" s="51">
        <v>0.213</v>
      </c>
      <c r="CN72" s="51">
        <f t="shared" si="83"/>
        <v>0.2058970515</v>
      </c>
      <c r="CO72" s="51">
        <v>0.086</v>
      </c>
      <c r="CP72" s="51">
        <f t="shared" si="84"/>
        <v>0.5398089172</v>
      </c>
      <c r="CQ72" s="51">
        <f t="shared" si="56"/>
        <v>0.2885605013</v>
      </c>
      <c r="CR72" s="52">
        <f t="shared" si="57"/>
        <v>0.4278264852</v>
      </c>
      <c r="CS72" s="53">
        <f t="shared" si="68"/>
        <v>0.436825268</v>
      </c>
      <c r="CT72" s="54">
        <f t="shared" si="59"/>
        <v>0.3787382996</v>
      </c>
      <c r="CU72" s="55">
        <f t="shared" si="60"/>
        <v>-0.03382955302</v>
      </c>
      <c r="CV72" s="34">
        <f t="shared" si="61"/>
        <v>1.645829378</v>
      </c>
      <c r="CW72" s="34">
        <f t="shared" si="62"/>
        <v>0.625370587</v>
      </c>
      <c r="CX72" s="35">
        <f t="shared" si="63"/>
        <v>0.2457805255</v>
      </c>
      <c r="CY72" s="38">
        <f>IFERROR(__xludf.DUMMYFUNCTION("(GOOGLEFINANCE(B72,""price"")/INDEX(GOOGLEFINANCE(B72,""price"",TODAY()-30),2,2))-1"),-0.01157121497757263)</f>
        <v>-0.01157121498</v>
      </c>
      <c r="CZ72" s="38">
        <f>IFERROR(__xludf.DUMMYFUNCTION("(GOOGLEFINANCE($B72,""price"")/INDEX(GOOGLEFINANCE($B72,""price"",TODAY()-180),2,2))-1"),-0.44039601045232035)</f>
        <v>-0.4403960105</v>
      </c>
      <c r="DA72" s="38">
        <f>IFERROR(__xludf.DUMMYFUNCTION("(GOOGLEFINANCE($B72,""price"")/INDEX(GOOGLEFINANCE($B72,""price"",TODAY()-365),2,2))-1"),-0.40993849079302247)</f>
        <v>-0.4099384908</v>
      </c>
      <c r="DB72" s="38">
        <f>IFERROR(__xludf.DUMMYFUNCTION("(GOOGLEFINANCE($B72,""price"")/INDEX(GOOGLEFINANCE($B72,""price"",TODAY()-365*5),2,2))-1"),9.866149241966049E-5)</f>
        <v>0.00009866149242</v>
      </c>
      <c r="DC72" s="38">
        <f>IFERROR(__xludf.DUMMYFUNCTION("(INDEX(GOOGLEFINANCE(B72, ""price"", TODAY()-30, TODAY()), ROWS(GOOGLEFINANCE(B72, ""price"", TODAY()-30, TODAY())), 2) / INDEX(GOOGLEFINANCE(B72, ""price"", TODAY()-30, TODAY()), 2, 2)) - 1"),-0.01157121497757263)</f>
        <v>-0.01157121498</v>
      </c>
      <c r="DD72" s="38">
        <f>IFERROR(__xludf.DUMMYFUNCTION("(INDEX(GOOGLEFINANCE(B72, ""price"", TODAY()-7, TODAY()), ROWS(GOOGLEFINANCE(B72, ""price"", TODAY()-7, TODAY())), 2) / INDEX(GOOGLEFINANCE(B72, ""price"", TODAY()-7, TODAY()), 2, 2)) - 1"),0.00128411971946929)</f>
        <v>0.001284119719</v>
      </c>
    </row>
    <row r="73">
      <c r="A73" s="34" t="str">
        <f>IFERROR(__xludf.DUMMYFUNCTION("GOOGLEFINANCE(B73,""name"")"),"United Therapeutics Corp")</f>
        <v>United Therapeutics Corp</v>
      </c>
      <c r="B73" s="35" t="s">
        <v>180</v>
      </c>
      <c r="C73" s="35" t="s">
        <v>93</v>
      </c>
      <c r="D73" s="35" t="s">
        <v>91</v>
      </c>
      <c r="E73" s="56">
        <v>2.0</v>
      </c>
      <c r="F73" s="35">
        <f>IFERROR(__xludf.DUMMYFUNCTION("IFERROR(MIN(INDEX(GOOGLEFINANCE(B73,""close"",TODAY()-100,TODAY()),0,2)) * GOOGLEFINANCE(""CURRENCY:USDEUR""),""Error en datos"")"),236.54220260000002)</f>
        <v>236.5422026</v>
      </c>
      <c r="G73" s="35">
        <f>IFERROR(__xludf.DUMMYFUNCTION("IFERROR(MAX(INDEX(GOOGLEFINANCE(B73,""close"",TODAY()-100,TODAY()),0,2)) * GOOGLEFINANCE(""CURRENCY:USDEUR""),""Error en datos"")"),280.972472)</f>
        <v>280.972472</v>
      </c>
      <c r="H73" s="35">
        <f>IFERROR(__xludf.DUMMYFUNCTION("IFERROR(AVERAGE(INDEX(GOOGLEFINANCE(B73,""close"",TODAY()-20,TODAY()),0,2)) * GOOGLEFINANCE(""CURRENCY:USDEUR""),""Error en datos"")"),249.65100447692305)</f>
        <v>249.6510045</v>
      </c>
      <c r="I73" s="35">
        <f>IFERROR(__xludf.DUMMYFUNCTION("IFERROR(PERCENTILE(INDEX(GOOGLEFINANCE(B73,""close"",TODAY()-365,TODAY()),0,2),0.05) * GOOGLEFINANCE(""CURRENCY:USDEUR""),""Error en datos"")"),244.26980116000001)</f>
        <v>244.2698012</v>
      </c>
      <c r="J73" s="35">
        <f>IFERROR(__xludf.DUMMYFUNCTION("AVERAGE(INDEX(GOOGLEFINANCE(B73,""price"",TODAY()-20,TODAY(),""DAILY""),0,2))+(2*STDEV(INDEX(GOOGLEFINANCE(B73,""price"",TODAY()-20,TODAY(),""DAILY""),0,2)))"),302.7830165124463)</f>
        <v>302.7830165</v>
      </c>
      <c r="K73" s="35">
        <f>IFERROR(__xludf.DUMMYFUNCTION("AVERAGE(INDEX(GOOGLEFINANCE(B73,""price"",TODAY()-20,TODAY(),""DAILY""),0,2))-(2*STDEV(INDEX(GOOGLEFINANCE(B73,""price"",TODAY()-20,TODAY(),""DAILY""),0,2)))"),280.8000604106306)</f>
        <v>280.8000604</v>
      </c>
      <c r="L73" s="35">
        <v>659.0</v>
      </c>
      <c r="M73" s="35">
        <f t="shared" si="1"/>
        <v>0.1139173437</v>
      </c>
      <c r="N73" s="35">
        <v>-50.0</v>
      </c>
      <c r="O73" s="35">
        <f t="shared" si="2"/>
        <v>0.2222222222</v>
      </c>
      <c r="P73" s="35">
        <v>44.0</v>
      </c>
      <c r="Q73" s="35">
        <f t="shared" si="3"/>
        <v>1</v>
      </c>
      <c r="R73" s="35" t="str">
        <f>IFERROR(__xludf.DUMMYFUNCTION("IF(B73="""", """", SPARKLINE(INDEX(GOOGLEFINANCE(B73, ""price"", TODAY()-1825, TODAY()), 0, 2)))"),"")</f>
        <v/>
      </c>
      <c r="S73" s="35">
        <f t="shared" si="4"/>
        <v>253.8706881</v>
      </c>
      <c r="T73" s="35">
        <f t="shared" si="5"/>
        <v>309.1118559</v>
      </c>
      <c r="U73" s="34" t="str">
        <f t="shared" si="6"/>
        <v>Compra</v>
      </c>
      <c r="V73" s="37">
        <f t="shared" si="7"/>
        <v>-0.004055948581</v>
      </c>
      <c r="W73" s="37">
        <f t="shared" si="8"/>
        <v>-0.1910606896</v>
      </c>
      <c r="X73" s="34">
        <f>IFERROR(__xludf.DUMMYFUNCTION("AJ73*GOOGLEFINANCE(""CURRENCY:USD/EUR"")"),252.8410016)</f>
        <v>252.8410016</v>
      </c>
      <c r="Y73" s="35">
        <f>IFERROR(__xludf.DUMMYFUNCTION("AI73*GOOGLEFINANCE(""CURRENCY:USD/EUR"")"),312.55867820484735)</f>
        <v>312.5586782</v>
      </c>
      <c r="Z73" s="38">
        <f t="shared" si="9"/>
        <v>0.2225543085</v>
      </c>
      <c r="AA73" s="38">
        <f t="shared" si="10"/>
        <v>0.2361866795</v>
      </c>
      <c r="AB73" s="38">
        <f t="shared" si="11"/>
        <v>0.09850758771</v>
      </c>
      <c r="AC73" s="41">
        <v>314.0</v>
      </c>
      <c r="AD73" s="40">
        <f t="shared" si="12"/>
        <v>0.3319500981</v>
      </c>
      <c r="AE73" s="41">
        <v>372.0</v>
      </c>
      <c r="AF73" s="41">
        <f t="shared" si="13"/>
        <v>0.4585333484</v>
      </c>
      <c r="AG73" s="41">
        <v>432.0</v>
      </c>
      <c r="AH73" s="41">
        <f t="shared" si="14"/>
        <v>0.2095165535</v>
      </c>
      <c r="AI73" s="41">
        <f t="shared" si="15"/>
        <v>365.3178875</v>
      </c>
      <c r="AJ73" s="34">
        <f>IFERROR(__xludf.DUMMYFUNCTION("GOOGLEFINANCE(B73,""price"")"),295.52)</f>
        <v>295.52</v>
      </c>
      <c r="AK73" s="37">
        <f t="shared" si="89"/>
        <v>0.1902707139</v>
      </c>
      <c r="AL73" s="34">
        <v>306.92</v>
      </c>
      <c r="AM73" s="34">
        <f t="shared" si="16"/>
        <v>287.170166</v>
      </c>
      <c r="AN73" s="34">
        <f t="shared" si="17"/>
        <v>300.9492395</v>
      </c>
      <c r="AO73" s="38">
        <f>IFERROR(__xludf.DUMMYFUNCTION("(GOOGLEFINANCE(B73, ""price"") - INDEX(GOOGLEFINANCE(B73, ""price"", DATE(2025,5,8)), 2, 2)) / INDEX(GOOGLEFINANCE(B73, ""price"", DATE(2025,5,8)), 2, 2)"),-0.04051948051948058)</f>
        <v>-0.04051948052</v>
      </c>
      <c r="AP73" s="37">
        <f t="shared" si="18"/>
        <v>0.1902707139</v>
      </c>
      <c r="AQ73" s="37">
        <f t="shared" si="19"/>
        <v>-0.03714322951</v>
      </c>
      <c r="AR73" s="37">
        <f t="shared" si="20"/>
        <v>0.2274139434</v>
      </c>
      <c r="AS73" s="34">
        <f>IFERROR(__xludf.DUMMYFUNCTION("IF(X73&lt;K73,1,IF(X73&gt;J73,-1,0)) + IF(X73&lt;F73,1,IF(X73&gt;G73,-1,0)) + IF(X73&lt;I73,1,IF(X73&gt;I73,-1,0)) + IF(X73&lt;H73,1,IF(X73&gt;H73,-1,0))"),-1.0)</f>
        <v>-1</v>
      </c>
      <c r="AT73" s="34" t="str">
        <f t="shared" si="85"/>
        <v>recompra</v>
      </c>
      <c r="AU73" s="35" t="str">
        <f t="shared" si="22"/>
        <v>compra</v>
      </c>
      <c r="AV73" s="35" t="str">
        <f t="shared" si="23"/>
        <v>compra</v>
      </c>
      <c r="AW73" s="38">
        <f t="shared" si="24"/>
        <v>0.2361866795</v>
      </c>
      <c r="AX73" s="38">
        <f t="shared" si="25"/>
        <v>0.08163464146</v>
      </c>
      <c r="AY73" s="38">
        <f t="shared" si="26"/>
        <v>0.06959978721</v>
      </c>
      <c r="AZ73" s="42">
        <f t="shared" si="27"/>
        <v>0.2342073226</v>
      </c>
      <c r="BA73" s="38">
        <f t="shared" si="28"/>
        <v>0.626830155</v>
      </c>
      <c r="BB73" s="38">
        <f t="shared" si="29"/>
        <v>0.373169845</v>
      </c>
      <c r="BC73" s="38">
        <f t="shared" si="30"/>
        <v>0.1357737243</v>
      </c>
      <c r="BD73" s="38">
        <f t="shared" si="31"/>
        <v>0.379698591</v>
      </c>
      <c r="BE73" s="38">
        <f t="shared" si="32"/>
        <v>0.620301409</v>
      </c>
      <c r="BF73" s="38">
        <f t="shared" si="33"/>
        <v>0.3847390516</v>
      </c>
      <c r="BG73" s="37">
        <f t="shared" si="34"/>
        <v>0.2081582572</v>
      </c>
      <c r="BH73" s="43">
        <f t="shared" si="35"/>
        <v>0.1388790222</v>
      </c>
      <c r="BI73" s="44">
        <f t="shared" si="36"/>
        <v>0.4807153805</v>
      </c>
      <c r="BJ73" s="38">
        <f t="shared" si="37"/>
        <v>0.520512776</v>
      </c>
      <c r="BK73" s="43">
        <f t="shared" si="38"/>
        <v>0.2290573332</v>
      </c>
      <c r="BL73" s="47">
        <v>13.25</v>
      </c>
      <c r="BM73" s="46">
        <f t="shared" si="39"/>
        <v>0.004149705694</v>
      </c>
      <c r="BN73" s="38">
        <v>0.0</v>
      </c>
      <c r="BO73" s="47">
        <v>2.99</v>
      </c>
      <c r="BP73" s="58">
        <f t="shared" si="40"/>
        <v>0.004302938628</v>
      </c>
      <c r="BQ73" s="47">
        <v>25.1</v>
      </c>
      <c r="BR73" s="47">
        <f t="shared" si="41"/>
        <v>0.643412575</v>
      </c>
      <c r="BS73" s="47">
        <v>0.49</v>
      </c>
      <c r="BT73" s="47">
        <f t="shared" si="80"/>
        <v>0.8334901223</v>
      </c>
      <c r="BU73" s="47">
        <v>0.0</v>
      </c>
      <c r="BV73" s="47">
        <f t="shared" si="72"/>
        <v>1</v>
      </c>
      <c r="BW73" s="48">
        <f t="shared" si="44"/>
        <v>1.530574811</v>
      </c>
      <c r="BX73" s="49">
        <f t="shared" si="45"/>
        <v>0.8225517389</v>
      </c>
      <c r="BY73" s="47">
        <f t="shared" si="46"/>
        <v>0.620301409</v>
      </c>
      <c r="BZ73" s="50">
        <v>0.198</v>
      </c>
      <c r="CA73" s="50">
        <f t="shared" si="47"/>
        <v>0.2230452675</v>
      </c>
      <c r="CB73" s="50">
        <v>0.175</v>
      </c>
      <c r="CC73" s="50">
        <f t="shared" si="81"/>
        <v>0.2339252909</v>
      </c>
      <c r="CD73" s="50">
        <v>0.189</v>
      </c>
      <c r="CE73" s="50">
        <f t="shared" si="49"/>
        <v>0.6894158152</v>
      </c>
      <c r="CF73" s="50">
        <f t="shared" si="50"/>
        <v>0.3821287912</v>
      </c>
      <c r="CG73" s="51">
        <v>0.159</v>
      </c>
      <c r="CH73" s="51">
        <f t="shared" si="51"/>
        <v>0.222668004</v>
      </c>
      <c r="CI73" s="51">
        <v>0.157</v>
      </c>
      <c r="CJ73" s="51">
        <f t="shared" si="52"/>
        <v>0.2331210191</v>
      </c>
      <c r="CK73" s="51">
        <v>0.174</v>
      </c>
      <c r="CL73" s="51">
        <f t="shared" si="82"/>
        <v>0.3867768595</v>
      </c>
      <c r="CM73" s="51">
        <v>0.171</v>
      </c>
      <c r="CN73" s="51">
        <f t="shared" si="83"/>
        <v>0.1849075462</v>
      </c>
      <c r="CO73" s="51">
        <v>0.461</v>
      </c>
      <c r="CP73" s="51">
        <f t="shared" si="84"/>
        <v>0.8383757962</v>
      </c>
      <c r="CQ73" s="51">
        <f t="shared" si="56"/>
        <v>0.373169845</v>
      </c>
      <c r="CR73" s="52">
        <f t="shared" si="57"/>
        <v>0.4585333484</v>
      </c>
      <c r="CS73" s="53">
        <f t="shared" si="68"/>
        <v>0.3625142274</v>
      </c>
      <c r="CT73" s="54">
        <f t="shared" si="59"/>
        <v>0.4170751201</v>
      </c>
      <c r="CU73" s="55">
        <f t="shared" si="60"/>
        <v>0.0973012511</v>
      </c>
      <c r="CV73" s="34">
        <f t="shared" si="61"/>
        <v>1.505698614</v>
      </c>
      <c r="CW73" s="34">
        <f t="shared" si="62"/>
        <v>0.6056913276</v>
      </c>
      <c r="CX73" s="35">
        <f t="shared" si="63"/>
        <v>0.6111111111</v>
      </c>
      <c r="CY73" s="38">
        <f>IFERROR(__xludf.DUMMYFUNCTION("(GOOGLEFINANCE(B73,""price"")/INDEX(GOOGLEFINANCE(B73,""price"",TODAY()-30),2,2))-1"),0.02411976711948971)</f>
        <v>0.02411976712</v>
      </c>
      <c r="CZ73" s="38">
        <f>IFERROR(__xludf.DUMMYFUNCTION("(GOOGLEFINANCE($B73,""price"")/INDEX(GOOGLEFINANCE($B73,""price"",TODAY()-180),2,2))-1"),-0.18283375732772922)</f>
        <v>-0.1828337573</v>
      </c>
      <c r="DA73" s="38">
        <f>IFERROR(__xludf.DUMMYFUNCTION("(GOOGLEFINANCE($B73,""price"")/INDEX(GOOGLEFINANCE($B73,""price"",TODAY()-365),2,2))-1"),-0.09698710505408548)</f>
        <v>-0.09698710505</v>
      </c>
      <c r="DB73" s="38">
        <f>IFERROR(__xludf.DUMMYFUNCTION("(GOOGLEFINANCE($B73,""price"")/INDEX(GOOGLEFINANCE($B73,""price"",TODAY()-365*5),2,2))-1"),1.4396928919342855)</f>
        <v>1.439692892</v>
      </c>
      <c r="DC73" s="38">
        <f>IFERROR(__xludf.DUMMYFUNCTION("(INDEX(GOOGLEFINANCE(B73, ""price"", TODAY()-30, TODAY()), ROWS(GOOGLEFINANCE(B73, ""price"", TODAY()-30, TODAY())), 2) / INDEX(GOOGLEFINANCE(B73, ""price"", TODAY()-30, TODAY()), 2, 2)) - 1"),0.02411976711948971)</f>
        <v>0.02411976712</v>
      </c>
      <c r="DD73" s="38">
        <f>IFERROR(__xludf.DUMMYFUNCTION("(INDEX(GOOGLEFINANCE(B73, ""price"", TODAY()-7, TODAY()), ROWS(GOOGLEFINANCE(B73, ""price"", TODAY()-7, TODAY())), 2) / INDEX(GOOGLEFINANCE(B73, ""price"", TODAY()-7, TODAY()), 2, 2)) - 1"),0.01766589758600512)</f>
        <v>0.01766589759</v>
      </c>
    </row>
    <row r="74">
      <c r="A74" s="34" t="str">
        <f>IFERROR(__xludf.DUMMYFUNCTION("GOOGLEFINANCE(B74,""name"")"),"Visa Inc")</f>
        <v>Visa Inc</v>
      </c>
      <c r="B74" s="35" t="s">
        <v>181</v>
      </c>
      <c r="C74" s="35" t="s">
        <v>111</v>
      </c>
      <c r="D74" s="35" t="s">
        <v>100</v>
      </c>
      <c r="E74" s="57">
        <v>3.0</v>
      </c>
      <c r="F74" s="35">
        <f>IFERROR(__xludf.DUMMYFUNCTION("IFERROR(MIN(INDEX(GOOGLEFINANCE(B74,""close"",TODAY()-100,TODAY()),0,2)) * GOOGLEFINANCE(""CURRENCY:USDEUR""),""Error en datos"")"),263.7496466)</f>
        <v>263.7496466</v>
      </c>
      <c r="G74" s="35">
        <f>IFERROR(__xludf.DUMMYFUNCTION("IFERROR(MAX(INDEX(GOOGLEFINANCE(B74,""close"",TODAY()-100,TODAY()),0,2)) * GOOGLEFINANCE(""CURRENCY:USDEUR""),""Error en datos"")"),319.3965698)</f>
        <v>319.3965698</v>
      </c>
      <c r="H74" s="35">
        <f>IFERROR(__xludf.DUMMYFUNCTION("IFERROR(AVERAGE(INDEX(GOOGLEFINANCE(B74,""close"",TODAY()-20,TODAY()),0,2)) * GOOGLEFINANCE(""CURRENCY:USDEUR""),""Error en datos"")"),301.9466866307693)</f>
        <v>301.9466866</v>
      </c>
      <c r="I74" s="35">
        <f>IFERROR(__xludf.DUMMYFUNCTION("IFERROR(PERCENTILE(INDEX(GOOGLEFINANCE(B74,""close"",TODAY()-365,TODAY()),0,2),0.05) * GOOGLEFINANCE(""CURRENCY:USDEUR""),""Error en datos"")"),225.60917357000002)</f>
        <v>225.6091736</v>
      </c>
      <c r="J74" s="35">
        <f>IFERROR(__xludf.DUMMYFUNCTION("AVERAGE(INDEX(GOOGLEFINANCE(B74,""price"",TODAY()-20,TODAY(),""DAILY""),0,2))+(2*STDEV(INDEX(GOOGLEFINANCE(B74,""price"",TODAY()-20,TODAY(),""DAILY""),0,2)))"),362.006427141666)</f>
        <v>362.0064271</v>
      </c>
      <c r="K74" s="35">
        <f>IFERROR(__xludf.DUMMYFUNCTION("AVERAGE(INDEX(GOOGLEFINANCE(B74,""price"",TODAY()-20,TODAY(),""DAILY""),0,2))-(2*STDEV(INDEX(GOOGLEFINANCE(B74,""price"",TODAY()-20,TODAY(),""DAILY""),0,2)))"),343.822803627565)</f>
        <v>343.8228036</v>
      </c>
      <c r="L74" s="35">
        <v>4159.0</v>
      </c>
      <c r="M74" s="35">
        <f t="shared" si="1"/>
        <v>0.7320734723</v>
      </c>
      <c r="N74" s="35">
        <v>16.86</v>
      </c>
      <c r="O74" s="35">
        <f t="shared" si="2"/>
        <v>0.5193777778</v>
      </c>
      <c r="P74" s="35">
        <v>1.41</v>
      </c>
      <c r="Q74" s="35">
        <f t="shared" si="3"/>
        <v>0.1771638331</v>
      </c>
      <c r="R74" s="35" t="str">
        <f>IFERROR(__xludf.DUMMYFUNCTION("IF(B74="""", """", SPARKLINE(INDEX(GOOGLEFINANCE(B74, ""price"", TODAY()-1825, TODAY()), 0, 2)))"),"")</f>
        <v/>
      </c>
      <c r="S74" s="35">
        <f t="shared" si="4"/>
        <v>277.7272079</v>
      </c>
      <c r="T74" s="35">
        <f t="shared" si="5"/>
        <v>325.1834393</v>
      </c>
      <c r="U74" s="34" t="str">
        <f t="shared" si="6"/>
        <v/>
      </c>
      <c r="V74" s="37">
        <f t="shared" si="7"/>
        <v>0.07185014971</v>
      </c>
      <c r="W74" s="37">
        <f t="shared" si="8"/>
        <v>-0.0757510281</v>
      </c>
      <c r="X74" s="34">
        <f>IFERROR(__xludf.DUMMYFUNCTION("AJ74*GOOGLEFINANCE(""CURRENCY:USD/EUR"")"),297.6819494)</f>
        <v>297.6819494</v>
      </c>
      <c r="Y74" s="35">
        <f>IFERROR(__xludf.DUMMYFUNCTION("AI74*GOOGLEFINANCE(""CURRENCY:USD/EUR"")"),322.07982746141863)</f>
        <v>322.0798275</v>
      </c>
      <c r="Z74" s="38">
        <f t="shared" si="9"/>
        <v>0.09238548038</v>
      </c>
      <c r="AA74" s="38">
        <f t="shared" si="10"/>
        <v>0.08895954814</v>
      </c>
      <c r="AB74" s="38">
        <f t="shared" si="11"/>
        <v>0.02781626276</v>
      </c>
      <c r="AC74" s="41">
        <v>300.0</v>
      </c>
      <c r="AD74" s="40">
        <f t="shared" si="12"/>
        <v>0.2642928157</v>
      </c>
      <c r="AE74" s="41">
        <v>390.0</v>
      </c>
      <c r="AF74" s="41">
        <f t="shared" si="13"/>
        <v>0.4433489272</v>
      </c>
      <c r="AG74" s="41">
        <v>425.0</v>
      </c>
      <c r="AH74" s="41">
        <f t="shared" si="14"/>
        <v>0.2923582571</v>
      </c>
      <c r="AI74" s="41">
        <f t="shared" si="15"/>
        <v>376.4461856</v>
      </c>
      <c r="AJ74" s="34">
        <f>IFERROR(__xludf.DUMMYFUNCTION("GOOGLEFINANCE(B74,""price"")"),347.93)</f>
        <v>347.93</v>
      </c>
      <c r="AK74" s="37">
        <f t="shared" si="89"/>
        <v>0.08302168239</v>
      </c>
      <c r="AL74" s="34">
        <v>349.85</v>
      </c>
      <c r="AM74" s="34">
        <f t="shared" si="16"/>
        <v>287.3787768</v>
      </c>
      <c r="AN74" s="34">
        <f t="shared" si="17"/>
        <v>320.312232</v>
      </c>
      <c r="AO74" s="38">
        <f>IFERROR(__xludf.DUMMYFUNCTION("(GOOGLEFINANCE(B74, ""price"") - INDEX(GOOGLEFINANCE(B74, ""price"", DATE(2025,5,8)), 2, 2)) / INDEX(GOOGLEFINANCE(B74, ""price"", DATE(2025,5,8)), 2, 2)"),-0.009508355396133957)</f>
        <v>-0.009508355396</v>
      </c>
      <c r="AP74" s="37">
        <f t="shared" si="18"/>
        <v>0.07602168239</v>
      </c>
      <c r="AQ74" s="37">
        <f t="shared" si="19"/>
        <v>-0.005488066314</v>
      </c>
      <c r="AR74" s="37">
        <f t="shared" si="20"/>
        <v>0.0815097487</v>
      </c>
      <c r="AS74" s="34">
        <f>IFERROR(__xludf.DUMMYFUNCTION("IF(X74&lt;K74,1,IF(X74&gt;J74,-1,0)) + IF(X74&lt;F74,1,IF(X74&gt;G74,-1,0)) + IF(X74&lt;I74,1,IF(X74&gt;I74,-1,0)) + IF(X74&lt;H74,1,IF(X74&gt;H74,-1,0))"),1.0)</f>
        <v>1</v>
      </c>
      <c r="AT74" s="34" t="str">
        <f t="shared" si="85"/>
        <v>Hold</v>
      </c>
      <c r="AU74" s="35" t="str">
        <f t="shared" si="22"/>
        <v>hold</v>
      </c>
      <c r="AV74" s="35" t="str">
        <f t="shared" si="23"/>
        <v>hold</v>
      </c>
      <c r="AW74" s="38">
        <f t="shared" si="24"/>
        <v>0.08195954814</v>
      </c>
      <c r="AX74" s="38">
        <f t="shared" si="25"/>
        <v>0.1843069416</v>
      </c>
      <c r="AY74" s="38">
        <f t="shared" si="26"/>
        <v>0.1890147899</v>
      </c>
      <c r="AZ74" s="42">
        <f t="shared" si="27"/>
        <v>0.1066052922</v>
      </c>
      <c r="BA74" s="38">
        <f t="shared" si="28"/>
        <v>0.6012480582</v>
      </c>
      <c r="BB74" s="38">
        <f t="shared" si="29"/>
        <v>0.3987519418</v>
      </c>
      <c r="BC74" s="38">
        <f t="shared" si="30"/>
        <v>-0.03461134492</v>
      </c>
      <c r="BD74" s="38">
        <f t="shared" si="31"/>
        <v>0.4156374352</v>
      </c>
      <c r="BE74" s="38">
        <f t="shared" si="32"/>
        <v>0.5843625648</v>
      </c>
      <c r="BF74" s="38">
        <f t="shared" si="33"/>
        <v>0.179699048</v>
      </c>
      <c r="BG74" s="37">
        <f t="shared" si="34"/>
        <v>0.1406667328</v>
      </c>
      <c r="BH74" s="43">
        <f t="shared" si="35"/>
        <v>0.1648407614</v>
      </c>
      <c r="BI74" s="44">
        <f t="shared" si="36"/>
        <v>0.3852912862</v>
      </c>
      <c r="BJ74" s="38">
        <f t="shared" si="37"/>
        <v>0.1450877031</v>
      </c>
      <c r="BK74" s="43">
        <f t="shared" si="38"/>
        <v>0.3444803691</v>
      </c>
      <c r="BL74" s="35">
        <v>654.98</v>
      </c>
      <c r="BM74" s="46">
        <f t="shared" si="39"/>
        <v>0.2071215529</v>
      </c>
      <c r="BN74" s="38">
        <v>0.007</v>
      </c>
      <c r="BO74" s="35">
        <v>37.62</v>
      </c>
      <c r="BP74" s="47">
        <f t="shared" si="40"/>
        <v>0.0551598549</v>
      </c>
      <c r="BQ74" s="35">
        <v>9.96</v>
      </c>
      <c r="BR74" s="47">
        <f t="shared" si="41"/>
        <v>0.3070428794</v>
      </c>
      <c r="BS74" s="38">
        <v>0.667</v>
      </c>
      <c r="BT74" s="47">
        <f t="shared" si="80"/>
        <v>1</v>
      </c>
      <c r="BU74" s="35">
        <v>0.5</v>
      </c>
      <c r="BV74" s="47">
        <f t="shared" si="72"/>
        <v>0.9752475248</v>
      </c>
      <c r="BW74" s="48">
        <f t="shared" si="44"/>
        <v>1.039243438</v>
      </c>
      <c r="BX74" s="49">
        <f t="shared" si="45"/>
        <v>0.6057418111</v>
      </c>
      <c r="BY74" s="47">
        <f t="shared" si="46"/>
        <v>0.5843625648</v>
      </c>
      <c r="BZ74" s="38">
        <v>0.102</v>
      </c>
      <c r="CA74" s="50">
        <f t="shared" si="47"/>
        <v>0.1440329218</v>
      </c>
      <c r="CB74" s="38">
        <v>0.095</v>
      </c>
      <c r="CC74" s="50">
        <f t="shared" si="81"/>
        <v>0.209430496</v>
      </c>
      <c r="CD74" s="38">
        <v>0.114</v>
      </c>
      <c r="CE74" s="50">
        <f t="shared" si="49"/>
        <v>0.6873334074</v>
      </c>
      <c r="CF74" s="50">
        <f t="shared" si="50"/>
        <v>0.3469322751</v>
      </c>
      <c r="CG74" s="38">
        <v>0.124</v>
      </c>
      <c r="CH74" s="51">
        <f t="shared" si="51"/>
        <v>0.205115346</v>
      </c>
      <c r="CI74" s="38">
        <v>0.095</v>
      </c>
      <c r="CJ74" s="51">
        <f t="shared" si="52"/>
        <v>0.1541401274</v>
      </c>
      <c r="CK74" s="38">
        <v>0.094</v>
      </c>
      <c r="CL74" s="51">
        <f t="shared" si="82"/>
        <v>0.320661157</v>
      </c>
      <c r="CM74" s="38">
        <v>0.429</v>
      </c>
      <c r="CN74" s="51">
        <f t="shared" si="83"/>
        <v>0.3138430785</v>
      </c>
      <c r="CO74" s="38">
        <v>0.664</v>
      </c>
      <c r="CP74" s="51">
        <f t="shared" si="84"/>
        <v>1</v>
      </c>
      <c r="CQ74" s="51">
        <f t="shared" si="56"/>
        <v>0.3987519418</v>
      </c>
      <c r="CR74" s="52">
        <f t="shared" si="57"/>
        <v>0.4433489272</v>
      </c>
      <c r="CS74" s="53">
        <f t="shared" si="68"/>
        <v>0.5401721388</v>
      </c>
      <c r="CT74" s="54">
        <f t="shared" si="59"/>
        <v>0.3126843981</v>
      </c>
      <c r="CU74" s="55">
        <f t="shared" si="60"/>
        <v>0.04163345027</v>
      </c>
      <c r="CV74" s="34">
        <f t="shared" si="61"/>
        <v>1.874379209</v>
      </c>
      <c r="CW74" s="34">
        <f t="shared" si="62"/>
        <v>0.6902692658</v>
      </c>
      <c r="CX74" s="35">
        <f t="shared" si="63"/>
        <v>0.3482708054</v>
      </c>
      <c r="CY74" s="38">
        <f>IFERROR(__xludf.DUMMYFUNCTION("(GOOGLEFINANCE(B74,""price"")/INDEX(GOOGLEFINANCE(B74,""price"",TODAY()-30),2,2))-1"),-0.021238888263756084)</f>
        <v>-0.02123888826</v>
      </c>
      <c r="CZ74" s="38">
        <f>IFERROR(__xludf.DUMMYFUNCTION("(GOOGLEFINANCE($B74,""price"")/INDEX(GOOGLEFINANCE($B74,""price"",TODAY()-180),2,2))-1"),0.10006955861894529)</f>
        <v>0.1000695586</v>
      </c>
      <c r="DA74" s="38">
        <f>IFERROR(__xludf.DUMMYFUNCTION("(GOOGLEFINANCE($B74,""price"")/INDEX(GOOGLEFINANCE($B74,""price"",TODAY()-365),2,2))-1"),0.2960700316632521)</f>
        <v>0.2960700317</v>
      </c>
      <c r="DB74" s="38">
        <f>IFERROR(__xludf.DUMMYFUNCTION("(GOOGLEFINANCE($B74,""price"")/INDEX(GOOGLEFINANCE($B74,""price"",TODAY()-365*5),2,2))-1"),0.770185703383363)</f>
        <v>0.7701857034</v>
      </c>
      <c r="DC74" s="38">
        <f>IFERROR(__xludf.DUMMYFUNCTION("(INDEX(GOOGLEFINANCE(B74, ""price"", TODAY()-30, TODAY()), ROWS(GOOGLEFINANCE(B74, ""price"", TODAY()-30, TODAY())), 2) / INDEX(GOOGLEFINANCE(B74, ""price"", TODAY()-30, TODAY()), 2, 2)) - 1"),-0.021238888263756084)</f>
        <v>-0.02123888826</v>
      </c>
      <c r="DD74" s="38">
        <f>IFERROR(__xludf.DUMMYFUNCTION("(INDEX(GOOGLEFINANCE(B74, ""price"", TODAY()-7, TODAY()), ROWS(GOOGLEFINANCE(B74, ""price"", TODAY()-7, TODAY())), 2) / INDEX(GOOGLEFINANCE(B74, ""price"", TODAY()-7, TODAY()), 2, 2)) - 1"),-0.024422386720502454)</f>
        <v>-0.02442238672</v>
      </c>
    </row>
    <row r="75">
      <c r="A75" s="34" t="str">
        <f>IFERROR(__xludf.DUMMYFUNCTION("GOOGLEFINANCE(B75,""name"")"),"Veeva Systems Inc")</f>
        <v>Veeva Systems Inc</v>
      </c>
      <c r="B75" s="35" t="s">
        <v>182</v>
      </c>
      <c r="C75" s="35" t="s">
        <v>90</v>
      </c>
      <c r="D75" s="35" t="s">
        <v>100</v>
      </c>
      <c r="E75" s="57">
        <v>3.0</v>
      </c>
      <c r="F75" s="35">
        <f>IFERROR(__xludf.DUMMYFUNCTION("IFERROR(MIN(INDEX(GOOGLEFINANCE(B75,""close"",TODAY()-100,TODAY()),0,2)) * GOOGLEFINANCE(""CURRENCY:USDEUR""),""Error en datos"")"),179.1498962)</f>
        <v>179.1498962</v>
      </c>
      <c r="G75" s="35">
        <f>IFERROR(__xludf.DUMMYFUNCTION("IFERROR(MAX(INDEX(GOOGLEFINANCE(B75,""close"",TODAY()-100,TODAY()),0,2)) * GOOGLEFINANCE(""CURRENCY:USDEUR""),""Error en datos"")"),248.0668652)</f>
        <v>248.0668652</v>
      </c>
      <c r="H75" s="35">
        <f>IFERROR(__xludf.DUMMYFUNCTION("IFERROR(AVERAGE(INDEX(GOOGLEFINANCE(B75,""close"",TODAY()-20,TODAY()),0,2)) * GOOGLEFINANCE(""CURRENCY:USDEUR""),""Error en datos"")"),241.34134826153846)</f>
        <v>241.3413483</v>
      </c>
      <c r="I75" s="35">
        <f>IFERROR(__xludf.DUMMYFUNCTION("IFERROR(PERCENTILE(INDEX(GOOGLEFINANCE(B75,""close"",TODAY()-365,TODAY()),0,2),0.05) * GOOGLEFINANCE(""CURRENCY:USDEUR""),""Error en datos"")"),159.79838776)</f>
        <v>159.7983878</v>
      </c>
      <c r="J75" s="35">
        <f>IFERROR(__xludf.DUMMYFUNCTION("AVERAGE(INDEX(GOOGLEFINANCE(B75,""price"",TODAY()-20,TODAY(),""DAILY""),0,2))+(2*STDEV(INDEX(GOOGLEFINANCE(B75,""price"",TODAY()-20,TODAY(),""DAILY""),0,2)))"),287.76676955467195)</f>
        <v>287.7667696</v>
      </c>
      <c r="K75" s="35">
        <f>IFERROR(__xludf.DUMMYFUNCTION("AVERAGE(INDEX(GOOGLEFINANCE(B75,""price"",TODAY()-20,TODAY(),""DAILY""),0,2))-(2*STDEV(INDEX(GOOGLEFINANCE(B75,""price"",TODAY()-20,TODAY(),""DAILY""),0,2)))"),276.3916919837896)</f>
        <v>276.391692</v>
      </c>
      <c r="L75" s="35">
        <v>973.0</v>
      </c>
      <c r="M75" s="35">
        <f t="shared" si="1"/>
        <v>0.1693747792</v>
      </c>
      <c r="N75" s="35">
        <v>33.33</v>
      </c>
      <c r="O75" s="35">
        <f t="shared" si="2"/>
        <v>0.5925777778</v>
      </c>
      <c r="P75" s="35">
        <v>3.93</v>
      </c>
      <c r="Q75" s="35">
        <f t="shared" si="3"/>
        <v>0.2258500773</v>
      </c>
      <c r="R75" s="35" t="str">
        <f>IFERROR(__xludf.DUMMYFUNCTION("IF(B75="""", """", SPARKLINE(INDEX(GOOGLEFINANCE(B75, ""price"", TODAY()-1825, TODAY()), 0, 2)))"),"")</f>
        <v/>
      </c>
      <c r="S75" s="35">
        <f t="shared" si="4"/>
        <v>205.1133253</v>
      </c>
      <c r="T75" s="35">
        <f t="shared" si="5"/>
        <v>242.0170022</v>
      </c>
      <c r="U75" s="34" t="str">
        <f t="shared" si="6"/>
        <v/>
      </c>
      <c r="V75" s="37">
        <f t="shared" si="7"/>
        <v>0.1508075638</v>
      </c>
      <c r="W75" s="37">
        <f t="shared" si="8"/>
        <v>-0.00334015743</v>
      </c>
      <c r="X75" s="34">
        <f>IFERROR(__xludf.DUMMYFUNCTION("AJ75*GOOGLEFINANCE(""CURRENCY:USD/EUR"")"),236.04596619999998)</f>
        <v>236.0459662</v>
      </c>
      <c r="Y75" s="35">
        <f>IFERROR(__xludf.DUMMYFUNCTION("AI75*GOOGLEFINANCE(""CURRENCY:USD/EUR"")"),236.83703919607177)</f>
        <v>236.8370392</v>
      </c>
      <c r="Z75" s="38">
        <f t="shared" si="9"/>
        <v>0.02529607314</v>
      </c>
      <c r="AA75" s="38">
        <f t="shared" si="10"/>
        <v>0.003351351471</v>
      </c>
      <c r="AB75" s="38">
        <f t="shared" si="11"/>
        <v>0.001037283312</v>
      </c>
      <c r="AC75" s="41">
        <v>210.0</v>
      </c>
      <c r="AD75" s="40">
        <f t="shared" si="12"/>
        <v>0.3292595369</v>
      </c>
      <c r="AE75" s="41">
        <v>293.0</v>
      </c>
      <c r="AF75" s="41">
        <f t="shared" si="13"/>
        <v>0.405427465</v>
      </c>
      <c r="AG75" s="41">
        <v>335.0</v>
      </c>
      <c r="AH75" s="41">
        <f t="shared" si="14"/>
        <v>0.2653129981</v>
      </c>
      <c r="AI75" s="41">
        <f t="shared" si="15"/>
        <v>276.8146044</v>
      </c>
      <c r="AJ75" s="34">
        <f>IFERROR(__xludf.DUMMYFUNCTION("GOOGLEFINANCE(B75,""price"")"),275.89)</f>
        <v>275.89</v>
      </c>
      <c r="AK75" s="37">
        <f t="shared" si="89"/>
        <v>0.1615248588</v>
      </c>
      <c r="AL75" s="34">
        <v>238.32</v>
      </c>
      <c r="AM75" s="34">
        <f t="shared" si="16"/>
        <v>204.5733484</v>
      </c>
      <c r="AN75" s="34">
        <f t="shared" si="17"/>
        <v>274.1732576</v>
      </c>
      <c r="AO75" s="38">
        <f>IFERROR(__xludf.DUMMYFUNCTION("(GOOGLEFINANCE(B75, ""price"") - INDEX(GOOGLEFINANCE(B75, ""price"", DATE(2025,5,8)), 2, 2)) / INDEX(GOOGLEFINANCE(B75, ""price"", DATE(2025,5,8)), 2, 2)"),0.15179726965307053)</f>
        <v>0.1517972697</v>
      </c>
      <c r="AP75" s="37">
        <f t="shared" si="18"/>
        <v>0.1615248588</v>
      </c>
      <c r="AQ75" s="37">
        <f t="shared" si="19"/>
        <v>0.1576451829</v>
      </c>
      <c r="AR75" s="37">
        <f t="shared" si="20"/>
        <v>0.003879675887</v>
      </c>
      <c r="AS75" s="34">
        <f>IFERROR(__xludf.DUMMYFUNCTION("IF(X75&lt;K75,1,IF(X75&gt;J75,-1,0)) + IF(X75&lt;F75,1,IF(X75&gt;G75,-1,0)) + IF(X75&lt;I75,1,IF(X75&gt;I75,-1,0)) + IF(X75&lt;H75,1,IF(X75&gt;H75,-1,0))"),1.0)</f>
        <v>1</v>
      </c>
      <c r="AT75" s="34" t="str">
        <f t="shared" si="85"/>
        <v>Hold</v>
      </c>
      <c r="AU75" s="35" t="str">
        <f t="shared" si="22"/>
        <v>venta</v>
      </c>
      <c r="AV75" s="35" t="str">
        <f t="shared" si="23"/>
        <v>hold</v>
      </c>
      <c r="AW75" s="38">
        <f t="shared" si="24"/>
        <v>0.003351351471</v>
      </c>
      <c r="AX75" s="38">
        <f t="shared" si="25"/>
        <v>0.2419485746</v>
      </c>
      <c r="AY75" s="38">
        <f t="shared" si="26"/>
        <v>0.2443536126</v>
      </c>
      <c r="AZ75" s="42">
        <f t="shared" si="27"/>
        <v>0.06305587906</v>
      </c>
      <c r="BA75" s="38">
        <f t="shared" si="28"/>
        <v>0.6493388637</v>
      </c>
      <c r="BB75" s="38">
        <f t="shared" si="29"/>
        <v>0.3506611363</v>
      </c>
      <c r="BC75" s="38">
        <f t="shared" si="30"/>
        <v>-0.1333325807</v>
      </c>
      <c r="BD75" s="38">
        <f t="shared" si="31"/>
        <v>0.5507087942</v>
      </c>
      <c r="BE75" s="38">
        <f t="shared" si="32"/>
        <v>0.4492912058</v>
      </c>
      <c r="BF75" s="38">
        <f t="shared" si="33"/>
        <v>0.1304151316</v>
      </c>
      <c r="BG75" s="37">
        <f t="shared" si="34"/>
        <v>0.1275704827</v>
      </c>
      <c r="BH75" s="43">
        <f t="shared" si="35"/>
        <v>0.1859620477</v>
      </c>
      <c r="BI75" s="44">
        <f t="shared" si="36"/>
        <v>0.3955568184</v>
      </c>
      <c r="BJ75" s="38">
        <f t="shared" si="37"/>
        <v>-0.002917449142</v>
      </c>
      <c r="BK75" s="43">
        <f t="shared" si="38"/>
        <v>0.5135481519</v>
      </c>
      <c r="BL75" s="59">
        <v>38.77</v>
      </c>
      <c r="BM75" s="46">
        <f t="shared" si="39"/>
        <v>0.01222138933</v>
      </c>
      <c r="BN75" s="38">
        <v>0.0</v>
      </c>
      <c r="BO75" s="59">
        <v>2.75</v>
      </c>
      <c r="BP75" s="47">
        <f t="shared" si="40"/>
        <v>0.003950479491</v>
      </c>
      <c r="BQ75" s="59">
        <v>4.32</v>
      </c>
      <c r="BR75" s="47">
        <f t="shared" si="41"/>
        <v>0.1817373917</v>
      </c>
      <c r="BS75" s="60">
        <v>0.254</v>
      </c>
      <c r="BT75" s="47">
        <f t="shared" si="80"/>
        <v>0.611476952</v>
      </c>
      <c r="BU75" s="59">
        <v>0.0</v>
      </c>
      <c r="BV75" s="47">
        <f t="shared" si="72"/>
        <v>1</v>
      </c>
      <c r="BW75" s="48">
        <f t="shared" si="44"/>
        <v>0.9535291023</v>
      </c>
      <c r="BX75" s="49">
        <f t="shared" si="45"/>
        <v>0.6051515892</v>
      </c>
      <c r="BY75" s="47">
        <f t="shared" si="46"/>
        <v>0.4492912058</v>
      </c>
      <c r="BZ75" s="60">
        <v>0.162</v>
      </c>
      <c r="CA75" s="50">
        <f t="shared" si="47"/>
        <v>0.1934156379</v>
      </c>
      <c r="CB75" s="60">
        <v>0.593</v>
      </c>
      <c r="CC75" s="50">
        <f t="shared" si="81"/>
        <v>0.361910594</v>
      </c>
      <c r="CD75" s="60">
        <v>0.342</v>
      </c>
      <c r="CE75" s="50">
        <f t="shared" si="49"/>
        <v>0.6936639271</v>
      </c>
      <c r="CF75" s="50">
        <f t="shared" si="50"/>
        <v>0.416330053</v>
      </c>
      <c r="CG75" s="60">
        <v>0.179</v>
      </c>
      <c r="CH75" s="51">
        <f t="shared" si="51"/>
        <v>0.2326980943</v>
      </c>
      <c r="CI75" s="60">
        <v>0.2</v>
      </c>
      <c r="CJ75" s="51">
        <f t="shared" si="52"/>
        <v>0.2878980892</v>
      </c>
      <c r="CK75" s="60">
        <v>0.192</v>
      </c>
      <c r="CL75" s="51">
        <f t="shared" si="82"/>
        <v>0.4016528926</v>
      </c>
      <c r="CM75" s="60">
        <v>0.148</v>
      </c>
      <c r="CN75" s="51">
        <f t="shared" si="83"/>
        <v>0.1734132934</v>
      </c>
      <c r="CO75" s="60">
        <v>0.234</v>
      </c>
      <c r="CP75" s="51">
        <f t="shared" si="84"/>
        <v>0.6576433121</v>
      </c>
      <c r="CQ75" s="51">
        <f t="shared" si="56"/>
        <v>0.3506611363</v>
      </c>
      <c r="CR75" s="52">
        <f t="shared" si="57"/>
        <v>0.405427465</v>
      </c>
      <c r="CS75" s="53">
        <f t="shared" si="68"/>
        <v>0.2892943534</v>
      </c>
      <c r="CT75" s="54">
        <f t="shared" si="59"/>
        <v>0.3095119448</v>
      </c>
      <c r="CU75" s="55">
        <f t="shared" si="60"/>
        <v>0.08787917218</v>
      </c>
      <c r="CV75" s="34">
        <f t="shared" si="61"/>
        <v>2.303575185</v>
      </c>
      <c r="CW75" s="34">
        <f t="shared" si="62"/>
        <v>0.7786075287</v>
      </c>
      <c r="CX75" s="35">
        <f t="shared" si="63"/>
        <v>0.4092139275</v>
      </c>
      <c r="CY75" s="38">
        <f>IFERROR(__xludf.DUMMYFUNCTION("(GOOGLEFINANCE(B75,""price"")/INDEX(GOOGLEFINANCE(B75,""price"",TODAY()-30),2,2))-1"),-0.030536228828448975)</f>
        <v>-0.03053622883</v>
      </c>
      <c r="CZ75" s="38">
        <f>IFERROR(__xludf.DUMMYFUNCTION("(GOOGLEFINANCE($B75,""price"")/INDEX(GOOGLEFINANCE($B75,""price"",TODAY()-180),2,2))-1"),0.303027440608322)</f>
        <v>0.3030274406</v>
      </c>
      <c r="DA75" s="38">
        <f>IFERROR(__xludf.DUMMYFUNCTION("(GOOGLEFINANCE($B75,""price"")/INDEX(GOOGLEFINANCE($B75,""price"",TODAY()-365),2,2))-1"),0.4853558738020889)</f>
        <v>0.4853558738</v>
      </c>
      <c r="DB75" s="38">
        <f>IFERROR(__xludf.DUMMYFUNCTION("(GOOGLEFINANCE($B75,""price"")/INDEX(GOOGLEFINANCE($B75,""price"",TODAY()-365*5),2,2))-1"),0.11353729415563452)</f>
        <v>0.1135372942</v>
      </c>
      <c r="DC75" s="38">
        <f>IFERROR(__xludf.DUMMYFUNCTION("(INDEX(GOOGLEFINANCE(B75, ""price"", TODAY()-30, TODAY()), ROWS(GOOGLEFINANCE(B75, ""price"", TODAY()-30, TODAY())), 2) / INDEX(GOOGLEFINANCE(B75, ""price"", TODAY()-30, TODAY()), 2, 2)) - 1"),-0.030536228828448975)</f>
        <v>-0.03053622883</v>
      </c>
      <c r="DD75" s="38">
        <f>IFERROR(__xludf.DUMMYFUNCTION("(INDEX(GOOGLEFINANCE(B75, ""price"", TODAY()-7, TODAY()), ROWS(GOOGLEFINANCE(B75, ""price"", TODAY()-7, TODAY())), 2) / INDEX(GOOGLEFINANCE(B75, ""price"", TODAY()-7, TODAY()), 2, 2)) - 1"),-0.018185053380782912)</f>
        <v>-0.01818505338</v>
      </c>
    </row>
    <row r="76">
      <c r="A76" s="34" t="str">
        <f>IFERROR(__xludf.DUMMYFUNCTION("GOOGLEFINANCE(B76,""name"")"),"VOLKSWAGEN GROUP Common Stock")</f>
        <v>VOLKSWAGEN GROUP Common Stock</v>
      </c>
      <c r="B76" s="35" t="s">
        <v>183</v>
      </c>
      <c r="C76" s="35" t="s">
        <v>114</v>
      </c>
      <c r="D76" s="35" t="s">
        <v>91</v>
      </c>
      <c r="E76" s="64">
        <v>4.0</v>
      </c>
      <c r="F76" s="35">
        <f>IFERROR(__xludf.DUMMYFUNCTION("IFERROR(MIN(INDEX(GOOGLEFINANCE(B76,""close"",TODAY()-100,TODAY()),0,2)) * GOOGLEFINANCE(""CURRENCY:USDEUR""),""Error en datos"")"),71.7318272)</f>
        <v>71.7318272</v>
      </c>
      <c r="G76" s="35">
        <f>IFERROR(__xludf.DUMMYFUNCTION("IFERROR(MAX(INDEX(GOOGLEFINANCE(B76,""close"",TODAY()-100,TODAY()),0,2)) * GOOGLEFINANCE(""CURRENCY:USDEUR""),""Error en datos"")"),89.793121)</f>
        <v>89.793121</v>
      </c>
      <c r="H76" s="35">
        <f>IFERROR(__xludf.DUMMYFUNCTION("IFERROR(AVERAGE(INDEX(GOOGLEFINANCE(B76,""close"",TODAY()-20,TODAY()),0,2)) * GOOGLEFINANCE(""CURRENCY:USDEUR""),""Error en datos"")"),77.71722042857144)</f>
        <v>77.71722043</v>
      </c>
      <c r="I76" s="35">
        <f>IFERROR(__xludf.DUMMYFUNCTION("IFERROR(PERCENTILE(INDEX(GOOGLEFINANCE(B76,""close"",TODAY()-365,TODAY()),0,2),0.05) * GOOGLEFINANCE(""CURRENCY:USDEUR""),""Error en datos"")"),70.77272202)</f>
        <v>70.77272202</v>
      </c>
      <c r="J76" s="35">
        <f>IFERROR(__xludf.DUMMYFUNCTION("AVERAGE(INDEX(GOOGLEFINANCE(B76,""price"",TODAY()-20,TODAY(),""DAILY""),0,2))+(2*STDEV(INDEX(GOOGLEFINANCE(B76,""price"",TODAY()-20,TODAY(),""DAILY""),0,2)))"),94.37910435552219)</f>
        <v>94.37910436</v>
      </c>
      <c r="K76" s="35">
        <f>IFERROR(__xludf.DUMMYFUNCTION("AVERAGE(INDEX(GOOGLEFINANCE(B76,""price"",TODAY()-20,TODAY(),""DAILY""),0,2))-(2*STDEV(INDEX(GOOGLEFINANCE(B76,""price"",TODAY()-20,TODAY(),""DAILY""),0,2)))"),87.29232421590639)</f>
        <v>87.29232422</v>
      </c>
      <c r="L76" s="35" t="s">
        <v>141</v>
      </c>
      <c r="M76" s="35" t="str">
        <f t="shared" si="1"/>
        <v>#VALUE!</v>
      </c>
      <c r="N76" s="35" t="s">
        <v>141</v>
      </c>
      <c r="O76" s="35" t="str">
        <f t="shared" si="2"/>
        <v>#VALUE!</v>
      </c>
      <c r="P76" s="35" t="s">
        <v>141</v>
      </c>
      <c r="Q76" s="35" t="str">
        <f t="shared" si="3"/>
        <v>#VALUE!</v>
      </c>
      <c r="R76" s="35" t="str">
        <f>IFERROR(__xludf.DUMMYFUNCTION("IF(B76="""", """", SPARKLINE(INDEX(GOOGLEFINANCE(B76, ""price"", TODAY()-1825, TODAY()), 0, 2)))"),"")</f>
        <v/>
      </c>
      <c r="S76" s="35">
        <f t="shared" si="4"/>
        <v>76.59895781</v>
      </c>
      <c r="T76" s="35">
        <f t="shared" si="5"/>
        <v>95.49569861</v>
      </c>
      <c r="U76" s="34" t="str">
        <f t="shared" si="6"/>
        <v>Compra</v>
      </c>
      <c r="V76" s="37">
        <f t="shared" si="7"/>
        <v>0.03028424217</v>
      </c>
      <c r="W76" s="37">
        <f t="shared" si="8"/>
        <v>-0.1794483722</v>
      </c>
      <c r="X76" s="34">
        <f>IFERROR(__xludf.DUMMYFUNCTION("AJ76*GOOGLEFINANCE(""CURRENCY:USD/EUR"")"),78.91869919999999)</f>
        <v>78.9186992</v>
      </c>
      <c r="Y76" s="35">
        <f>IFERROR(__xludf.DUMMYFUNCTION("AI76*GOOGLEFINANCE(""CURRENCY:USD/EUR"")"),96.17761580201518)</f>
        <v>96.1776158</v>
      </c>
      <c r="Z76" s="38">
        <f t="shared" si="9"/>
        <v>0.2100516048</v>
      </c>
      <c r="AA76" s="38">
        <f t="shared" si="10"/>
        <v>0.2359680406</v>
      </c>
      <c r="AB76" s="38" t="str">
        <f t="shared" si="11"/>
        <v>#VALUE!</v>
      </c>
      <c r="AC76" s="41">
        <v>90.0</v>
      </c>
      <c r="AD76" s="40">
        <f t="shared" si="12"/>
        <v>0.3275747732</v>
      </c>
      <c r="AE76" s="41">
        <v>118.0</v>
      </c>
      <c r="AF76" s="41">
        <f t="shared" si="13"/>
        <v>0.3737354795</v>
      </c>
      <c r="AG76" s="41">
        <v>130.0</v>
      </c>
      <c r="AH76" s="41">
        <f t="shared" si="14"/>
        <v>0.2986897473</v>
      </c>
      <c r="AI76" s="41">
        <f t="shared" si="15"/>
        <v>112.4121833</v>
      </c>
      <c r="AJ76" s="34">
        <f>IFERROR(__xludf.DUMMYFUNCTION("GOOGLEFINANCE(B76,""price"")"),92.24)</f>
        <v>92.24</v>
      </c>
      <c r="AK76" s="37">
        <f t="shared" ref="AK76:AK78" si="90">AR76+BN76</f>
        <v>0.2222358847</v>
      </c>
      <c r="AL76" s="34">
        <v>98.42</v>
      </c>
      <c r="AM76" s="34">
        <f t="shared" si="16"/>
        <v>82.54183733</v>
      </c>
      <c r="AN76" s="34">
        <f t="shared" si="17"/>
        <v>90.13841985</v>
      </c>
      <c r="AO76" s="38">
        <f>IFERROR(__xludf.DUMMYFUNCTION("(GOOGLEFINANCE(B76, ""price"") - INDEX(GOOGLEFINANCE(B76, ""price"", DATE(2025,5,8)), 2, 2)) / INDEX(GOOGLEFINANCE(B76, ""price"", DATE(2025,5,8)), 2, 2)"),-0.06922300706357215)</f>
        <v>-0.06922300706</v>
      </c>
      <c r="AP76" s="37">
        <f t="shared" si="18"/>
        <v>0.142168089</v>
      </c>
      <c r="AQ76" s="37">
        <f t="shared" si="19"/>
        <v>-0.06279211542</v>
      </c>
      <c r="AR76" s="37">
        <f t="shared" si="20"/>
        <v>0.2049602044</v>
      </c>
      <c r="AS76" s="34">
        <f>IFERROR(__xludf.DUMMYFUNCTION("IF(X76&lt;K76,1,IF(X76&gt;J76,-1,0)) + IF(X76&lt;F76,1,IF(X76&gt;G76,-1,0)) + IF(X76&lt;I76,1,IF(X76&gt;I76,-1,0)) + IF(X76&lt;H76,1,IF(X76&gt;H76,-1,0))"),-1.0)</f>
        <v>-1</v>
      </c>
      <c r="AT76" s="34" t="str">
        <f t="shared" si="85"/>
        <v>recompra</v>
      </c>
      <c r="AU76" s="35" t="str">
        <f t="shared" si="22"/>
        <v>compra</v>
      </c>
      <c r="AV76" s="35" t="str">
        <f t="shared" si="23"/>
        <v>compra</v>
      </c>
      <c r="AW76" s="38">
        <f t="shared" si="24"/>
        <v>0.2186923603</v>
      </c>
      <c r="AX76" s="38">
        <f t="shared" si="25"/>
        <v>0.02653050325</v>
      </c>
      <c r="AY76" s="38">
        <f t="shared" si="26"/>
        <v>0.03559386963</v>
      </c>
      <c r="AZ76" s="42">
        <f t="shared" si="27"/>
        <v>0.1575731099</v>
      </c>
      <c r="BA76" s="38">
        <f t="shared" si="28"/>
        <v>0.7687601508</v>
      </c>
      <c r="BB76" s="38">
        <f t="shared" si="29"/>
        <v>0.2312398492</v>
      </c>
      <c r="BC76" s="38">
        <f t="shared" si="30"/>
        <v>0.04590975475</v>
      </c>
      <c r="BD76" s="38">
        <f t="shared" si="31"/>
        <v>0.4161974002</v>
      </c>
      <c r="BE76" s="38">
        <f t="shared" si="32"/>
        <v>0.5838025998</v>
      </c>
      <c r="BF76" s="38">
        <f t="shared" si="33"/>
        <v>0.3552215004</v>
      </c>
      <c r="BG76" s="37">
        <f t="shared" si="34"/>
        <v>0.1145805923</v>
      </c>
      <c r="BH76" s="43">
        <f t="shared" si="35"/>
        <v>0.07508723095</v>
      </c>
      <c r="BI76" s="44">
        <f t="shared" si="36"/>
        <v>0.4356651122</v>
      </c>
      <c r="BJ76" s="38">
        <f t="shared" si="37"/>
        <v>0.4011312552</v>
      </c>
      <c r="BK76" s="43">
        <f t="shared" si="38"/>
        <v>0.1206410183</v>
      </c>
      <c r="BL76" s="47">
        <v>54.75</v>
      </c>
      <c r="BM76" s="46">
        <f t="shared" si="39"/>
        <v>0.01727568026</v>
      </c>
      <c r="BN76" s="38">
        <f>(BM76 - MIN(BM:BM)) / (MAX(BM:BM) - MIN(BM:BM))</f>
        <v>0.01727568026</v>
      </c>
      <c r="BO76" s="47">
        <v>298.25</v>
      </c>
      <c r="BP76" s="47">
        <f t="shared" si="40"/>
        <v>0.4379157916</v>
      </c>
      <c r="BQ76" s="47">
        <v>19.65</v>
      </c>
      <c r="BR76" s="47">
        <f t="shared" si="41"/>
        <v>0.5223283715</v>
      </c>
      <c r="BS76" s="47">
        <v>0.071</v>
      </c>
      <c r="BT76" s="47">
        <f t="shared" si="80"/>
        <v>0.4393226717</v>
      </c>
      <c r="BU76" s="47">
        <v>1.3</v>
      </c>
      <c r="BV76" s="47">
        <f t="shared" si="72"/>
        <v>0.9356435644</v>
      </c>
      <c r="BW76" s="48">
        <f t="shared" si="44"/>
        <v>1.532165478</v>
      </c>
      <c r="BX76" s="49">
        <f t="shared" si="45"/>
        <v>0.7962429934</v>
      </c>
      <c r="BY76" s="47">
        <f t="shared" si="46"/>
        <v>0.5838025998</v>
      </c>
      <c r="BZ76" s="50">
        <v>0.007</v>
      </c>
      <c r="CA76" s="50">
        <f t="shared" si="47"/>
        <v>0.0658436214</v>
      </c>
      <c r="CB76" s="50">
        <v>-0.009</v>
      </c>
      <c r="CC76" s="50">
        <f t="shared" si="81"/>
        <v>0.1775872627</v>
      </c>
      <c r="CD76" s="50">
        <v>-0.328</v>
      </c>
      <c r="CE76" s="50">
        <f t="shared" si="49"/>
        <v>0.675061084</v>
      </c>
      <c r="CF76" s="50">
        <f t="shared" si="50"/>
        <v>0.3061639894</v>
      </c>
      <c r="CG76" s="51">
        <v>-0.043</v>
      </c>
      <c r="CH76" s="51">
        <f t="shared" si="51"/>
        <v>0.1213640923</v>
      </c>
      <c r="CI76" s="51">
        <v>0.051</v>
      </c>
      <c r="CJ76" s="51">
        <f t="shared" si="52"/>
        <v>0.09808917197</v>
      </c>
      <c r="CK76" s="51">
        <v>0.022</v>
      </c>
      <c r="CL76" s="51">
        <f t="shared" si="82"/>
        <v>0.2611570248</v>
      </c>
      <c r="CM76" s="51">
        <v>0.095</v>
      </c>
      <c r="CN76" s="51">
        <f t="shared" si="83"/>
        <v>0.1469265367</v>
      </c>
      <c r="CO76" s="51">
        <v>0.072</v>
      </c>
      <c r="CP76" s="51">
        <f t="shared" si="84"/>
        <v>0.5286624204</v>
      </c>
      <c r="CQ76" s="51">
        <f t="shared" si="56"/>
        <v>0.2312398492</v>
      </c>
      <c r="CR76" s="52">
        <f t="shared" si="57"/>
        <v>0.3737354795</v>
      </c>
      <c r="CS76" s="53" t="s">
        <v>141</v>
      </c>
      <c r="CT76" s="54" t="s">
        <v>141</v>
      </c>
      <c r="CU76" s="55" t="str">
        <f t="shared" si="60"/>
        <v>#VALUE!</v>
      </c>
      <c r="CV76" s="34">
        <f t="shared" si="61"/>
        <v>1.394020295</v>
      </c>
      <c r="CW76" s="34">
        <f t="shared" si="62"/>
        <v>0.5353728134</v>
      </c>
      <c r="CX76" s="35" t="s">
        <v>141</v>
      </c>
      <c r="CY76" s="38">
        <f>IFERROR(__xludf.DUMMYFUNCTION("(GOOGLEFINANCE(B76,""price"")/INDEX(GOOGLEFINANCE(B76,""price"",TODAY()-30),2,2))-1"),0.03292273236282184)</f>
        <v>0.03292273236</v>
      </c>
      <c r="CZ76" s="38">
        <f>IFERROR(__xludf.DUMMYFUNCTION("(GOOGLEFINANCE($B76,""price"")/INDEX(GOOGLEFINANCE($B76,""price"",TODAY()-180),2,2))-1"),-0.011784872509106536)</f>
        <v>-0.01178487251</v>
      </c>
      <c r="DA76" s="38">
        <f>IFERROR(__xludf.DUMMYFUNCTION("(GOOGLEFINANCE($B76,""price"")/INDEX(GOOGLEFINANCE($B76,""price"",TODAY()-365),2,2))-1"),-0.14750462107208884)</f>
        <v>-0.1475046211</v>
      </c>
      <c r="DB76" s="38">
        <f>IFERROR(__xludf.DUMMYFUNCTION("(GOOGLEFINANCE($B76,""price"")/INDEX(GOOGLEFINANCE($B76,""price"",TODAY()-365*5),2,2))-1"),-0.3465570983281383)</f>
        <v>-0.3465570983</v>
      </c>
      <c r="DC76" s="38">
        <f>IFERROR(__xludf.DUMMYFUNCTION("(INDEX(GOOGLEFINANCE(B76, ""price"", TODAY()-30, TODAY()), ROWS(GOOGLEFINANCE(B76, ""price"", TODAY()-30, TODAY())), 2) / INDEX(GOOGLEFINANCE(B76, ""price"", TODAY()-30, TODAY()), 2, 2)) - 1"),0.052407614781635026)</f>
        <v>0.05240761478</v>
      </c>
      <c r="DD76" s="38">
        <f>IFERROR(__xludf.DUMMYFUNCTION("(INDEX(GOOGLEFINANCE(B76, ""price"", TODAY()-7, TODAY()), ROWS(GOOGLEFINANCE(B76, ""price"", TODAY()-7, TODAY())), 2) / INDEX(GOOGLEFINANCE(B76, ""price"", TODAY()-7, TODAY()), 2, 2)) - 1"),0.042831779849090035)</f>
        <v>0.04283177985</v>
      </c>
    </row>
    <row r="77">
      <c r="A77" s="34" t="str">
        <f>IFERROR(__xludf.DUMMYFUNCTION("GOOGLEFINANCE(B77,""name"")"),"Walmart Inc")</f>
        <v>Walmart Inc</v>
      </c>
      <c r="B77" s="45" t="s">
        <v>184</v>
      </c>
      <c r="C77" s="45" t="s">
        <v>119</v>
      </c>
      <c r="D77" s="35" t="s">
        <v>100</v>
      </c>
      <c r="E77" s="57">
        <v>3.0</v>
      </c>
      <c r="F77" s="35">
        <f>IFERROR(__xludf.DUMMYFUNCTION("IFERROR(MIN(INDEX(GOOGLEFINANCE(B77,""close"",TODAY()-100,TODAY()),0,2)) * GOOGLEFINANCE(""CURRENCY:USDEUR""),""Error en datos"")"),69.97788820000001)</f>
        <v>69.9778882</v>
      </c>
      <c r="G77" s="35">
        <f>IFERROR(__xludf.DUMMYFUNCTION("IFERROR(MAX(INDEX(GOOGLEFINANCE(B77,""close"",TODAY()-100,TODAY()),0,2)) * GOOGLEFINANCE(""CURRENCY:USDEUR""),""Error en datos"")"),85.5408884)</f>
        <v>85.5408884</v>
      </c>
      <c r="H77" s="35">
        <f>IFERROR(__xludf.DUMMYFUNCTION("IFERROR(AVERAGE(INDEX(GOOGLEFINANCE(B77,""close"",TODAY()-20,TODAY()),0,2)) * GOOGLEFINANCE(""CURRENCY:USDEUR""),""Error en datos"")"),83.12617838461539)</f>
        <v>83.12617838</v>
      </c>
      <c r="I77" s="35">
        <f>IFERROR(__xludf.DUMMYFUNCTION("IFERROR(PERCENTILE(INDEX(GOOGLEFINANCE(B77,""close"",TODAY()-365,TODAY()),0,2),0.05) * GOOGLEFINANCE(""CURRENCY:USDEUR""),""Error en datos"")"),59.62023672)</f>
        <v>59.62023672</v>
      </c>
      <c r="J77" s="35">
        <f>IFERROR(__xludf.DUMMYFUNCTION("AVERAGE(INDEX(GOOGLEFINANCE(B77,""price"",TODAY()-20,TODAY(),""DAILY""),0,2))+(2*STDEV(INDEX(GOOGLEFINANCE(B77,""price"",TODAY()-20,TODAY(),""DAILY""),0,2)))"),99.92967299360569)</f>
        <v>99.92967299</v>
      </c>
      <c r="K77" s="35">
        <f>IFERROR(__xludf.DUMMYFUNCTION("AVERAGE(INDEX(GOOGLEFINANCE(B77,""price"",TODAY()-20,TODAY(),""DAILY""),0,2))-(2*STDEV(INDEX(GOOGLEFINANCE(B77,""price"",TODAY()-20,TODAY(),""DAILY""),0,2)))"),94.38571162177891)</f>
        <v>94.38571162</v>
      </c>
      <c r="L77" s="45">
        <v>3798.0</v>
      </c>
      <c r="M77" s="35">
        <f t="shared" si="1"/>
        <v>0.668315083</v>
      </c>
      <c r="N77" s="45">
        <v>36.36</v>
      </c>
      <c r="O77" s="35">
        <f t="shared" si="2"/>
        <v>0.6060444444</v>
      </c>
      <c r="P77" s="45">
        <v>3.51</v>
      </c>
      <c r="Q77" s="35">
        <f t="shared" si="3"/>
        <v>0.2177357032</v>
      </c>
      <c r="R77" s="35" t="str">
        <f>IFERROR(__xludf.DUMMYFUNCTION("IF(B77="""", """", SPARKLINE(INDEX(GOOGLEFINANCE(B77, ""price"", TODAY()-1825, TODAY()), 0, 2)))"),"")</f>
        <v/>
      </c>
      <c r="S77" s="35">
        <f t="shared" si="4"/>
        <v>74.66127885</v>
      </c>
      <c r="T77" s="35">
        <f t="shared" si="5"/>
        <v>95.0053878</v>
      </c>
      <c r="U77" s="34" t="str">
        <f t="shared" si="6"/>
        <v/>
      </c>
      <c r="V77" s="37">
        <f t="shared" si="7"/>
        <v>0.08177563051</v>
      </c>
      <c r="W77" s="37">
        <f t="shared" si="8"/>
        <v>-0.1539152331</v>
      </c>
      <c r="X77" s="34">
        <f>IFERROR(__xludf.DUMMYFUNCTION("AJ77*GOOGLEFINANCE(""CURRENCY:USD/EUR"")"),80.76675200000001)</f>
        <v>80.766752</v>
      </c>
      <c r="Y77" s="35">
        <f>IFERROR(__xludf.DUMMYFUNCTION("AI77*GOOGLEFINANCE(""CURRENCY:USD/EUR"")"),95.45940922214953)</f>
        <v>95.45940922</v>
      </c>
      <c r="Z77" s="38">
        <f t="shared" si="9"/>
        <v>0.1762932822</v>
      </c>
      <c r="AA77" s="38">
        <f t="shared" si="10"/>
        <v>0.1919146723</v>
      </c>
      <c r="AB77" s="38">
        <f t="shared" si="11"/>
        <v>0.06631961541</v>
      </c>
      <c r="AC77" s="41">
        <v>101.0</v>
      </c>
      <c r="AD77" s="40">
        <f t="shared" si="12"/>
        <v>0.2517604093</v>
      </c>
      <c r="AE77" s="41">
        <v>111.0</v>
      </c>
      <c r="AF77" s="41">
        <f t="shared" si="13"/>
        <v>0.4048674621</v>
      </c>
      <c r="AG77" s="41">
        <v>120.0</v>
      </c>
      <c r="AH77" s="41">
        <f t="shared" si="14"/>
        <v>0.3433721286</v>
      </c>
      <c r="AI77" s="41">
        <f t="shared" si="15"/>
        <v>111.5727451</v>
      </c>
      <c r="AJ77" s="34">
        <f>IFERROR(__xludf.DUMMYFUNCTION("GOOGLEFINANCE(B77,""price"")"),94.4)</f>
        <v>94.4</v>
      </c>
      <c r="AK77" s="37">
        <f t="shared" si="90"/>
        <v>0.1875511276</v>
      </c>
      <c r="AL77" s="34">
        <v>96.72</v>
      </c>
      <c r="AM77" s="34">
        <f t="shared" si="16"/>
        <v>88.55736651</v>
      </c>
      <c r="AN77" s="34">
        <f t="shared" si="17"/>
        <v>93.16964672</v>
      </c>
      <c r="AO77" s="38">
        <f>IFERROR(__xludf.DUMMYFUNCTION("(GOOGLEFINANCE(B77, ""price"") - INDEX(GOOGLEFINANCE(B77, ""price"", DATE(2025,5,9)), 2, 2)) / INDEX(GOOGLEFINANCE(B77, ""price"", DATE(2025,5,8)), 2, 2)"),-0.023811967566457898)</f>
        <v>-0.02381196757</v>
      </c>
      <c r="AP77" s="37">
        <f t="shared" si="18"/>
        <v>0.1535643617</v>
      </c>
      <c r="AQ77" s="37">
        <f t="shared" si="19"/>
        <v>-0.02398676592</v>
      </c>
      <c r="AR77" s="37">
        <f t="shared" si="20"/>
        <v>0.1775511276</v>
      </c>
      <c r="AS77" s="34">
        <f>IFERROR(__xludf.DUMMYFUNCTION("IF(X77&lt;K77,1,IF(X77&gt;J77,-1,0)) + IF(X77&lt;F77,1,IF(X77&gt;G77,-1,0)) + IF(X77&lt;I77,1,IF(X77&gt;I77,-1,0)) + IF(X77&lt;H77,1,IF(X77&gt;H77,-1,0))"),1.0)</f>
        <v>1</v>
      </c>
      <c r="AT77" s="34" t="str">
        <f t="shared" si="85"/>
        <v>recompra</v>
      </c>
      <c r="AU77" s="35" t="str">
        <f t="shared" si="22"/>
        <v>hold</v>
      </c>
      <c r="AV77" s="35" t="str">
        <f t="shared" si="23"/>
        <v>hold</v>
      </c>
      <c r="AW77" s="38">
        <f t="shared" si="24"/>
        <v>0.1819146723</v>
      </c>
      <c r="AX77" s="38">
        <f t="shared" si="25"/>
        <v>0.2611711803</v>
      </c>
      <c r="AY77" s="38">
        <f t="shared" si="26"/>
        <v>0.2690208328</v>
      </c>
      <c r="AZ77" s="42">
        <f t="shared" si="27"/>
        <v>0.1816383914</v>
      </c>
      <c r="BA77" s="38">
        <f t="shared" si="28"/>
        <v>0.7494347094</v>
      </c>
      <c r="BB77" s="38">
        <f t="shared" si="29"/>
        <v>0.2505652906</v>
      </c>
      <c r="BC77" s="38">
        <f t="shared" si="30"/>
        <v>0.09645818757</v>
      </c>
      <c r="BD77" s="38">
        <f t="shared" si="31"/>
        <v>0.3693546167</v>
      </c>
      <c r="BE77" s="38">
        <f t="shared" si="32"/>
        <v>0.6306453833</v>
      </c>
      <c r="BF77" s="38">
        <f t="shared" si="33"/>
        <v>0.2359725471</v>
      </c>
      <c r="BG77" s="37">
        <f t="shared" si="34"/>
        <v>0.1970614154</v>
      </c>
      <c r="BH77" s="43">
        <f t="shared" si="35"/>
        <v>0.2330411241</v>
      </c>
      <c r="BI77" s="44">
        <f t="shared" si="36"/>
        <v>0.4423463853</v>
      </c>
      <c r="BJ77" s="38">
        <f t="shared" si="37"/>
        <v>0.3324307347</v>
      </c>
      <c r="BK77" s="43">
        <f t="shared" si="38"/>
        <v>0.6401363084</v>
      </c>
      <c r="BL77" s="45">
        <v>773.85</v>
      </c>
      <c r="BM77" s="46">
        <f t="shared" si="39"/>
        <v>0.244718772</v>
      </c>
      <c r="BN77" s="38">
        <v>0.01</v>
      </c>
      <c r="BO77" s="45">
        <v>680.99</v>
      </c>
      <c r="BP77" s="47">
        <f t="shared" si="40"/>
        <v>1</v>
      </c>
      <c r="BQ77" s="63">
        <v>2.41</v>
      </c>
      <c r="BR77" s="47">
        <f t="shared" si="41"/>
        <v>0.1393023772</v>
      </c>
      <c r="BS77" s="38">
        <v>0.043</v>
      </c>
      <c r="BT77" s="47">
        <f t="shared" si="80"/>
        <v>0.4129821261</v>
      </c>
      <c r="BU77" s="45">
        <v>0.6</v>
      </c>
      <c r="BV77" s="47">
        <f t="shared" si="72"/>
        <v>0.9702970297</v>
      </c>
      <c r="BW77" s="48">
        <f t="shared" si="44"/>
        <v>0.9832351387</v>
      </c>
      <c r="BX77" s="49">
        <f t="shared" si="45"/>
        <v>0.6516516465</v>
      </c>
      <c r="BY77" s="47">
        <f t="shared" si="46"/>
        <v>0.6306453833</v>
      </c>
      <c r="BZ77" s="38">
        <v>0.051</v>
      </c>
      <c r="CA77" s="50">
        <f t="shared" si="47"/>
        <v>0.1020576132</v>
      </c>
      <c r="CB77" s="38">
        <v>0.086</v>
      </c>
      <c r="CC77" s="50">
        <f t="shared" si="81"/>
        <v>0.2066748316</v>
      </c>
      <c r="CD77" s="38">
        <v>0.262</v>
      </c>
      <c r="CE77" s="50">
        <f t="shared" si="49"/>
        <v>0.6914426921</v>
      </c>
      <c r="CF77" s="50">
        <f t="shared" si="50"/>
        <v>0.3333917123</v>
      </c>
      <c r="CG77" s="60">
        <v>0.069</v>
      </c>
      <c r="CH77" s="51">
        <f t="shared" si="51"/>
        <v>0.1775325978</v>
      </c>
      <c r="CI77" s="60">
        <v>0.054</v>
      </c>
      <c r="CJ77" s="51">
        <f t="shared" si="52"/>
        <v>0.101910828</v>
      </c>
      <c r="CK77" s="60">
        <v>0.054</v>
      </c>
      <c r="CL77" s="51">
        <f t="shared" si="82"/>
        <v>0.2876033058</v>
      </c>
      <c r="CM77" s="60">
        <v>0.16</v>
      </c>
      <c r="CN77" s="51">
        <f t="shared" si="83"/>
        <v>0.1794102949</v>
      </c>
      <c r="CO77" s="38">
        <v>0.044</v>
      </c>
      <c r="CP77" s="51">
        <f t="shared" si="84"/>
        <v>0.5063694268</v>
      </c>
      <c r="CQ77" s="51">
        <f t="shared" si="56"/>
        <v>0.2505652906</v>
      </c>
      <c r="CR77" s="52">
        <f t="shared" si="57"/>
        <v>0.4048674621</v>
      </c>
      <c r="CS77" s="53">
        <f t="shared" ref="CS77:CS78" si="91">(M77+AVERAGE(O77,Q77))/2</f>
        <v>0.5401025784</v>
      </c>
      <c r="CT77" s="54">
        <f t="shared" ref="CT77:CT78" si="92">AVERAGE(CR77,2*AK77,CS77/2,BX77/2,BW77/2,CX77/2)</f>
        <v>0.3455682393</v>
      </c>
      <c r="CU77" s="55">
        <f t="shared" si="60"/>
        <v>0.09559222096</v>
      </c>
      <c r="CV77" s="34">
        <f t="shared" si="61"/>
        <v>1.885481693</v>
      </c>
      <c r="CW77" s="34">
        <f t="shared" si="62"/>
        <v>0.6738041544</v>
      </c>
      <c r="CX77" s="35">
        <f t="shared" ref="CX77:CX78" si="93">AVERAGE(Q77,O77)</f>
        <v>0.4118900738</v>
      </c>
      <c r="CY77" s="38">
        <f>IFERROR(__xludf.DUMMYFUNCTION("(GOOGLEFINANCE(B77,""price"")/INDEX(GOOGLEFINANCE(B77,""price"",TODAY()-30),2,2))-1"),0.0011666136387740167)</f>
        <v>0.001166613639</v>
      </c>
      <c r="CZ77" s="38">
        <f>IFERROR(__xludf.DUMMYFUNCTION("(GOOGLEFINANCE($B77,""price"")/INDEX(GOOGLEFINANCE($B77,""price"",TODAY()-180),2,2))-1"),0.033501204291657594)</f>
        <v>0.03350120429</v>
      </c>
      <c r="DA77" s="38">
        <f>IFERROR(__xludf.DUMMYFUNCTION("(GOOGLEFINANCE($B77,""price"")/INDEX(GOOGLEFINANCE($B77,""price"",TODAY()-365),2,2))-1"),0.3561269932480966)</f>
        <v>0.3561269932</v>
      </c>
      <c r="DB77" s="38">
        <f>IFERROR(__xludf.DUMMYFUNCTION("(GOOGLEFINANCE($B77,""price"")/INDEX(GOOGLEFINANCE($B77,""price"",TODAY()-365*5),2,2))-1"),1.1454545454545455)</f>
        <v>1.145454545</v>
      </c>
      <c r="DC77" s="38">
        <f>IFERROR(__xludf.DUMMYFUNCTION("(INDEX(GOOGLEFINANCE(B77, ""price"", TODAY()-30, TODAY()), ROWS(GOOGLEFINANCE(B77, ""price"", TODAY()-30, TODAY())), 2) / INDEX(GOOGLEFINANCE(B77, ""price"", TODAY()-30, TODAY()), 2, 2)) - 1"),0.0011666136387740167)</f>
        <v>0.001166613639</v>
      </c>
      <c r="DD77" s="38">
        <f>IFERROR(__xludf.DUMMYFUNCTION("(INDEX(GOOGLEFINANCE(B77, ""price"", TODAY()-7, TODAY()), ROWS(GOOGLEFINANCE(B77, ""price"", TODAY()-7, TODAY())), 2) / INDEX(GOOGLEFINANCE(B77, ""price"", TODAY()-7, TODAY()), 2, 2)) - 1"),-0.04982385505787612)</f>
        <v>-0.04982385506</v>
      </c>
    </row>
    <row r="78">
      <c r="A78" s="34" t="str">
        <f>IFERROR(__xludf.DUMMYFUNCTION("GOOGLEFINANCE(B78,""name"")"),"Exxon Mobil Corp")</f>
        <v>Exxon Mobil Corp</v>
      </c>
      <c r="B78" s="45" t="s">
        <v>185</v>
      </c>
      <c r="C78" s="45" t="s">
        <v>129</v>
      </c>
      <c r="D78" s="35" t="s">
        <v>107</v>
      </c>
      <c r="E78" s="56">
        <v>2.0</v>
      </c>
      <c r="F78" s="35">
        <f>IFERROR(__xludf.DUMMYFUNCTION("IFERROR(MIN(INDEX(GOOGLEFINANCE(B78,""close"",TODAY()-100,TODAY()),0,2)) * GOOGLEFINANCE(""CURRENCY:USDEUR""),""Error en datos"")"),85.4981094)</f>
        <v>85.4981094</v>
      </c>
      <c r="G78" s="35">
        <f>IFERROR(__xludf.DUMMYFUNCTION("IFERROR(MAX(INDEX(GOOGLEFINANCE(B78,""close"",TODAY()-100,TODAY()),0,2)) * GOOGLEFINANCE(""CURRENCY:USDEUR""),""Error en datos"")"),98.75959940000001)</f>
        <v>98.7595994</v>
      </c>
      <c r="H78" s="35">
        <f>IFERROR(__xludf.DUMMYFUNCTION("IFERROR(AVERAGE(INDEX(GOOGLEFINANCE(B78,""close"",TODAY()-20,TODAY()),0,2)) * GOOGLEFINANCE(""CURRENCY:USDEUR""),""Error en datos"")"),95.1556331846154)</f>
        <v>95.15563318</v>
      </c>
      <c r="I78" s="35">
        <f>IFERROR(__xludf.DUMMYFUNCTION("IFERROR(PERCENTILE(INDEX(GOOGLEFINANCE(B78,""close"",TODAY()-365,TODAY()),0,2),0.05) * GOOGLEFINANCE(""CURRENCY:USDEUR""),""Error en datos"")"),88.39168096)</f>
        <v>88.39168096</v>
      </c>
      <c r="J78" s="35">
        <f>IFERROR(__xludf.DUMMYFUNCTION("AVERAGE(INDEX(GOOGLEFINANCE(B78,""price"",TODAY()-20,TODAY(),""DAILY""),0,2))+(2*STDEV(INDEX(GOOGLEFINANCE(B78,""price"",TODAY()-20,TODAY(),""DAILY""),0,2)))"),116.53743637325383)</f>
        <v>116.5374364</v>
      </c>
      <c r="K78" s="35">
        <f>IFERROR(__xludf.DUMMYFUNCTION("AVERAGE(INDEX(GOOGLEFINANCE(B78,""price"",TODAY()-20,TODAY(),""DAILY""),0,2))-(2*STDEV(INDEX(GOOGLEFINANCE(B78,""price"",TODAY()-20,TODAY(),""DAILY""),0,2)))"),105.89794824213081)</f>
        <v>105.8979482</v>
      </c>
      <c r="L78" s="45">
        <v>4138.0</v>
      </c>
      <c r="M78" s="35">
        <f t="shared" si="1"/>
        <v>0.7283645355</v>
      </c>
      <c r="N78" s="45">
        <v>-6.0</v>
      </c>
      <c r="O78" s="35">
        <f t="shared" si="2"/>
        <v>0.4177777778</v>
      </c>
      <c r="P78" s="45">
        <v>2.0</v>
      </c>
      <c r="Q78" s="35">
        <f t="shared" si="3"/>
        <v>0.1885625966</v>
      </c>
      <c r="R78" s="35" t="str">
        <f>IFERROR(__xludf.DUMMYFUNCTION("IF(B78="""", """", SPARKLINE(INDEX(GOOGLEFINANCE(B78, ""price"", TODAY()-1825, TODAY()), 0, 2)))"),"")</f>
        <v/>
      </c>
      <c r="S78" s="35">
        <f t="shared" si="4"/>
        <v>93.26257953</v>
      </c>
      <c r="T78" s="35">
        <f t="shared" si="5"/>
        <v>106.2189609</v>
      </c>
      <c r="U78" s="34" t="str">
        <f t="shared" si="6"/>
        <v/>
      </c>
      <c r="V78" s="37">
        <f t="shared" si="7"/>
        <v>0.05894132345</v>
      </c>
      <c r="W78" s="37">
        <f t="shared" si="8"/>
        <v>-0.06771682843</v>
      </c>
      <c r="X78" s="34">
        <f>IFERROR(__xludf.DUMMYFUNCTION("AJ78*GOOGLEFINANCE(""CURRENCY:USD/EUR"")"),98.75959940000001)</f>
        <v>98.7595994</v>
      </c>
      <c r="Y78" s="35">
        <f>IFERROR(__xludf.DUMMYFUNCTION("AI78*GOOGLEFINANCE(""CURRENCY:USD/EUR"")"),105.93304954107445)</f>
        <v>105.9330495</v>
      </c>
      <c r="Z78" s="38">
        <f t="shared" si="9"/>
        <v>0.07553049605</v>
      </c>
      <c r="AA78" s="38">
        <f t="shared" si="10"/>
        <v>0.1096354722</v>
      </c>
      <c r="AB78" s="38">
        <f t="shared" si="11"/>
        <v>0.03686244444</v>
      </c>
      <c r="AC78" s="41">
        <v>105.0</v>
      </c>
      <c r="AD78" s="40">
        <f t="shared" si="12"/>
        <v>0.2845890516</v>
      </c>
      <c r="AE78" s="41">
        <v>124.0</v>
      </c>
      <c r="AF78" s="41">
        <f t="shared" si="13"/>
        <v>0.3890669146</v>
      </c>
      <c r="AG78" s="41">
        <v>140.0</v>
      </c>
      <c r="AH78" s="41">
        <f t="shared" si="14"/>
        <v>0.3263440338</v>
      </c>
      <c r="AI78" s="41">
        <f t="shared" si="15"/>
        <v>123.8143126</v>
      </c>
      <c r="AJ78" s="34">
        <f>IFERROR(__xludf.DUMMYFUNCTION("GOOGLEFINANCE(B78,""price"")"),115.43)</f>
        <v>115.43</v>
      </c>
      <c r="AK78" s="37">
        <f t="shared" si="90"/>
        <v>0.1151316985</v>
      </c>
      <c r="AL78" s="34">
        <v>107.31</v>
      </c>
      <c r="AM78" s="34">
        <f t="shared" si="16"/>
        <v>94.7197218</v>
      </c>
      <c r="AN78" s="34">
        <f t="shared" si="17"/>
        <v>113.9488576</v>
      </c>
      <c r="AO78" s="38">
        <f>IFERROR(__xludf.DUMMYFUNCTION("(GOOGLEFINANCE(B78, ""price"") - INDEX(GOOGLEFINANCE(B78, ""price"", DATE(2025,5,9)), 2, 2)) / INDEX(GOOGLEFINANCE(B78, ""price"", DATE(2025,5,8)), 2, 2)"),0.07655321957198082)</f>
        <v>0.07655321957</v>
      </c>
      <c r="AP78" s="37">
        <f t="shared" si="18"/>
        <v>0.1538003221</v>
      </c>
      <c r="AQ78" s="37">
        <f t="shared" si="19"/>
        <v>0.07566862361</v>
      </c>
      <c r="AR78" s="37">
        <f t="shared" si="20"/>
        <v>0.07813169845</v>
      </c>
      <c r="AS78" s="34">
        <f>IFERROR(__xludf.DUMMYFUNCTION("IF(X78&lt;K78,1,IF(X78&gt;J78,-1,0)) + IF(X78&lt;F78,1,IF(X78&gt;G78,-1,0)) + IF(X78&lt;I78,1,IF(X78&gt;I78,-1,0)) + IF(X78&lt;H78,1,IF(X78&gt;H78,-1,0))"),-1.0)</f>
        <v>-1</v>
      </c>
      <c r="AT78" s="34" t="str">
        <f t="shared" si="85"/>
        <v>Hold</v>
      </c>
      <c r="AU78" s="35" t="str">
        <f t="shared" si="22"/>
        <v>hold</v>
      </c>
      <c r="AV78" s="35" t="str">
        <f t="shared" si="23"/>
        <v>hold</v>
      </c>
      <c r="AW78" s="38">
        <f t="shared" si="24"/>
        <v>0.07263547224</v>
      </c>
      <c r="AX78" s="38">
        <f t="shared" si="25"/>
        <v>0.02865611823</v>
      </c>
      <c r="AY78" s="38">
        <f t="shared" si="26"/>
        <v>0.03727251435</v>
      </c>
      <c r="AZ78" s="42">
        <f t="shared" si="27"/>
        <v>0.1313586726</v>
      </c>
      <c r="BA78" s="38">
        <f t="shared" si="28"/>
        <v>0.699568418</v>
      </c>
      <c r="BB78" s="38">
        <f t="shared" si="29"/>
        <v>0.300431582</v>
      </c>
      <c r="BC78" s="38">
        <f t="shared" si="30"/>
        <v>-0.04090617641</v>
      </c>
      <c r="BD78" s="38">
        <f t="shared" si="31"/>
        <v>0.4411210844</v>
      </c>
      <c r="BE78" s="38">
        <f t="shared" si="32"/>
        <v>0.5588789156</v>
      </c>
      <c r="BF78" s="38">
        <f t="shared" si="33"/>
        <v>0.1517115364</v>
      </c>
      <c r="BG78" s="37">
        <f t="shared" si="34"/>
        <v>0.2073146651</v>
      </c>
      <c r="BH78" s="43">
        <f t="shared" si="35"/>
        <v>0.1222935897</v>
      </c>
      <c r="BI78" s="44">
        <f t="shared" si="36"/>
        <v>0.3970130587</v>
      </c>
      <c r="BJ78" s="38">
        <f t="shared" si="37"/>
        <v>0.11080536</v>
      </c>
      <c r="BK78" s="43">
        <f t="shared" si="38"/>
        <v>0.07613507851</v>
      </c>
      <c r="BL78" s="45">
        <v>462.47</v>
      </c>
      <c r="BM78" s="46">
        <f t="shared" si="39"/>
        <v>0.1462328453</v>
      </c>
      <c r="BN78" s="38">
        <v>0.037</v>
      </c>
      <c r="BO78" s="45">
        <v>341.09</v>
      </c>
      <c r="BP78" s="47">
        <f t="shared" si="40"/>
        <v>0.5008297476</v>
      </c>
      <c r="BQ78" s="45">
        <v>7.54</v>
      </c>
      <c r="BR78" s="47">
        <f t="shared" si="41"/>
        <v>0.2532770495</v>
      </c>
      <c r="BS78" s="38">
        <v>0.121</v>
      </c>
      <c r="BT78" s="47">
        <f t="shared" si="80"/>
        <v>0.4863593603</v>
      </c>
      <c r="BU78" s="45">
        <v>0.1</v>
      </c>
      <c r="BV78" s="47">
        <f t="shared" si="72"/>
        <v>0.995049505</v>
      </c>
      <c r="BW78" s="48">
        <f t="shared" si="44"/>
        <v>1.305397516</v>
      </c>
      <c r="BX78" s="49">
        <f t="shared" si="45"/>
        <v>0.6717325277</v>
      </c>
      <c r="BY78" s="47">
        <f t="shared" si="46"/>
        <v>0.5588789156</v>
      </c>
      <c r="BZ78" s="38">
        <v>0.017</v>
      </c>
      <c r="CA78" s="50">
        <f t="shared" si="47"/>
        <v>0.07407407407</v>
      </c>
      <c r="CB78" s="38">
        <v>-0.042</v>
      </c>
      <c r="CC78" s="50">
        <f t="shared" si="81"/>
        <v>0.1674831598</v>
      </c>
      <c r="CD78" s="38">
        <v>-0.074</v>
      </c>
      <c r="CE78" s="50">
        <f t="shared" si="49"/>
        <v>0.6821135051</v>
      </c>
      <c r="CF78" s="50">
        <f t="shared" si="50"/>
        <v>0.3078902463</v>
      </c>
      <c r="CG78" s="38">
        <v>0.231</v>
      </c>
      <c r="CH78" s="51">
        <f t="shared" si="51"/>
        <v>0.258776329</v>
      </c>
      <c r="CI78" s="38">
        <v>0.065</v>
      </c>
      <c r="CJ78" s="51">
        <f t="shared" si="52"/>
        <v>0.1159235669</v>
      </c>
      <c r="CK78" s="38">
        <v>0.179</v>
      </c>
      <c r="CL78" s="51">
        <f t="shared" si="82"/>
        <v>0.3909090909</v>
      </c>
      <c r="CM78" s="38">
        <v>0.166</v>
      </c>
      <c r="CN78" s="51">
        <f t="shared" si="83"/>
        <v>0.1824087956</v>
      </c>
      <c r="CO78" s="38">
        <v>0.104</v>
      </c>
      <c r="CP78" s="51">
        <f t="shared" si="84"/>
        <v>0.5541401274</v>
      </c>
      <c r="CQ78" s="51">
        <f t="shared" si="56"/>
        <v>0.300431582</v>
      </c>
      <c r="CR78" s="52">
        <f t="shared" si="57"/>
        <v>0.3890669146</v>
      </c>
      <c r="CS78" s="53">
        <f t="shared" si="91"/>
        <v>0.5157673613</v>
      </c>
      <c r="CT78" s="54">
        <f t="shared" si="92"/>
        <v>0.3362273513</v>
      </c>
      <c r="CU78" s="55">
        <f t="shared" si="60"/>
        <v>0.04124130653</v>
      </c>
      <c r="CV78" s="34">
        <f t="shared" si="61"/>
        <v>0.7426354332</v>
      </c>
      <c r="CW78" s="34">
        <f t="shared" si="62"/>
        <v>0.3801923156</v>
      </c>
      <c r="CX78" s="35">
        <f t="shared" si="93"/>
        <v>0.3031701872</v>
      </c>
      <c r="CY78" s="38">
        <f>IFERROR(__xludf.DUMMYFUNCTION("(GOOGLEFINANCE(B78,""price"")/INDEX(GOOGLEFINANCE(B78,""price"",TODAY()-30),2,2))-1"),0.026226884779516402)</f>
        <v>0.02622688478</v>
      </c>
      <c r="CZ78" s="38">
        <f>IFERROR(__xludf.DUMMYFUNCTION("(GOOGLEFINANCE($B78,""price"")/INDEX(GOOGLEFINANCE($B78,""price"",TODAY()-180),2,2))-1"),0.035153797865662195)</f>
        <v>0.03515379787</v>
      </c>
      <c r="DA78" s="38">
        <f>IFERROR(__xludf.DUMMYFUNCTION("(GOOGLEFINANCE($B78,""price"")/INDEX(GOOGLEFINANCE($B78,""price"",TODAY()-365),2,2))-1"),0.0019095564621127714)</f>
        <v>0.001909556462</v>
      </c>
      <c r="DB78" s="38">
        <f>IFERROR(__xludf.DUMMYFUNCTION("(GOOGLEFINANCE($B78,""price"")/INDEX(GOOGLEFINANCE($B78,""price"",TODAY()-365*5),2,2))-1"),1.5863768765404438)</f>
        <v>1.586376877</v>
      </c>
      <c r="DC78" s="38">
        <f>IFERROR(__xludf.DUMMYFUNCTION("(INDEX(GOOGLEFINANCE(B78, ""price"", TODAY()-30, TODAY()), ROWS(GOOGLEFINANCE(B78, ""price"", TODAY()-30, TODAY())), 2) / INDEX(GOOGLEFINANCE(B78, ""price"", TODAY()-30, TODAY()), 2, 2)) - 1"),0.026226884779516402)</f>
        <v>0.02622688478</v>
      </c>
      <c r="DD78" s="38">
        <f>IFERROR(__xludf.DUMMYFUNCTION("(INDEX(GOOGLEFINANCE(B78, ""price"", TODAY()-7, TODAY()), ROWS(GOOGLEFINANCE(B78, ""price"", TODAY()-7, TODAY())), 2) / INDEX(GOOGLEFINANCE(B78, ""price"", TODAY()-7, TODAY()), 2, 2)) - 1"),0.038880388803888)</f>
        <v>0.0388803888</v>
      </c>
    </row>
    <row r="79">
      <c r="A79" s="68"/>
      <c r="B79" s="68"/>
      <c r="C79" s="68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19"/>
      <c r="W79" s="19"/>
      <c r="X79" s="68"/>
      <c r="Y79" s="68"/>
      <c r="Z79" s="19"/>
      <c r="AA79" s="19"/>
      <c r="AB79" s="19"/>
      <c r="AC79" s="70"/>
      <c r="AD79" s="70"/>
      <c r="AE79" s="70"/>
      <c r="AF79" s="70"/>
      <c r="AG79" s="70"/>
      <c r="AH79" s="70"/>
      <c r="AI79" s="70"/>
      <c r="AJ79" s="68"/>
      <c r="AK79" s="19"/>
      <c r="AL79" s="68"/>
      <c r="AM79" s="68"/>
      <c r="AN79" s="68"/>
      <c r="AO79" s="19"/>
      <c r="AP79" s="19"/>
      <c r="AQ79" s="19"/>
      <c r="AR79" s="19"/>
      <c r="AS79" s="68"/>
      <c r="AT79" s="68"/>
      <c r="AU79" s="68"/>
      <c r="AV79" s="68"/>
      <c r="AW79" s="19"/>
      <c r="AX79" s="19"/>
      <c r="AY79" s="19"/>
      <c r="AZ79" s="71"/>
      <c r="BA79" s="19"/>
      <c r="BB79" s="19"/>
      <c r="BC79" s="19"/>
      <c r="BD79" s="19"/>
      <c r="BE79" s="19"/>
      <c r="BF79" s="19"/>
      <c r="BG79" s="19"/>
      <c r="BH79" s="19"/>
      <c r="BI79" s="72"/>
      <c r="BJ79" s="19"/>
      <c r="BK79" s="73"/>
      <c r="BL79" s="68"/>
      <c r="BM79" s="74"/>
      <c r="BN79" s="19"/>
      <c r="BO79" s="68"/>
      <c r="BP79" s="68"/>
      <c r="BQ79" s="68"/>
      <c r="BR79" s="68"/>
      <c r="BS79" s="68"/>
      <c r="BT79" s="68"/>
      <c r="BU79" s="68"/>
      <c r="BV79" s="68"/>
      <c r="BW79" s="68"/>
      <c r="BX79" s="75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76"/>
      <c r="CR79" s="77"/>
      <c r="CS79" s="65"/>
      <c r="CT79" s="69"/>
      <c r="CU79" s="78"/>
      <c r="CV79" s="69"/>
      <c r="CW79" s="69"/>
      <c r="CX79" s="69"/>
      <c r="CY79" s="19"/>
      <c r="CZ79" s="19"/>
      <c r="DA79" s="19"/>
      <c r="DB79" s="19"/>
      <c r="DC79" s="68"/>
      <c r="DD79" s="68"/>
    </row>
    <row r="80">
      <c r="A80" s="68"/>
      <c r="B80" s="68"/>
      <c r="C80" s="68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19"/>
      <c r="W80" s="19"/>
      <c r="X80" s="68"/>
      <c r="Y80" s="68"/>
      <c r="Z80" s="19"/>
      <c r="AA80" s="19"/>
      <c r="AB80" s="19"/>
      <c r="AC80" s="70"/>
      <c r="AD80" s="70"/>
      <c r="AE80" s="70"/>
      <c r="AF80" s="70"/>
      <c r="AG80" s="70"/>
      <c r="AH80" s="70"/>
      <c r="AI80" s="70"/>
      <c r="AJ80" s="68"/>
      <c r="AK80" s="19"/>
      <c r="AL80" s="68"/>
      <c r="AM80" s="68"/>
      <c r="AN80" s="68"/>
      <c r="AO80" s="19"/>
      <c r="AP80" s="19"/>
      <c r="AQ80" s="19"/>
      <c r="AR80" s="19"/>
      <c r="AS80" s="68"/>
      <c r="AT80" s="68"/>
      <c r="AU80" s="68"/>
      <c r="AV80" s="68"/>
      <c r="AW80" s="19"/>
      <c r="AX80" s="19"/>
      <c r="AY80" s="19"/>
      <c r="AZ80" s="71"/>
      <c r="BA80" s="19"/>
      <c r="BB80" s="19"/>
      <c r="BC80" s="19"/>
      <c r="BD80" s="19"/>
      <c r="BE80" s="19"/>
      <c r="BF80" s="19"/>
      <c r="BG80" s="19"/>
      <c r="BH80" s="19"/>
      <c r="BI80" s="72"/>
      <c r="BJ80" s="19"/>
      <c r="BK80" s="73"/>
      <c r="BL80" s="68"/>
      <c r="BM80" s="74"/>
      <c r="BN80" s="19"/>
      <c r="BO80" s="68"/>
      <c r="BP80" s="68"/>
      <c r="BQ80" s="68"/>
      <c r="BR80" s="68"/>
      <c r="BS80" s="68"/>
      <c r="BT80" s="68"/>
      <c r="BU80" s="68"/>
      <c r="BV80" s="68"/>
      <c r="BW80" s="68"/>
      <c r="BX80" s="75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76"/>
      <c r="CR80" s="77"/>
      <c r="CS80" s="65"/>
      <c r="CT80" s="79"/>
      <c r="CU80" s="78"/>
      <c r="CV80" s="69"/>
      <c r="CW80" s="79"/>
      <c r="CX80" s="69"/>
      <c r="CY80" s="69"/>
      <c r="CZ80" s="69"/>
      <c r="DA80" s="69"/>
      <c r="DB80" s="69"/>
      <c r="DC80" s="68"/>
      <c r="DD80" s="68"/>
    </row>
    <row r="81">
      <c r="A81" s="68"/>
      <c r="B81" s="68"/>
      <c r="C81" s="68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19"/>
      <c r="W81" s="19"/>
      <c r="X81" s="68"/>
      <c r="Y81" s="68"/>
      <c r="Z81" s="19"/>
      <c r="AA81" s="19"/>
      <c r="AB81" s="19"/>
      <c r="AC81" s="70"/>
      <c r="AD81" s="70"/>
      <c r="AE81" s="70"/>
      <c r="AF81" s="70"/>
      <c r="AG81" s="70"/>
      <c r="AH81" s="70"/>
      <c r="AI81" s="70"/>
      <c r="AJ81" s="68"/>
      <c r="AK81" s="19"/>
      <c r="AL81" s="68"/>
      <c r="AM81" s="68"/>
      <c r="AN81" s="68"/>
      <c r="AO81" s="19"/>
      <c r="AP81" s="19"/>
      <c r="AQ81" s="19"/>
      <c r="AR81" s="19"/>
      <c r="AS81" s="68"/>
      <c r="AT81" s="68"/>
      <c r="AU81" s="68"/>
      <c r="AV81" s="68"/>
      <c r="AW81" s="19"/>
      <c r="AX81" s="19"/>
      <c r="AY81" s="19"/>
      <c r="AZ81" s="71"/>
      <c r="BA81" s="19"/>
      <c r="BB81" s="19"/>
      <c r="BC81" s="19"/>
      <c r="BD81" s="19"/>
      <c r="BE81" s="19"/>
      <c r="BF81" s="19"/>
      <c r="BG81" s="19"/>
      <c r="BH81" s="19"/>
      <c r="BI81" s="72"/>
      <c r="BJ81" s="19"/>
      <c r="BK81" s="73"/>
      <c r="BL81" s="68"/>
      <c r="BM81" s="74"/>
      <c r="BN81" s="19"/>
      <c r="BO81" s="68"/>
      <c r="BP81" s="68"/>
      <c r="BQ81" s="68"/>
      <c r="BR81" s="68"/>
      <c r="BS81" s="68"/>
      <c r="BT81" s="68"/>
      <c r="BU81" s="68"/>
      <c r="BV81" s="68"/>
      <c r="BW81" s="68"/>
      <c r="BX81" s="75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76"/>
      <c r="CR81" s="77"/>
      <c r="CS81" s="65"/>
      <c r="CT81" s="69"/>
      <c r="CU81" s="78"/>
      <c r="CV81" s="69"/>
      <c r="CW81" s="69"/>
      <c r="CX81" s="69"/>
      <c r="CY81" s="69"/>
      <c r="CZ81" s="69"/>
      <c r="DA81" s="69"/>
      <c r="DB81" s="69"/>
      <c r="DC81" s="68"/>
      <c r="DD81" s="68"/>
    </row>
  </sheetData>
  <dataValidations>
    <dataValidation type="list" allowBlank="1" showErrorMessage="1" sqref="C1:C81">
      <formula1>"Automoción,Bienes raíces,Comercio electrónico,Consumo,Defensa,Energía,Finanzas,Industria,Materiales,Salud,Sector,Tecnología,Telecomunicaciones"</formula1>
    </dataValidation>
    <dataValidation type="list" allowBlank="1" showErrorMessage="1" sqref="D1:D81">
      <formula1>"Cara,Debería,no,Podría,si,si/Aumentar,Tengo"</formula1>
    </dataValidation>
  </dataValidations>
  <drawing r:id="rId1"/>
</worksheet>
</file>