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KiCost!$J$5:$O$171</definedName>
    <definedName function="false" hidden="false" name="global_part_data" vbProcedure="false">KiCost!$A$5:$I$171</definedName>
    <definedName function="false" hidden="false" name="mouser_part_data" vbProcedure="false">KiCost!$P$5:$U$171</definedName>
    <definedName function="false" hidden="false" name="newark_part_data" vbProcedure="false">KiCost!$V$5:$AA$171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<sst xmlns="http://schemas.openxmlformats.org/spreadsheetml/2006/main" count="1836" uniqueCount="906">
  <si>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</si>
  <si>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</si>
  <si>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</si>
  <si>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</si>
  <si>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</si>
  <si>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</si>
  <si>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</si>
  <si>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</si>
  <si>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</si>
  <si>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</si>
  <si>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</si>
  <si>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</si>
  <si>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</si>
  <si>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</si>
  <si>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</si>
  <si>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</si>
  <si>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</si>
  <si>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</si>
  <si>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</si>
  <si>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</si>
  <si>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J902</t>
  </si>
  <si>
    <t>ANALOG INPUT 2</t>
  </si>
  <si>
    <t>TERM BLOCK 5.08MM VERT 2POS PCB</t>
  </si>
  <si>
    <t>bornier2</t>
  </si>
  <si>
    <t>TE Connectivity</t>
  </si>
  <si>
    <t>796949-2</t>
  </si>
  <si>
    <t>796949-2-ND</t>
  </si>
  <si>
    <t>Link</t>
  </si>
  <si>
    <t>571-7969492</t>
  </si>
  <si>
    <t>34C9478</t>
  </si>
  <si>
    <t>Q1001</t>
  </si>
  <si>
    <t>FDN340P</t>
  </si>
  <si>
    <t>MOSFET P-CH 20V 2A SSOT3</t>
  </si>
  <si>
    <t>SOT-23</t>
  </si>
  <si>
    <t>ON Semiconductor</t>
  </si>
  <si>
    <t>FDN340PCT-ND</t>
  </si>
  <si>
    <t>512-FDN340P</t>
  </si>
  <si>
    <t>58K8841</t>
  </si>
  <si>
    <t>U701,U702</t>
  </si>
  <si>
    <t>TLP290-4</t>
  </si>
  <si>
    <t>OPTOISOLTR 2.5KV 4CH TRANS 16-SO</t>
  </si>
  <si>
    <t>SSOP-16</t>
  </si>
  <si>
    <t>Toshiba Semiconductor and Storage</t>
  </si>
  <si>
    <t>TLP290-4(TP,E</t>
  </si>
  <si>
    <t>TLP290-4(TPECT-ND</t>
  </si>
  <si>
    <t>R801-R803,R807,R809,R814-R816,R1101</t>
  </si>
  <si>
    <t>1k</t>
  </si>
  <si>
    <t>RES 1.0K OHM 1/10W 5% 0603 SMD</t>
  </si>
  <si>
    <t>r_0603</t>
  </si>
  <si>
    <t>Yageo</t>
  </si>
  <si>
    <t>RC0603JR-071KL</t>
  </si>
  <si>
    <t>311-1.0KGRCT-ND</t>
  </si>
  <si>
    <t>603-RC0603JR-071KL</t>
  </si>
  <si>
    <t>68R0137</t>
  </si>
  <si>
    <t>J803</t>
  </si>
  <si>
    <t>RELAY_OUTD</t>
  </si>
  <si>
    <t>TERM BLOCK 5.08MM VERT 3POS PCB</t>
  </si>
  <si>
    <t>bornier3</t>
  </si>
  <si>
    <t>796949-3</t>
  </si>
  <si>
    <t>796949-3-ND</t>
  </si>
  <si>
    <t>571-7969493</t>
  </si>
  <si>
    <t>34C9479</t>
  </si>
  <si>
    <t>R411</t>
  </si>
  <si>
    <t>270R</t>
  </si>
  <si>
    <t>RES 270 OHM 1/10W 5% 0603 SMD</t>
  </si>
  <si>
    <t>RC0603JR-07270RL</t>
  </si>
  <si>
    <t>311-270GRCT-ND</t>
  </si>
  <si>
    <t>603-RC0603JR-07270RL</t>
  </si>
  <si>
    <t>68R0174</t>
  </si>
  <si>
    <t>JP901-JP904</t>
  </si>
  <si>
    <t>JUMPER</t>
  </si>
  <si>
    <t>JUMPER 2 TERM</t>
  </si>
  <si>
    <t>PIN_ARRAY_2x1</t>
  </si>
  <si>
    <t>D1107</t>
  </si>
  <si>
    <t>P6SMB33CA</t>
  </si>
  <si>
    <t>TVS DIODE 28.2VWM 45.7VC SMB</t>
  </si>
  <si>
    <t>DO-214AA_SMB</t>
  </si>
  <si>
    <t>Vishay Semiconductor Diodes Division</t>
  </si>
  <si>
    <t>P6SMB33CA-E3/52</t>
  </si>
  <si>
    <t>P6SMB33CA-E3/52GICT-ND</t>
  </si>
  <si>
    <t>625-P6SMB33CA-E3</t>
  </si>
  <si>
    <t>FB402-FB405</t>
  </si>
  <si>
    <t>BLM18BD470SN1</t>
  </si>
  <si>
    <t>FERRITE CHIP 47 OHM 500MA 0603</t>
  </si>
  <si>
    <t>fb_0603</t>
  </si>
  <si>
    <t>Murata Electronics North America</t>
  </si>
  <si>
    <t>BLM18BD470SN1D</t>
  </si>
  <si>
    <t>490-5211-1-ND</t>
  </si>
  <si>
    <t>J301</t>
  </si>
  <si>
    <t>ETHERNET</t>
  </si>
  <si>
    <t>CONN MAGJACK 1PORT 100 BASE-TX</t>
  </si>
  <si>
    <t>RJ45_Pulse_J403-A</t>
  </si>
  <si>
    <t>Pulse</t>
  </si>
  <si>
    <t>J0011D01BNL</t>
  </si>
  <si>
    <t>553-1483-ND</t>
  </si>
  <si>
    <t>673-J0011D01BNL</t>
  </si>
  <si>
    <t>U302</t>
  </si>
  <si>
    <t>KSZ8041TLI</t>
  </si>
  <si>
    <t>Ethernet 10/100 PHY W/AUTO MDIX</t>
  </si>
  <si>
    <t>TQFP48</t>
  </si>
  <si>
    <t>Micrel</t>
  </si>
  <si>
    <t>576-2971-5-ND</t>
  </si>
  <si>
    <t>998-KSZ8041TLI</t>
  </si>
  <si>
    <t>D202</t>
  </si>
  <si>
    <t>ST1</t>
  </si>
  <si>
    <t>LED GRN WATER CLEAR 0603 SMD</t>
  </si>
  <si>
    <t>LED-0603</t>
  </si>
  <si>
    <t>Everlight Electronics Co Ltd</t>
  </si>
  <si>
    <t>QTLP600C4TR</t>
  </si>
  <si>
    <t>1080-1399-1-ND</t>
  </si>
  <si>
    <t>C1104,C1302,C1305-C1307,C1311-C1318</t>
  </si>
  <si>
    <t>100nF</t>
  </si>
  <si>
    <t>CAP CER 0,1UF 16V 10% X7R</t>
  </si>
  <si>
    <t>c_0603</t>
  </si>
  <si>
    <t>Kemet</t>
  </si>
  <si>
    <t>C0603C104K4RACTU</t>
  </si>
  <si>
    <t>399-1096-1-ND</t>
  </si>
  <si>
    <t>80-C0603C104K4R</t>
  </si>
  <si>
    <t>19C6005</t>
  </si>
  <si>
    <t>C201,C205,C206,C209,C210,C213,C214,C217,C218,C221,C223,C224,C227,C230,C1106,C1301</t>
  </si>
  <si>
    <t>CAP CER 0.1UF 16V 10% X7R</t>
  </si>
  <si>
    <t>FB1101,FB1102,FB1201</t>
  </si>
  <si>
    <t>MMZ1608B601C</t>
  </si>
  <si>
    <t>FERRITE CHIP 600 OHM 500MA 0603</t>
  </si>
  <si>
    <t>TDK</t>
  </si>
  <si>
    <t>445-2166-1-ND</t>
  </si>
  <si>
    <t>810-MMZ1608B601C</t>
  </si>
  <si>
    <t>89R3077</t>
  </si>
  <si>
    <t>J1303</t>
  </si>
  <si>
    <t>JTAG DIRECTO</t>
  </si>
  <si>
    <t>CONECTOR HDR 1,27MM SMD AU 10POS</t>
  </si>
  <si>
    <t>PIN_ARRAY_5x2_1.27_SMD</t>
  </si>
  <si>
    <t>HARWIN</t>
  </si>
  <si>
    <t>M50-3600542</t>
  </si>
  <si>
    <t>952-1389-ND</t>
  </si>
  <si>
    <t>855-M50-3600542</t>
  </si>
  <si>
    <t>84K7720</t>
  </si>
  <si>
    <t>J1302</t>
  </si>
  <si>
    <t>JTAG DEBUG USB</t>
  </si>
  <si>
    <t>CONNECTOR RECEPTACLE MICRO USB B SMD</t>
  </si>
  <si>
    <t>USB_MicroAB</t>
  </si>
  <si>
    <t>HIROSE ELECTRIC</t>
  </si>
  <si>
    <t>ZX62-B-5PA(11)</t>
  </si>
  <si>
    <t>798-ZX62-B-5PA33</t>
  </si>
  <si>
    <t>C501,C503,C1319</t>
  </si>
  <si>
    <t>CAP CER 0,1UF 16V X7R 10% 0603</t>
  </si>
  <si>
    <t>R901-R904</t>
  </si>
  <si>
    <t>4.7</t>
  </si>
  <si>
    <t>RES 4.7 OHM 1/10W 5% 0603 SMD</t>
  </si>
  <si>
    <t>RC0603JR-074R7L</t>
  </si>
  <si>
    <t>311-4.7GRCT-ND</t>
  </si>
  <si>
    <t>603-RC0603JR-074R7L</t>
  </si>
  <si>
    <t>68R0189</t>
  </si>
  <si>
    <t>U1304</t>
  </si>
  <si>
    <t>PRTR5V0U2X</t>
  </si>
  <si>
    <t>IC TVS DIODE 2 CHANNEL 10V CLAMP SOT1434</t>
  </si>
  <si>
    <t>SOT-143-4</t>
  </si>
  <si>
    <t>NXP</t>
  </si>
  <si>
    <t>PRTR5V0U2X,215</t>
  </si>
  <si>
    <t>568-4140-1-ND</t>
  </si>
  <si>
    <t>771-PRTR5V0U2X-T/R</t>
  </si>
  <si>
    <t>75R4845</t>
  </si>
  <si>
    <t>C1105,C1201</t>
  </si>
  <si>
    <t>CAP CER 0.1UF 50V 10% X7R 0603</t>
  </si>
  <si>
    <t>Samsung</t>
  </si>
  <si>
    <t>CL10B104KB8SFNC</t>
  </si>
  <si>
    <t>1276-1936-1-ND</t>
  </si>
  <si>
    <t>R301,R1206</t>
  </si>
  <si>
    <t>10K</t>
  </si>
  <si>
    <t>RES 10K OHM 1/10W 5% 0603 SMD</t>
  </si>
  <si>
    <t>RC0603JR-0710KL</t>
  </si>
  <si>
    <t>311-10KGRCT-ND</t>
  </si>
  <si>
    <t>603-RC0603JR-0710KL</t>
  </si>
  <si>
    <t>68R0144</t>
  </si>
  <si>
    <t>C203</t>
  </si>
  <si>
    <t>2.2uF</t>
  </si>
  <si>
    <t>CAP CER 2.2UF 10V 10% X7R 0603</t>
  </si>
  <si>
    <t>Taiyo Yuden</t>
  </si>
  <si>
    <t>LMK107B7225KA-T</t>
  </si>
  <si>
    <t>587-2983-1-ND</t>
  </si>
  <si>
    <t>963-LMK107B7225KA-T</t>
  </si>
  <si>
    <t>R709-R716,R1304</t>
  </si>
  <si>
    <t>1K</t>
  </si>
  <si>
    <t>U303</t>
  </si>
  <si>
    <t>NB2304AI2DG</t>
  </si>
  <si>
    <t>3.3 V Zero Delay Clock Buffer</t>
  </si>
  <si>
    <t>SOIC-8</t>
  </si>
  <si>
    <t>ON Semi</t>
  </si>
  <si>
    <t>NB2304A</t>
  </si>
  <si>
    <t>NB2304AI2DGOS-ND</t>
  </si>
  <si>
    <t>863-NB2304AI2DG</t>
  </si>
  <si>
    <t>79Y9413</t>
  </si>
  <si>
    <t>R309</t>
  </si>
  <si>
    <t>6,49k 1%</t>
  </si>
  <si>
    <t>RES 6,49K OHM 1/10W 1% 0603 SMD</t>
  </si>
  <si>
    <t>RC0603FR-076K49L</t>
  </si>
  <si>
    <t>311-6.49KHRCT-ND</t>
  </si>
  <si>
    <t>603-RC0603FR-076K49L</t>
  </si>
  <si>
    <t>D201,D301,D302</t>
  </si>
  <si>
    <t>LL4148</t>
  </si>
  <si>
    <t>DIODE SMALL SIG 100V 0.2A</t>
  </si>
  <si>
    <t>SOD-123</t>
  </si>
  <si>
    <t>Fairchild</t>
  </si>
  <si>
    <t>LL4148FSCT-ND</t>
  </si>
  <si>
    <t>512-LL4148</t>
  </si>
  <si>
    <t>05W3302</t>
  </si>
  <si>
    <t>C905-C908</t>
  </si>
  <si>
    <t>470pF</t>
  </si>
  <si>
    <t>CAP CER 470PF 50V 10% X7R 0603</t>
  </si>
  <si>
    <t>C0603C471K5RACTU</t>
  </si>
  <si>
    <t>399-1075-1-ND</t>
  </si>
  <si>
    <t>80-C0603C471K5R</t>
  </si>
  <si>
    <t>30C5318</t>
  </si>
  <si>
    <t>J1001</t>
  </si>
  <si>
    <t>SD CARD</t>
  </si>
  <si>
    <t>CONN MEMORY CARD R/A 8POS SMD</t>
  </si>
  <si>
    <t>MicroSD_Hinged</t>
  </si>
  <si>
    <t>Molex Inc.</t>
  </si>
  <si>
    <t>0472192001</t>
  </si>
  <si>
    <t>538-47219-2001</t>
  </si>
  <si>
    <t>32T4523</t>
  </si>
  <si>
    <t>Q1201</t>
  </si>
  <si>
    <t>BC817-40</t>
  </si>
  <si>
    <t>TRANS NPN 45V 500MA SOT-23</t>
  </si>
  <si>
    <t>BC817-40LT3G</t>
  </si>
  <si>
    <t>BC817-40LT3GOSCT-ND</t>
  </si>
  <si>
    <t>863-BC817-40LT3G</t>
  </si>
  <si>
    <t>D1201,D1202</t>
  </si>
  <si>
    <t>BAV199</t>
  </si>
  <si>
    <t>DIODE ARRAY 70V 215MA SOT23</t>
  </si>
  <si>
    <t>BAV199LT1G</t>
  </si>
  <si>
    <t>BAV199LT1GOSCT-ND</t>
  </si>
  <si>
    <t>863-BAV199LT1G</t>
  </si>
  <si>
    <t>98H0500</t>
  </si>
  <si>
    <t>BT1101</t>
  </si>
  <si>
    <t>CR2032</t>
  </si>
  <si>
    <t>HOLDER BATTERY FOR 2032 CELL</t>
  </si>
  <si>
    <t>2032batPTH</t>
  </si>
  <si>
    <t>MPD</t>
  </si>
  <si>
    <t>BH32T-C</t>
  </si>
  <si>
    <t>BH32T-C-ND</t>
  </si>
  <si>
    <t>C909,C1103</t>
  </si>
  <si>
    <t>10uF</t>
  </si>
  <si>
    <t>CAP TANT 10UF 6.3V 10% 1206</t>
  </si>
  <si>
    <t>c_1206POL</t>
  </si>
  <si>
    <t>T491A106K006AT7280</t>
  </si>
  <si>
    <t>80-T491A106K0067280</t>
  </si>
  <si>
    <t>J1102</t>
  </si>
  <si>
    <t>DC-OUT</t>
  </si>
  <si>
    <t>BORNERA 5.08MM VERT 2 POS PCB</t>
  </si>
  <si>
    <t>D404</t>
  </si>
  <si>
    <t>PESD1CAN</t>
  </si>
  <si>
    <t>TVS DIODE 24VWM 70VC SOT23</t>
  </si>
  <si>
    <t>NXP Semiconductors</t>
  </si>
  <si>
    <t>PESD1CAN,215</t>
  </si>
  <si>
    <t>568-4032-1-ND</t>
  </si>
  <si>
    <t>771-PESD1CAN-T/R</t>
  </si>
  <si>
    <t>X202</t>
  </si>
  <si>
    <t>32.768KHZ</t>
  </si>
  <si>
    <t>CRYSTAL 32.768KHZ 12.5PF</t>
  </si>
  <si>
    <t>4SOJ</t>
  </si>
  <si>
    <t>Abracon Corporation</t>
  </si>
  <si>
    <t>ABS25-32.768KHZ-T</t>
  </si>
  <si>
    <t>535-9166-1-ND</t>
  </si>
  <si>
    <t>13J1804</t>
  </si>
  <si>
    <t>FB502,FB1301-FB1303</t>
  </si>
  <si>
    <t>J602</t>
  </si>
  <si>
    <t>I2C</t>
  </si>
  <si>
    <t>CONN HEADER .100" DUAL STR 80POS</t>
  </si>
  <si>
    <t>PIN_ARRAY_2x2</t>
  </si>
  <si>
    <t>Sullins Connector Solutions</t>
  </si>
  <si>
    <t>S2012EC-40-ND</t>
  </si>
  <si>
    <t>517-5622-4100-ML</t>
  </si>
  <si>
    <t>R203,R921-R924,R1302</t>
  </si>
  <si>
    <t>100</t>
  </si>
  <si>
    <t>RES 100 OHM 1/10W 5% 0603 SMD</t>
  </si>
  <si>
    <t>RC0603JR-07100RL</t>
  </si>
  <si>
    <t>311-100GRCT-ND</t>
  </si>
  <si>
    <t>603-RC0603JR-07100RL</t>
  </si>
  <si>
    <t>26M6737</t>
  </si>
  <si>
    <t>U1002</t>
  </si>
  <si>
    <t>24AA1025</t>
  </si>
  <si>
    <t>IC EEPROM 1MBIT 400KHZ 8SOIC</t>
  </si>
  <si>
    <t>Microchip Technology</t>
  </si>
  <si>
    <t>24AA1025-I/SN</t>
  </si>
  <si>
    <t>24AA1025-I/SN-ND</t>
  </si>
  <si>
    <t>579-24AA1025-I/SN</t>
  </si>
  <si>
    <t>D1106</t>
  </si>
  <si>
    <t>MMSZ5V6T1G</t>
  </si>
  <si>
    <t>DIODE ZENER 5.6V 500MW SOD123</t>
  </si>
  <si>
    <t>MMSZ5V6T1GOSCT-ND</t>
  </si>
  <si>
    <t>863-MMSZ5V6T1G</t>
  </si>
  <si>
    <t>45J1588</t>
  </si>
  <si>
    <t>D1108</t>
  </si>
  <si>
    <t>BAT54C</t>
  </si>
  <si>
    <t>DIODE SCHOTTKY 30V 200MA</t>
  </si>
  <si>
    <t>Fairchild Semiconductor</t>
  </si>
  <si>
    <t>BAT54</t>
  </si>
  <si>
    <t>BAT54FSCT-ND</t>
  </si>
  <si>
    <t>512-BAT54</t>
  </si>
  <si>
    <t>U401</t>
  </si>
  <si>
    <t>SP1486EEN-L</t>
  </si>
  <si>
    <t>IC TXRX RS485/422 PROFIBUS 8SOIC</t>
  </si>
  <si>
    <t>Exar Corporation</t>
  </si>
  <si>
    <t>1016-1003-5-ND</t>
  </si>
  <si>
    <t>Q805-Q808</t>
  </si>
  <si>
    <t>FQT13N06L</t>
  </si>
  <si>
    <t>MOSFET N-CH 60V 2.8A SOT-223</t>
  </si>
  <si>
    <t>SOT-223</t>
  </si>
  <si>
    <t>FQT13N06LTF</t>
  </si>
  <si>
    <t>FQT13N06LTFCT-ND</t>
  </si>
  <si>
    <t>512-FQT13N06LTF</t>
  </si>
  <si>
    <t>31Y1561</t>
  </si>
  <si>
    <t>R804-R806,R808</t>
  </si>
  <si>
    <t>100k</t>
  </si>
  <si>
    <t>RES 100K OHM 1/10W 5% 0603 SMD</t>
  </si>
  <si>
    <t>RC0603JR-07100KL</t>
  </si>
  <si>
    <t>311-100KGRCT-ND</t>
  </si>
  <si>
    <t>603-RC0603JR-07100KL</t>
  </si>
  <si>
    <t>68R0147</t>
  </si>
  <si>
    <t>R1301,R1309-R1311</t>
  </si>
  <si>
    <t>RES 10K 1/10W 5% 0603 SMD</t>
  </si>
  <si>
    <t>TH1101</t>
  </si>
  <si>
    <t>MF-SM300</t>
  </si>
  <si>
    <t>FUSE RESETTABLE 3.0A HOLD SMD</t>
  </si>
  <si>
    <t>Bourns</t>
  </si>
  <si>
    <t>MF-SM300-2</t>
  </si>
  <si>
    <t>MF-SM300-2CT-ND</t>
  </si>
  <si>
    <t>652-MF-SM300-2</t>
  </si>
  <si>
    <t>75K7700</t>
  </si>
  <si>
    <t>R413,R414</t>
  </si>
  <si>
    <t>1K5</t>
  </si>
  <si>
    <t>RES 1.5K OHM 1/10W 5% 0603 SMD</t>
  </si>
  <si>
    <t>RC0603JR-071K5L</t>
  </si>
  <si>
    <t>311-1.5KGRCT-ND</t>
  </si>
  <si>
    <t>603-RC0603JR-071K5L</t>
  </si>
  <si>
    <t>68R0139</t>
  </si>
  <si>
    <t>C1101</t>
  </si>
  <si>
    <t>470uF</t>
  </si>
  <si>
    <t>CAP ALUM 470UF 35V 20% SMD</t>
  </si>
  <si>
    <t>c_elec_10x13_5</t>
  </si>
  <si>
    <t>Nichicon</t>
  </si>
  <si>
    <t>UCL1V471MNL1GS</t>
  </si>
  <si>
    <t>493-3961-1-ND</t>
  </si>
  <si>
    <t>647-UCL1V471MNL1GS</t>
  </si>
  <si>
    <t>84R9019</t>
  </si>
  <si>
    <t>JP401-JP406</t>
  </si>
  <si>
    <t>PREC040SFAN-RC</t>
  </si>
  <si>
    <t>S1212EC-40-ND</t>
  </si>
  <si>
    <t>895-USB-RS232-PCBA</t>
  </si>
  <si>
    <t>R206</t>
  </si>
  <si>
    <t>RES 4.7K OHM 1/10W 5%</t>
  </si>
  <si>
    <t>R1303</t>
  </si>
  <si>
    <t>12K 1%</t>
  </si>
  <si>
    <t>RES 12.0K OHM 1/10W 1% 0603 SMD</t>
  </si>
  <si>
    <t>RC0603FR-0712KL</t>
  </si>
  <si>
    <t>311-12.0KHRCT-ND</t>
  </si>
  <si>
    <t>603-RC0603FR-0712KL</t>
  </si>
  <si>
    <t>68R0054</t>
  </si>
  <si>
    <t>U901</t>
  </si>
  <si>
    <t>MCP6024</t>
  </si>
  <si>
    <t>IC OPAMP GP 10MHZ RRO 14TSSOP</t>
  </si>
  <si>
    <t>TSSOP-14</t>
  </si>
  <si>
    <t>MCP6024-I/ST</t>
  </si>
  <si>
    <t>MCP6024-I/ST-ND</t>
  </si>
  <si>
    <t>579-MCP6024-I/ST</t>
  </si>
  <si>
    <t>R415,R416</t>
  </si>
  <si>
    <t>60 1%</t>
  </si>
  <si>
    <t>RES 59.0 OHM 1/10W 1% 0603 SMD</t>
  </si>
  <si>
    <t>RC0603FR-0759RL</t>
  </si>
  <si>
    <t>311-59.0HRCT-ND</t>
  </si>
  <si>
    <t>603-RC0603FR-0759RL</t>
  </si>
  <si>
    <t>R1202</t>
  </si>
  <si>
    <t>33k</t>
  </si>
  <si>
    <t>RES 33.0K OHM 1/10W .1% 0603 SMD</t>
  </si>
  <si>
    <t>Susumu</t>
  </si>
  <si>
    <t>RG1608P-333-B-T5</t>
  </si>
  <si>
    <t>RG16P33.0KBCT-ND</t>
  </si>
  <si>
    <t>754-RG1608P-333-BT5</t>
  </si>
  <si>
    <t>TH605,TH801-TH804,TH1102</t>
  </si>
  <si>
    <t>1812L110/33MR</t>
  </si>
  <si>
    <t>PTC RESETTABLE 33V 1.10A 1812L</t>
  </si>
  <si>
    <t>ptc_1812</t>
  </si>
  <si>
    <t>Littelfuse Inc</t>
  </si>
  <si>
    <t>F3486CT-ND</t>
  </si>
  <si>
    <t>05M2403</t>
  </si>
  <si>
    <t>C303</t>
  </si>
  <si>
    <t>JP1201</t>
  </si>
  <si>
    <t>JUMPER3</t>
  </si>
  <si>
    <t>JUMPER 3 TERM</t>
  </si>
  <si>
    <t>PIN_ARRAY_3x1</t>
  </si>
  <si>
    <t>U1101</t>
  </si>
  <si>
    <t>LM2596-5.0</t>
  </si>
  <si>
    <t>IC REG BUCK 5V 3A TO263-5</t>
  </si>
  <si>
    <t>LM2596</t>
  </si>
  <si>
    <t>Texas Instruments</t>
  </si>
  <si>
    <t>LM2596SX-5.0/NOPB</t>
  </si>
  <si>
    <t>LM2596SX-5.0/NOPBCT-ND</t>
  </si>
  <si>
    <t>926-LM2596SX-5.0NOPB</t>
  </si>
  <si>
    <t>41K3848</t>
  </si>
  <si>
    <t>FB301-FB304,FB501,FB1304</t>
  </si>
  <si>
    <t>BLM18KG221SN1D</t>
  </si>
  <si>
    <t>FERRITE CHIP 220 OHM 2200MA 0603</t>
  </si>
  <si>
    <t>MURATA</t>
  </si>
  <si>
    <t>490-5255-1-ND</t>
  </si>
  <si>
    <t>81-BLM18KG221SN1D</t>
  </si>
  <si>
    <t>55R1510</t>
  </si>
  <si>
    <t>C1303,C1308,C1309</t>
  </si>
  <si>
    <t>4,7uF</t>
  </si>
  <si>
    <t>CAP TANT 4,7UF 6,3V 10% 1206</t>
  </si>
  <si>
    <t>T491A475K006AT</t>
  </si>
  <si>
    <t>399-9717-1-ND</t>
  </si>
  <si>
    <t>80-T491A475K006</t>
  </si>
  <si>
    <t>57K1702</t>
  </si>
  <si>
    <t>U502</t>
  </si>
  <si>
    <t>ON SEMICONDUCTOR</t>
  </si>
  <si>
    <t>CM1213A-02SR</t>
  </si>
  <si>
    <t>CM1213A-02SROSCT-ND</t>
  </si>
  <si>
    <t>748-CM1213A-02SR</t>
  </si>
  <si>
    <t>U1102</t>
  </si>
  <si>
    <t>NCP1117ST33T3G</t>
  </si>
  <si>
    <t>IC REG LDO 3.3V 1A SOT223</t>
  </si>
  <si>
    <t>NCP1117ST33T3GOSCT-ND</t>
  </si>
  <si>
    <t>863-NCP1117ST33T3G</t>
  </si>
  <si>
    <t>67H7013</t>
  </si>
  <si>
    <t>C701-C708</t>
  </si>
  <si>
    <t>1,5nF</t>
  </si>
  <si>
    <t>CAP CER 1500PF 50V 10% X7R 0603</t>
  </si>
  <si>
    <t>C0603C152K5RACTU</t>
  </si>
  <si>
    <t>399-1084-1-ND</t>
  </si>
  <si>
    <t>80-C0603C152K5R</t>
  </si>
  <si>
    <t>64K2843</t>
  </si>
  <si>
    <t>TP1101,TP1102</t>
  </si>
  <si>
    <t>TESTPOINT_PDN</t>
  </si>
  <si>
    <t>D801,D803,D805,D807</t>
  </si>
  <si>
    <t>DIODE SMALL SIG 100V 0.2A SOD80</t>
  </si>
  <si>
    <t>H1-H4</t>
  </si>
  <si>
    <t>PCB_HOLE</t>
  </si>
  <si>
    <t>PCB HOLE</t>
  </si>
  <si>
    <t>K801-K804</t>
  </si>
  <si>
    <t>1461353-2</t>
  </si>
  <si>
    <t>RELAY GENERAL PURPOSE SPST 5A 5V</t>
  </si>
  <si>
    <t>PB1652-ND</t>
  </si>
  <si>
    <t>655-1461353-2</t>
  </si>
  <si>
    <t>JP905-JP908</t>
  </si>
  <si>
    <t>D401-D403</t>
  </si>
  <si>
    <t>P6SMB12CAT3G</t>
  </si>
  <si>
    <t>TVS DIODE 10.2VWM 16.7VC SMB</t>
  </si>
  <si>
    <t>P6SMB12CAT3GOSCT-ND</t>
  </si>
  <si>
    <t>863-P6SMB12CAT3G</t>
  </si>
  <si>
    <t>09R9693</t>
  </si>
  <si>
    <t>Q801-Q804</t>
  </si>
  <si>
    <t>NDS7002A</t>
  </si>
  <si>
    <t>MOSFET N-CH 60V 280MA SOT-23</t>
  </si>
  <si>
    <t>NDS7002ACT-ND</t>
  </si>
  <si>
    <t>512-NDS7002A</t>
  </si>
  <si>
    <t>58K9482</t>
  </si>
  <si>
    <t>R406,R408</t>
  </si>
  <si>
    <t>390</t>
  </si>
  <si>
    <t>RES 390 OHM 1/10W 5% 0603 SMD</t>
  </si>
  <si>
    <t>RC0603JR-07390RL</t>
  </si>
  <si>
    <t>311-390GRCT-ND</t>
  </si>
  <si>
    <t>603-RC0603JR-07390RL</t>
  </si>
  <si>
    <t>68R0187</t>
  </si>
  <si>
    <t>J1101</t>
  </si>
  <si>
    <t>DC-INPUT</t>
  </si>
  <si>
    <t>F1-F6</t>
  </si>
  <si>
    <t>FIDUCIAL</t>
  </si>
  <si>
    <t>Fiducial_1mm</t>
  </si>
  <si>
    <t>J401</t>
  </si>
  <si>
    <t>RS485</t>
  </si>
  <si>
    <t>R401</t>
  </si>
  <si>
    <t>4K7</t>
  </si>
  <si>
    <t>RES 4.7K OHM 1/10W 5% 0603 SMD</t>
  </si>
  <si>
    <t>RC0603JR-074K7L</t>
  </si>
  <si>
    <t>311-4.7KGRCT-ND</t>
  </si>
  <si>
    <t>603-RC0603JR-074K7L</t>
  </si>
  <si>
    <t>68R0188</t>
  </si>
  <si>
    <t>FB201,FB202</t>
  </si>
  <si>
    <t>ACML0603101</t>
  </si>
  <si>
    <t>FERRITE CHIP 100 OHM 200MA 0603</t>
  </si>
  <si>
    <t>ACML-0603-101-T</t>
  </si>
  <si>
    <t>ACML-0603-101-TCT-ND</t>
  </si>
  <si>
    <t>R410</t>
  </si>
  <si>
    <t>RES 100 OHM 1/2W 5% 2010 SMD</t>
  </si>
  <si>
    <t>r_2010</t>
  </si>
  <si>
    <t>CR2010-JW-101ELF</t>
  </si>
  <si>
    <t>CR2010-JW-101ELFCT-ND</t>
  </si>
  <si>
    <t>652-CR2010-JW-101ELF</t>
  </si>
  <si>
    <t>R204,R207,R1016</t>
  </si>
  <si>
    <t>680</t>
  </si>
  <si>
    <t>RES 680 OHM 1/10W 5% 0603 SMD</t>
  </si>
  <si>
    <t>RC0603JR-07680RL</t>
  </si>
  <si>
    <t>311-680GRCT-ND</t>
  </si>
  <si>
    <t>603-RC0603JR-07680RL</t>
  </si>
  <si>
    <t>68R0206</t>
  </si>
  <si>
    <t>J402</t>
  </si>
  <si>
    <t>DB9</t>
  </si>
  <si>
    <t>CONN D-SUB RCPT 9POS RA GOLD</t>
  </si>
  <si>
    <t>DB9_F_TH</t>
  </si>
  <si>
    <t>Sullins</t>
  </si>
  <si>
    <t>SDS107-PRP1-F09-SN63-11</t>
  </si>
  <si>
    <t>TH601</t>
  </si>
  <si>
    <t>MF-USMF035-2</t>
  </si>
  <si>
    <t>FUSE RESETTABLE .35A HOLD SMD</t>
  </si>
  <si>
    <t>ptc_1210</t>
  </si>
  <si>
    <t>MF-USMF035-2CT-ND</t>
  </si>
  <si>
    <t>652-MF-USMF035-2</t>
  </si>
  <si>
    <t>R1203</t>
  </si>
  <si>
    <t>2.49k</t>
  </si>
  <si>
    <t>RES 2.49K OHM 1/10W .1% 0603 SMD</t>
  </si>
  <si>
    <t>RG1608P-2491-B-T5</t>
  </si>
  <si>
    <t>RG16P2.49KBCT-ND</t>
  </si>
  <si>
    <t>754-RG1608P-2491-BT5</t>
  </si>
  <si>
    <t>L1101</t>
  </si>
  <si>
    <t>47uH</t>
  </si>
  <si>
    <t>INDUCTOR POWER SHIELD 47UH SMD</t>
  </si>
  <si>
    <t>L_10x9.8_SMD</t>
  </si>
  <si>
    <t>SRN1060-470M</t>
  </si>
  <si>
    <t>SRN1060-470MCT-ND</t>
  </si>
  <si>
    <t>652-SRN1060-470M</t>
  </si>
  <si>
    <t>54W0036</t>
  </si>
  <si>
    <t>C402-C404,C406-C410</t>
  </si>
  <si>
    <t>CAP CER 0.1UF 16V 10% X7R 0603</t>
  </si>
  <si>
    <t>D905-D908</t>
  </si>
  <si>
    <t>P6SMB20CAT3G</t>
  </si>
  <si>
    <t>TVS DIODE 17.1VWM 27.7VC SMB</t>
  </si>
  <si>
    <t>P6SMB20CAT3GOSCT-ND</t>
  </si>
  <si>
    <t>863-P6SMB20CAT3G</t>
  </si>
  <si>
    <t>J901</t>
  </si>
  <si>
    <t>ANALOG INPUT 1</t>
  </si>
  <si>
    <t>U1003</t>
  </si>
  <si>
    <t>24AA025E48</t>
  </si>
  <si>
    <t>IC EEPROM 2KBIT 400KHZ 8SOIC</t>
  </si>
  <si>
    <t>24AA025E48-I/SN</t>
  </si>
  <si>
    <t>24AA025E48-I/SN-ND</t>
  </si>
  <si>
    <t>579-24AA025E48-I/SN</t>
  </si>
  <si>
    <t>73R8707</t>
  </si>
  <si>
    <t>R909-R920,R1201</t>
  </si>
  <si>
    <t>15k</t>
  </si>
  <si>
    <t>RES 15.0K OHM 1/10W .1% 0603 SMD</t>
  </si>
  <si>
    <t>RG1608P-153-B-T5</t>
  </si>
  <si>
    <t>RG16P15.0KBCT-ND</t>
  </si>
  <si>
    <t>754-RG1608P-153-B-T5</t>
  </si>
  <si>
    <t>J703</t>
  </si>
  <si>
    <t>DIG_INC</t>
  </si>
  <si>
    <t>D501</t>
  </si>
  <si>
    <t>SMAJ5.0A</t>
  </si>
  <si>
    <t>TVS DIODE 5VWM SMD</t>
  </si>
  <si>
    <t>DO-214AC_SMA</t>
  </si>
  <si>
    <t>SMAJ5.0ABCT-ND</t>
  </si>
  <si>
    <t>652-SMAJ5.0A</t>
  </si>
  <si>
    <t>67R1573</t>
  </si>
  <si>
    <t>R302-R305,R307,R308</t>
  </si>
  <si>
    <t>33</t>
  </si>
  <si>
    <t>RES 33 OHM 1/10W 5% 0603 SMD</t>
  </si>
  <si>
    <t>CR0603-JW-330GLF</t>
  </si>
  <si>
    <t>CR0603-JW-330GLFCT-ND</t>
  </si>
  <si>
    <t>652-CR0603-JW-330GLF</t>
  </si>
  <si>
    <t>65T8182</t>
  </si>
  <si>
    <t>U301</t>
  </si>
  <si>
    <t>FXO-HC735-25</t>
  </si>
  <si>
    <t>HCMOS 7 x 5mm 3.3V Oscillator</t>
  </si>
  <si>
    <t>FXODFN4</t>
  </si>
  <si>
    <t>Fox Electronics</t>
  </si>
  <si>
    <t>631-1055-1-ND</t>
  </si>
  <si>
    <t>C204,C207</t>
  </si>
  <si>
    <t>18pF</t>
  </si>
  <si>
    <t>CAP CER 18PF 50V 5% NP0 0603</t>
  </si>
  <si>
    <t>C0603C180J5GACTU</t>
  </si>
  <si>
    <t>399-1052-1-ND</t>
  </si>
  <si>
    <t>80-C0603C180J5G</t>
  </si>
  <si>
    <t>64K2845</t>
  </si>
  <si>
    <t>R310-R313</t>
  </si>
  <si>
    <t>49,9 1%</t>
  </si>
  <si>
    <t>RES 49,9 OHM 1/10W 1% 0603 SMD</t>
  </si>
  <si>
    <t>RC0603FR-0749R9L</t>
  </si>
  <si>
    <t>311-49.9HRCT-ND</t>
  </si>
  <si>
    <t>603-RC0603FR-0749R9L</t>
  </si>
  <si>
    <t>68R0100</t>
  </si>
  <si>
    <t>D1103,D1104</t>
  </si>
  <si>
    <t>MBRS130LT3G</t>
  </si>
  <si>
    <t>DIODE SCHOTTKY 30V 2A SMB</t>
  </si>
  <si>
    <t>MBRS130LT3GOSCT-ND</t>
  </si>
  <si>
    <t>863-MBRS130LT3G</t>
  </si>
  <si>
    <t>67H6689</t>
  </si>
  <si>
    <t>G101</t>
  </si>
  <si>
    <t>OSHWA</t>
  </si>
  <si>
    <t>LOGO DE OPEN SOURCE HARDWARE</t>
  </si>
  <si>
    <t>SW201</t>
  </si>
  <si>
    <t>RESET</t>
  </si>
  <si>
    <t>SWITCH TACTILE SPST-NO 0.05A 12V</t>
  </si>
  <si>
    <t>TACT_SMD_4</t>
  </si>
  <si>
    <t>2-1437565-9</t>
  </si>
  <si>
    <t>450-1792-1-ND</t>
  </si>
  <si>
    <t>506-FSM2JSMAATR</t>
  </si>
  <si>
    <t>46Y9222</t>
  </si>
  <si>
    <t>R1001-R1007,R1014</t>
  </si>
  <si>
    <t>0R</t>
  </si>
  <si>
    <t>RES 0.0 OHM 1/10W JUMP 0603 SMD</t>
  </si>
  <si>
    <t>RC0603JR-070RL</t>
  </si>
  <si>
    <t>311-0.0GRCT-ND</t>
  </si>
  <si>
    <t>603-RC0603JR-070RL</t>
  </si>
  <si>
    <t>68R0136</t>
  </si>
  <si>
    <t>R717-R724</t>
  </si>
  <si>
    <t>33K</t>
  </si>
  <si>
    <t>RES 33K OHM 1/10W 5% 0603 SMD</t>
  </si>
  <si>
    <t>RC0603JR-0733KL</t>
  </si>
  <si>
    <t>311-33KGRCT-ND</t>
  </si>
  <si>
    <t>603-RC0603JR-0733KL</t>
  </si>
  <si>
    <t>68R0181</t>
  </si>
  <si>
    <t>J603</t>
  </si>
  <si>
    <t>ANALOG AUX</t>
  </si>
  <si>
    <t>PIN_ARRAY_4x2</t>
  </si>
  <si>
    <t>C208,C212,C1202</t>
  </si>
  <si>
    <t>10nF</t>
  </si>
  <si>
    <t>CAP CER 10000PF 50V 10% X7R</t>
  </si>
  <si>
    <t>C0603C103K5RACTU</t>
  </si>
  <si>
    <t>399-1091-1-ND</t>
  </si>
  <si>
    <t>80-C0603C103K5R</t>
  </si>
  <si>
    <t>30C5334</t>
  </si>
  <si>
    <t>J502</t>
  </si>
  <si>
    <t>USB OTG</t>
  </si>
  <si>
    <t>CONNECTOR RECEPTACLE MICRO USB AB SMD BOTTOM MOUNT</t>
  </si>
  <si>
    <t>ZX62-AB-5PA(11)</t>
  </si>
  <si>
    <t>H11635TR-ND</t>
  </si>
  <si>
    <t>C308,C311,C313,C316</t>
  </si>
  <si>
    <t>22uF</t>
  </si>
  <si>
    <t>CAP TANT 22UF 6.3V 10% 1206</t>
  </si>
  <si>
    <t>T491A226K006AT</t>
  </si>
  <si>
    <t>399-8279-1-ND</t>
  </si>
  <si>
    <t>80-T491A226K006</t>
  </si>
  <si>
    <t>57K1670</t>
  </si>
  <si>
    <t>R317</t>
  </si>
  <si>
    <t>1M</t>
  </si>
  <si>
    <t>RES 1.0M OHM 1/10W 5% 0603 SMD</t>
  </si>
  <si>
    <t>RC0603JR-071ML</t>
  </si>
  <si>
    <t>311-1.0MGRCT-ND</t>
  </si>
  <si>
    <t>603-RC0603JR-071ML</t>
  </si>
  <si>
    <t>68R0141</t>
  </si>
  <si>
    <t>J601</t>
  </si>
  <si>
    <t>GPIO</t>
  </si>
  <si>
    <t>PIN_ARRAY_11x2</t>
  </si>
  <si>
    <t>TR501,TR1301</t>
  </si>
  <si>
    <t>SRF2012</t>
  </si>
  <si>
    <t>INDUCTOR COMMON MODE 90 OHM SMD</t>
  </si>
  <si>
    <t>BOURNS</t>
  </si>
  <si>
    <t>SRF2012-900Y</t>
  </si>
  <si>
    <t>SRF2012-900YCT-ND</t>
  </si>
  <si>
    <t>652-SRF2012-900Y</t>
  </si>
  <si>
    <t>54W0027</t>
  </si>
  <si>
    <t>J1201</t>
  </si>
  <si>
    <t>ANALOG OUT</t>
  </si>
  <si>
    <t>C401,C405</t>
  </si>
  <si>
    <t>U1302</t>
  </si>
  <si>
    <t>FT2232H</t>
  </si>
  <si>
    <t>IC FT2232H DUAL HIGH SPEED USB TO MULTIPURPOSE UART/FIFO</t>
  </si>
  <si>
    <t>TQFP64</t>
  </si>
  <si>
    <t>FTDI CHIP</t>
  </si>
  <si>
    <t>FT2232HL</t>
  </si>
  <si>
    <t>768-1024-1-ND</t>
  </si>
  <si>
    <t>895-FT2232HL-TRAY</t>
  </si>
  <si>
    <t>C301</t>
  </si>
  <si>
    <t>CAP CER 10000PF 50V 10% X7R 0603</t>
  </si>
  <si>
    <t>C502,C1310</t>
  </si>
  <si>
    <t>CAP TANT 4,7uF 6,3V 10% 1206 </t>
  </si>
  <si>
    <t>R817-R820</t>
  </si>
  <si>
    <t>0R-DNP</t>
  </si>
  <si>
    <t>R601-R604,R1008,R1010-R1013,R1015</t>
  </si>
  <si>
    <t>10k</t>
  </si>
  <si>
    <t>U402</t>
  </si>
  <si>
    <t>ST3232E</t>
  </si>
  <si>
    <t>IC DRVR/RCVR RS232 ESD 16-TSSOP</t>
  </si>
  <si>
    <t>TSSOP-16</t>
  </si>
  <si>
    <t>STMicroelectronics</t>
  </si>
  <si>
    <t>ST3232ECTR</t>
  </si>
  <si>
    <t>497-6538-1-ND</t>
  </si>
  <si>
    <t>511-ST3232EC</t>
  </si>
  <si>
    <t>J802</t>
  </si>
  <si>
    <t>OPDRAIN_OUTB</t>
  </si>
  <si>
    <t>U1301</t>
  </si>
  <si>
    <t>74HC244</t>
  </si>
  <si>
    <t>IC BUFF/DVR TRI-ST DUAL 20TSSOP</t>
  </si>
  <si>
    <t>TSSOP-20</t>
  </si>
  <si>
    <t>74HC244PW,112</t>
  </si>
  <si>
    <t>568-8285-5-ND</t>
  </si>
  <si>
    <t>771-HC244PW112</t>
  </si>
  <si>
    <t>J604</t>
  </si>
  <si>
    <t>SPI</t>
  </si>
  <si>
    <t>PIN_ARRAY_3x2</t>
  </si>
  <si>
    <t>FB901-FB904</t>
  </si>
  <si>
    <t>D1102</t>
  </si>
  <si>
    <t>MBRS540T3G</t>
  </si>
  <si>
    <t>DIODE SCHOTTKY 40V 5A SMC</t>
  </si>
  <si>
    <t>DO-214AB_SMC</t>
  </si>
  <si>
    <t>MBRS540T3GOSCT-ND</t>
  </si>
  <si>
    <t>863-MBRS540T3G</t>
  </si>
  <si>
    <t>06R3468</t>
  </si>
  <si>
    <t>U1201</t>
  </si>
  <si>
    <t>LM358DG</t>
  </si>
  <si>
    <t>IC OPAMP GP 1MHZ 8SOIC</t>
  </si>
  <si>
    <t>LM358DGOS-ND</t>
  </si>
  <si>
    <t>863-LM358DG</t>
  </si>
  <si>
    <t>45J0748</t>
  </si>
  <si>
    <t>J702</t>
  </si>
  <si>
    <t>DIG_INB</t>
  </si>
  <si>
    <t>D1101,D1109</t>
  </si>
  <si>
    <t>MURS360</t>
  </si>
  <si>
    <t>DIODE ULTRAFAST 600V 3A SMC</t>
  </si>
  <si>
    <t>MURS360T3G</t>
  </si>
  <si>
    <t>MURS360T3GOSCT-ND</t>
  </si>
  <si>
    <t>863-MURS360T3G</t>
  </si>
  <si>
    <t>88H4945</t>
  </si>
  <si>
    <t>J804,J805</t>
  </si>
  <si>
    <t>RELAY_OUTB</t>
  </si>
  <si>
    <t>U501</t>
  </si>
  <si>
    <t>MIC2025-2YM</t>
  </si>
  <si>
    <t>IC SINGLE CHANNEL POWER DISTRIBUTION SWITCH 500mA</t>
  </si>
  <si>
    <t>MICREL</t>
  </si>
  <si>
    <t>576-1058-ND</t>
  </si>
  <si>
    <t>998-MIC2025-2YM</t>
  </si>
  <si>
    <t>67J0256</t>
  </si>
  <si>
    <t>TH603</t>
  </si>
  <si>
    <t>MF-USMF110-2</t>
  </si>
  <si>
    <t>FUSE RESETTABLE 1.10A 6V HLD SMD</t>
  </si>
  <si>
    <t>MF-USMF110-2CT-ND</t>
  </si>
  <si>
    <t>652-MF-USMF110-2</t>
  </si>
  <si>
    <t>61J7437</t>
  </si>
  <si>
    <t>C910-C914,C1001-C1003,C1005</t>
  </si>
  <si>
    <t>CAP CER 0,1UF 16V 10% X7R 0603</t>
  </si>
  <si>
    <t>C901-C904</t>
  </si>
  <si>
    <t>1nF</t>
  </si>
  <si>
    <t>CAP CER 1000PF 50V 10% X7R 0603</t>
  </si>
  <si>
    <t>C0603C102K5RACTU</t>
  </si>
  <si>
    <t>399-1082-1-ND</t>
  </si>
  <si>
    <t>80-C0603C102K5R</t>
  </si>
  <si>
    <t>51B220</t>
  </si>
  <si>
    <t>C805-C808</t>
  </si>
  <si>
    <t>1uF</t>
  </si>
  <si>
    <t>CAP CER 1UF 16V 10% X7R 0603</t>
  </si>
  <si>
    <t>C0603C105K4RACTU</t>
  </si>
  <si>
    <t>399-7847-1-ND</t>
  </si>
  <si>
    <t>80-C0603C105K4R</t>
  </si>
  <si>
    <t>93K5997</t>
  </si>
  <si>
    <t>TH401,TH402</t>
  </si>
  <si>
    <t>USMF020</t>
  </si>
  <si>
    <t>FUSE RESETTABLE .20A 30V HLD SMD</t>
  </si>
  <si>
    <t>MF-USMF020-2</t>
  </si>
  <si>
    <t>MF-USMF020-2CT-ND</t>
  </si>
  <si>
    <t>652-MF-USMF020-2</t>
  </si>
  <si>
    <t>88K5712</t>
  </si>
  <si>
    <t>G102</t>
  </si>
  <si>
    <t>LOGO_CIAA</t>
  </si>
  <si>
    <t>LOGO CIAA</t>
  </si>
  <si>
    <t>LOGO-CIAA</t>
  </si>
  <si>
    <t>R1009</t>
  </si>
  <si>
    <t>750k</t>
  </si>
  <si>
    <t>RES 750K OHM 1/10W 5% 0603 SMD</t>
  </si>
  <si>
    <t>RC0603JR-07750KL</t>
  </si>
  <si>
    <t>311-750KGRCT-ND</t>
  </si>
  <si>
    <t>603-RC0603JR-07750KL</t>
  </si>
  <si>
    <t>C302,C304-C307,C310,C312,C314,C315,C317,C801-C804</t>
  </si>
  <si>
    <t>U1303</t>
  </si>
  <si>
    <t>93C56</t>
  </si>
  <si>
    <t>IC EEPROM 1KBIT 2MHZ 8SOIC</t>
  </si>
  <si>
    <t>ATMEL</t>
  </si>
  <si>
    <t>AT93C46DN-SH-B</t>
  </si>
  <si>
    <t>AT93C46DN-SH-B-ND</t>
  </si>
  <si>
    <t>68T5240</t>
  </si>
  <si>
    <t>R402,R403</t>
  </si>
  <si>
    <t>C231</t>
  </si>
  <si>
    <t>CAP TANT 10UF 6.3V 10%</t>
  </si>
  <si>
    <t>U201</t>
  </si>
  <si>
    <t>MK60FX512VLQ15</t>
  </si>
  <si>
    <t>MCU ARM 512KB FLASH</t>
  </si>
  <si>
    <t>LQFP144</t>
  </si>
  <si>
    <t>Freescale Semiconductor</t>
  </si>
  <si>
    <t>MCIMX6D5EYM10AC</t>
  </si>
  <si>
    <t>MK60FX512VLQ15-ND</t>
  </si>
  <si>
    <t>841-MCIMX6D5EYM10AC</t>
  </si>
  <si>
    <t>45W3611</t>
  </si>
  <si>
    <t>J403</t>
  </si>
  <si>
    <t>CAN</t>
  </si>
  <si>
    <t>TH1201</t>
  </si>
  <si>
    <t>MF-USMF005-2</t>
  </si>
  <si>
    <t>FUSE RESETTABLE .05A 30V HLD SMD</t>
  </si>
  <si>
    <t>MF-USMF005-2CT-ND</t>
  </si>
  <si>
    <t>652-MF-USMF005-2</t>
  </si>
  <si>
    <t>75K7706</t>
  </si>
  <si>
    <t>R701-R708</t>
  </si>
  <si>
    <t>4,7K 1/4W</t>
  </si>
  <si>
    <t>RES 4.7K OHM 1/4W 5% 1206 SMD</t>
  </si>
  <si>
    <t>r_1206</t>
  </si>
  <si>
    <t>RC1206JR-074K7L</t>
  </si>
  <si>
    <t>311-4.7KERCT-ND</t>
  </si>
  <si>
    <t>603-RC1206JR-074K7L</t>
  </si>
  <si>
    <t>68R0310</t>
  </si>
  <si>
    <t>D1105</t>
  </si>
  <si>
    <t>LED +5V</t>
  </si>
  <si>
    <t>LED ALG RED WTR CLR 0603 SMD</t>
  </si>
  <si>
    <t>QTLP600C7TR</t>
  </si>
  <si>
    <t>1080-1400-1-ND</t>
  </si>
  <si>
    <t>J801</t>
  </si>
  <si>
    <t>OPDRAIN_OUTA</t>
  </si>
  <si>
    <t>D601-D607,D609,D611,D612,D614-D622,D624,D626,D627,D629-D632,D901-D904</t>
  </si>
  <si>
    <t>R205</t>
  </si>
  <si>
    <t>22</t>
  </si>
  <si>
    <t>RES 22 OHM 1/10W 5%</t>
  </si>
  <si>
    <t>RC0603JR-0722RL</t>
  </si>
  <si>
    <t>311-22GRCT-ND</t>
  </si>
  <si>
    <t>603-RC0603JR-0722RL</t>
  </si>
  <si>
    <t>68R0168</t>
  </si>
  <si>
    <t>Q1202</t>
  </si>
  <si>
    <t>PBSS5240XF</t>
  </si>
  <si>
    <t>TRANS PNP 40V 2A SOT89</t>
  </si>
  <si>
    <t>SOT-89</t>
  </si>
  <si>
    <t>568-10522-1-ND</t>
  </si>
  <si>
    <t>771-PBSS5240XF</t>
  </si>
  <si>
    <t>R201,R202</t>
  </si>
  <si>
    <t>2K2</t>
  </si>
  <si>
    <t>RES 2.2K OHM 1/10W 5%</t>
  </si>
  <si>
    <t>RC0603JR-072K2L</t>
  </si>
  <si>
    <t>311-2.2KGRCT-ND</t>
  </si>
  <si>
    <t>603-RC0603JR-072K2L</t>
  </si>
  <si>
    <t>98K7303</t>
  </si>
  <si>
    <t>U801-U804</t>
  </si>
  <si>
    <t>MCP1416T</t>
  </si>
  <si>
    <t>IC MOSFET DVR 1.5A HS SOT23-5</t>
  </si>
  <si>
    <t>SOT-23-5</t>
  </si>
  <si>
    <t>Microchip</t>
  </si>
  <si>
    <t>MCP1416T-E/OT</t>
  </si>
  <si>
    <t>MCP1416T-E/OTCT-ND</t>
  </si>
  <si>
    <t>579-MCP1416T-E/OT</t>
  </si>
  <si>
    <t>04R7655</t>
  </si>
  <si>
    <t>R1312</t>
  </si>
  <si>
    <t>RES 2.2K OHM 1/10W 5% 0603 SMD</t>
  </si>
  <si>
    <t>D203</t>
  </si>
  <si>
    <t>ST2</t>
  </si>
  <si>
    <t>R306,R316,R810-R813</t>
  </si>
  <si>
    <t>RES 4,7K OHM 1/10W 5% 0603 SMD</t>
  </si>
  <si>
    <t>C1102</t>
  </si>
  <si>
    <t>330uF</t>
  </si>
  <si>
    <t>CAP ALUM 330UF 25V 20% SMD</t>
  </si>
  <si>
    <t>c_elec_8x10</t>
  </si>
  <si>
    <t>UCW1E331MNL1GS</t>
  </si>
  <si>
    <t>493-9422-1-ND</t>
  </si>
  <si>
    <t>647-UCW1E331MNL1GS</t>
  </si>
  <si>
    <t>R409</t>
  </si>
  <si>
    <t>D1001</t>
  </si>
  <si>
    <t>U202,U1305</t>
  </si>
  <si>
    <t>SI501</t>
  </si>
  <si>
    <t>OSC MEMS 12.000MHZ CMOS SMD</t>
  </si>
  <si>
    <t>SI501_C</t>
  </si>
  <si>
    <t>Silicon Laboratories</t>
  </si>
  <si>
    <t>501HCA12M0000CAG</t>
  </si>
  <si>
    <t>336-2889-ND</t>
  </si>
  <si>
    <t>634-501HCA12M0000CAG</t>
  </si>
  <si>
    <t>U1001</t>
  </si>
  <si>
    <t>S25FL032P0XMFI013</t>
  </si>
  <si>
    <t>IC NOR FLASH 32MBIT 104MHZ</t>
  </si>
  <si>
    <t>SOIC-8_WIDE</t>
  </si>
  <si>
    <t>Spansion Inc.</t>
  </si>
  <si>
    <t>797-S25FL032P0XMFI13</t>
  </si>
  <si>
    <t>90R9322</t>
  </si>
  <si>
    <t>R905-R908</t>
  </si>
  <si>
    <t>237</t>
  </si>
  <si>
    <t>RES 237 OHM 1/10W .1% 0603 SMD</t>
  </si>
  <si>
    <t>Panasonic Electronic Components</t>
  </si>
  <si>
    <t>ERA-3AEB2370V</t>
  </si>
  <si>
    <t>P237DBCT-ND</t>
  </si>
  <si>
    <t>667-ERA-3AEB2370V</t>
  </si>
  <si>
    <t>R407</t>
  </si>
  <si>
    <t>220</t>
  </si>
  <si>
    <t>RES 220 OHM 1/10W 5% 0603 SMD</t>
  </si>
  <si>
    <t>RC0603JR-07220RL</t>
  </si>
  <si>
    <t>311-220GRCT-ND</t>
  </si>
  <si>
    <t>603-RC0603JR-07220RL</t>
  </si>
  <si>
    <t>68R0170</t>
  </si>
  <si>
    <t>C1004</t>
  </si>
  <si>
    <t>R314,R315</t>
  </si>
  <si>
    <t>270</t>
  </si>
  <si>
    <t>R501,R502</t>
  </si>
  <si>
    <t>RESISTOR 10k 1/10W 5% 0603 </t>
  </si>
  <si>
    <t>C309</t>
  </si>
  <si>
    <t>100pF</t>
  </si>
  <si>
    <t>CAP CER 100PF 50V 10% X7R 0603</t>
  </si>
  <si>
    <t>C0603C101K5RACTU</t>
  </si>
  <si>
    <t>399-7824-1-ND</t>
  </si>
  <si>
    <t>80-C0603C101K5R</t>
  </si>
  <si>
    <t>J701</t>
  </si>
  <si>
    <t>DIG_INA</t>
  </si>
  <si>
    <t>U403</t>
  </si>
  <si>
    <t>AMIS42665TJAA1RG</t>
  </si>
  <si>
    <t>TRANSCEIVER CAN HS LO PWR 8-SOIC</t>
  </si>
  <si>
    <t>766-1006-1-ND</t>
  </si>
  <si>
    <t>863-AMIS42665TJAA1RG</t>
  </si>
  <si>
    <t>03P1160</t>
  </si>
  <si>
    <t>R1205</t>
  </si>
  <si>
    <t>24.9</t>
  </si>
  <si>
    <t>RES 24.9 OHM 1/10W .1% SMD 0603</t>
  </si>
  <si>
    <t>RT0603BRD0724R9L</t>
  </si>
  <si>
    <t>RT0603BRD0724R9L-ND</t>
  </si>
  <si>
    <t>D701-D708,D802,D804,D806,D808-D812</t>
  </si>
  <si>
    <t>LED red</t>
  </si>
  <si>
    <t>R1204</t>
  </si>
  <si>
    <t>2.2k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</si>
</sst>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571-7969492%20TE%20Connectivity" TargetMode="External"/><Relationship Id="rId3" Type="http://schemas.openxmlformats.org/officeDocument/2006/relationships/hyperlink" Target="http://www.mouser.com/ProductDetail/TE-Connectivity/796949-2/?qs=sGAEpiMZZMvZTcaMAxB2AI%252bwpTxbJbcRDkOqnLm049E%3D" TargetMode="External"/><Relationship Id="rId4" Type="http://schemas.openxmlformats.org/officeDocument/2006/relationships/hyperlink" Target="http://www.newark.com/webapp/wcs/stores/servlet/Search?catalogId=15003&amp;langId=-1&amp;storeId=10194&amp;gs=true&amp;st=796949-2%20TE%20Connectivity" TargetMode="External"/><Relationship Id="rId5" Type="http://schemas.openxmlformats.org/officeDocument/2006/relationships/hyperlink" Target="http://www.digikey.com/scripts/DkSearch/dksus.dll?WT.z_header=search_go&amp;lang=en&amp;keywords=FDN340PCT-ND%20ON%20Semiconductor" TargetMode="External"/><Relationship Id="rId6" Type="http://schemas.openxmlformats.org/officeDocument/2006/relationships/hyperlink" Target="http://www.mouser.com/ProductDetail/Fairchild-Semiconductor/FDN340P/?qs=sGAEpiMZZMshyDBzk1%2FWi6u8DDnmpUwt%252byIO%2FtkdxyE%3D" TargetMode="External"/><Relationship Id="rId7" Type="http://schemas.openxmlformats.org/officeDocument/2006/relationships/hyperlink" Target="http://www.newark.com/webapp/wcs/stores/servlet/Search?catalogId=15003&amp;langId=-1&amp;storeId=10194&amp;gs=true&amp;st=FDN340P%20ON%20Semiconductor" TargetMode="External"/><Relationship Id="rId8" Type="http://schemas.openxmlformats.org/officeDocument/2006/relationships/hyperlink" Target="http://www.digikey.com/product-detail/en/toshiba-semiconductor-and-storage/TLP290-4(TP,E/TLP290-4(TPECT-ND/4562946" TargetMode="External"/><Relationship Id="rId9" Type="http://schemas.openxmlformats.org/officeDocument/2006/relationships/hyperlink" Target="http://www.digikey.com/scripts/DkSearch/dksus.dll?WT.z_header=search_go&amp;lang=en&amp;keywords=311-1.0KGRCT-ND%20Yageo" TargetMode="External"/><Relationship Id="rId10" Type="http://schemas.openxmlformats.org/officeDocument/2006/relationships/hyperlink" Target="http://www.mouser.com/Search/Refine.aspx?Keyword=RC0603JR-071KL%20Yageo" TargetMode="External"/><Relationship Id="rId11" Type="http://schemas.openxmlformats.org/officeDocument/2006/relationships/hyperlink" Target="http://www.newark.com/webapp/wcs/stores/servlet/Search?catalogId=15003&amp;langId=-1&amp;storeId=10194&amp;gs=true&amp;st=RC0603JR-071KL%20Yageo" TargetMode="External"/><Relationship Id="rId12" Type="http://schemas.openxmlformats.org/officeDocument/2006/relationships/hyperlink" Target="http://www.digikey.com/scripts/DkSearch/dksus.dll?WT.z_header=search_go&amp;lang=en&amp;keywords=571-7969493%20TE%20Connectivity" TargetMode="External"/><Relationship Id="rId13" Type="http://schemas.openxmlformats.org/officeDocument/2006/relationships/hyperlink" Target="http://www.mouser.com/ProductDetail/TE-Connectivity/796949-3/?qs=sGAEpiMZZMvZTcaMAxB2AI%252bwpTxbJbcRUzBoRGS63lc%3D" TargetMode="External"/><Relationship Id="rId14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15" Type="http://schemas.openxmlformats.org/officeDocument/2006/relationships/hyperlink" Target="http://www.digikey.com/scripts/DkSearch/dksus.dll?WT.z_header=search_go&amp;lang=en&amp;keywords=311-270GRCT-ND%20Yageo" TargetMode="External"/><Relationship Id="rId16" Type="http://schemas.openxmlformats.org/officeDocument/2006/relationships/hyperlink" Target="http://www.mouser.com/Search/Refine.aspx?Keyword=RC0603JR-07270RL%20Yageo" TargetMode="External"/><Relationship Id="rId17" Type="http://schemas.openxmlformats.org/officeDocument/2006/relationships/hyperlink" Target="http://www.newark.com/webapp/wcs/stores/servlet/Search?catalogId=15003&amp;langId=-1&amp;storeId=10194&amp;gs=true&amp;st=RC0603JR-07270RL%20Yageo" TargetMode="External"/><Relationship Id="rId18" Type="http://schemas.openxmlformats.org/officeDocument/2006/relationships/hyperlink" Target="http://www.digikey.com/scripts/DkSearch/dksus.dll?WT.z_header=search_go&amp;lang=en&amp;keywords=P6SMB33CA-E3%2F52GICT-ND%20Vishay%20Semiconductor%20Diodes%20Division" TargetMode="External"/><Relationship Id="rId19" Type="http://schemas.openxmlformats.org/officeDocument/2006/relationships/hyperlink" Target="http://www.mouser.com/Search/Refine.aspx?Keyword=P6SMB33CA-E3%2F52%20Vishay%20Semiconductor%20Diodes%20Division" TargetMode="External"/><Relationship Id="rId20" Type="http://schemas.openxmlformats.org/officeDocument/2006/relationships/hyperlink" Target="http://www.newark.com/webapp/wcs/stores/servlet/Search?catalogId=15003&amp;langId=-1&amp;storeId=10194&amp;gs=true&amp;st=P6SMB33CA-E3%2F52%20Vishay%20Semiconductor%20Diodes%20Division" TargetMode="External"/><Relationship Id="rId21" Type="http://schemas.openxmlformats.org/officeDocument/2006/relationships/hyperlink" Target="http://www.digikey.com/scripts/DkSearch/dksus.dll?WT.z_header=search_go&amp;lang=en&amp;keywords=490-5211-1-ND%20Murata%20Electronics%20North%20America" TargetMode="External"/><Relationship Id="rId22" Type="http://schemas.openxmlformats.org/officeDocument/2006/relationships/hyperlink" Target="http://www.mouser.com/Search/Refine.aspx?Keyword=BLM18BD470SN1D%20Murata%20Electronics%20North%20America" TargetMode="External"/><Relationship Id="rId23" Type="http://schemas.openxmlformats.org/officeDocument/2006/relationships/hyperlink" Target="http://www.digikey.com/scripts/DkSearch/dksus.dll?WT.z_header=search_go&amp;lang=en&amp;keywords=553-1483-ND%20Pulse" TargetMode="External"/><Relationship Id="rId24" Type="http://schemas.openxmlformats.org/officeDocument/2006/relationships/hyperlink" Target="http://www.mouser.com/Search/Refine.aspx?Keyword=J0011D01BNL%20Pulse" TargetMode="External"/><Relationship Id="rId25" Type="http://schemas.openxmlformats.org/officeDocument/2006/relationships/hyperlink" Target="http://www.digikey.com/scripts/DkSearch/dksus.dll?WT.z_header=search_go&amp;lang=en&amp;keywords=576-2971-5-ND%20Micrel" TargetMode="External"/><Relationship Id="rId26" Type="http://schemas.openxmlformats.org/officeDocument/2006/relationships/hyperlink" Target="http://www.mouser.com/ProductDetail/Microchip-Technology-Micrel/KSZ8041TLI/?qs=sGAEpiMZZMuXKgZRMPEonetHRE70qVWI0edmHj4fRrA%3D" TargetMode="External"/><Relationship Id="rId27" Type="http://schemas.openxmlformats.org/officeDocument/2006/relationships/hyperlink" Target="http://www.newark.com/webapp/wcs/stores/servlet/Search?catalogId=15003&amp;langId=-1&amp;storeId=10194&amp;gs=true&amp;st=KSZ8041TLI%20Micrel" TargetMode="External"/><Relationship Id="rId28" Type="http://schemas.openxmlformats.org/officeDocument/2006/relationships/hyperlink" Target="http://www.digikey.com/scripts/DkSearch/dksus.dll?WT.z_header=search_go&amp;lang=en&amp;keywords=1080-1399-1-ND%20Everlight%20Electronics%20Co%20Ltd" TargetMode="External"/><Relationship Id="rId29" Type="http://schemas.openxmlformats.org/officeDocument/2006/relationships/hyperlink" Target="http://www.digikey.com/scripts/DkSearch/dksus.dll?WT.z_header=search_go&amp;lang=en&amp;keywords=399-1096-1-ND%20Kemet" TargetMode="External"/><Relationship Id="rId30" Type="http://schemas.openxmlformats.org/officeDocument/2006/relationships/hyperlink" Target="http://www.mouser.com/ProductDetail/Kemet/C0603C104K4RACTU/?qs=sGAEpiMZZMs0AnBnWHyRQFqPnX0OlvcoGdtRY%252bgH1%2Fs%3D" TargetMode="External"/><Relationship Id="rId31" Type="http://schemas.openxmlformats.org/officeDocument/2006/relationships/hyperlink" Target="http://www.newark.com/kemet/c0603c104k4ractu/ceramic-capacitor-0-1uf-16v-x7r/dp/19C6005" TargetMode="External"/><Relationship Id="rId32" Type="http://schemas.openxmlformats.org/officeDocument/2006/relationships/hyperlink" Target="http://www.digikey.com/scripts/DkSearch/dksus.dll?WT.z_header=search_go&amp;lang=en&amp;keywords=399-1096-1-ND%20Kemet" TargetMode="External"/><Relationship Id="rId33" Type="http://schemas.openxmlformats.org/officeDocument/2006/relationships/hyperlink" Target="http://www.mouser.com/ProductDetail/Kemet/C0603C104K4RACTU/?qs=sGAEpiMZZMs0AnBnWHyRQFqPnX0OlvcoGdtRY%252bgH1%2Fs%3D" TargetMode="External"/><Relationship Id="rId34" Type="http://schemas.openxmlformats.org/officeDocument/2006/relationships/hyperlink" Target="http://www.newark.com/kemet/c0603c104k4ractu/ceramic-capacitor-0-1uf-16v-x7r/dp/19C6005" TargetMode="External"/><Relationship Id="rId35" Type="http://schemas.openxmlformats.org/officeDocument/2006/relationships/hyperlink" Target="http://www.digikey.com/scripts/DkSearch/dksus.dll?WT.z_header=search_go&amp;lang=en&amp;keywords=445-2166-1-ND%20TDK" TargetMode="External"/><Relationship Id="rId36" Type="http://schemas.openxmlformats.org/officeDocument/2006/relationships/hyperlink" Target="http://www.mouser.com/ProductDetail/TDK/MMZ1608B601C/?qs=sGAEpiMZZMtdyQheitOmRaspPRlp9Yc%252bys7y1Mgq5ng%3D" TargetMode="External"/><Relationship Id="rId37" Type="http://schemas.openxmlformats.org/officeDocument/2006/relationships/hyperlink" Target="http://www.newark.com/tdk/mmz1608b601ctah0/ferrite-bead-600-ohm-500ma-0603/dp/89R3077" TargetMode="External"/><Relationship Id="rId38" Type="http://schemas.openxmlformats.org/officeDocument/2006/relationships/hyperlink" Target="http://www.digikey.com/scripts/DkSearch/dksus.dll?WT.z_header=search_go&amp;lang=en&amp;keywords=952-1389-ND%20HARWIN" TargetMode="External"/><Relationship Id="rId39" Type="http://schemas.openxmlformats.org/officeDocument/2006/relationships/hyperlink" Target="http://www.mouser.com/ProductDetail/Harwin/M50-3600542/?qs=sGAEpiMZZMs%252bGHln7q6pmwGlxKXpENpez3VqrHB%252bE4Q%3D" TargetMode="External"/><Relationship Id="rId40" Type="http://schemas.openxmlformats.org/officeDocument/2006/relationships/hyperlink" Target="http://www.newark.com/harwin/m50-3600542/board-board-connector-header-10/dp/84K7720" TargetMode="External"/><Relationship Id="rId41" Type="http://schemas.openxmlformats.org/officeDocument/2006/relationships/hyperlink" Target="http://www.digikey.com/scripts/DkSearch/dksus.dll?WT.z_header=search_go&amp;lang=en&amp;keywords=H11634CT-ND%20HIROSE%20ELECTRIC" TargetMode="External"/><Relationship Id="rId42" Type="http://schemas.openxmlformats.org/officeDocument/2006/relationships/hyperlink" Target="http://www.mouser.com/ProductDetail/Hirose-Connector/ZX62-B-5PA33/?qs=sGAEpiMZZMt24PW2WNEtL7WZ8l7%2Fl%252bmvD0SpT1lZNHU%3D" TargetMode="External"/><Relationship Id="rId43" Type="http://schemas.openxmlformats.org/officeDocument/2006/relationships/hyperlink" Target="http://www.newark.com/webapp/wcs/stores/servlet/Search?catalogId=15003&amp;langId=-1&amp;storeId=10194&amp;gs=true&amp;st=ZX62-B-5PA%2811%29%20HIROSE%20ELECTRIC" TargetMode="External"/><Relationship Id="rId44" Type="http://schemas.openxmlformats.org/officeDocument/2006/relationships/hyperlink" Target="http://www.digikey.com/scripts/DkSearch/dksus.dll?WT.z_header=search_go&amp;lang=en&amp;keywords=399-1096-1-ND%20Kemet" TargetMode="External"/><Relationship Id="rId45" Type="http://schemas.openxmlformats.org/officeDocument/2006/relationships/hyperlink" Target="http://www.mouser.com/ProductDetail/Kemet/C0603C104K4RACTU/?qs=sGAEpiMZZMs0AnBnWHyRQFqPnX0OlvcoGdtRY%252bgH1%2Fs%3D" TargetMode="External"/><Relationship Id="rId46" Type="http://schemas.openxmlformats.org/officeDocument/2006/relationships/hyperlink" Target="http://www.newark.com/kemet/c0603c104k4ractu/ceramic-capacitor-0-1uf-16v-x7r/dp/19C6005" TargetMode="External"/><Relationship Id="rId47" Type="http://schemas.openxmlformats.org/officeDocument/2006/relationships/hyperlink" Target="http://www.digikey.com/scripts/DkSearch/dksus.dll?WT.z_header=search_go&amp;lang=en&amp;keywords=311-4.7GRCT-ND%20Yageo" TargetMode="External"/><Relationship Id="rId48" Type="http://schemas.openxmlformats.org/officeDocument/2006/relationships/hyperlink" Target="http://www.mouser.com/Search/Refine.aspx?Keyword=RC0603JR-074R7L%20Yageo" TargetMode="External"/><Relationship Id="rId49" Type="http://schemas.openxmlformats.org/officeDocument/2006/relationships/hyperlink" Target="http://www.newark.com/webapp/wcs/stores/servlet/Search?catalogId=15003&amp;langId=-1&amp;storeId=10194&amp;gs=true&amp;st=RC0603JR-074R7L%20Yageo" TargetMode="External"/><Relationship Id="rId50" Type="http://schemas.openxmlformats.org/officeDocument/2006/relationships/hyperlink" Target="http://www.digikey.com/scripts/DkSearch/dksus.dll?WT.z_header=search_go&amp;lang=en&amp;keywords=568-4140-1-ND%20NXP" TargetMode="External"/><Relationship Id="rId51" Type="http://schemas.openxmlformats.org/officeDocument/2006/relationships/hyperlink" Target="http://www.mouser.com/Search/Refine.aspx?Keyword=PRTR5V0U2X%2C215%20NXP" TargetMode="External"/><Relationship Id="rId52" Type="http://schemas.openxmlformats.org/officeDocument/2006/relationships/hyperlink" Target="http://www.newark.com/webapp/wcs/stores/servlet/Search?catalogId=15003&amp;langId=-1&amp;storeId=10194&amp;gs=true&amp;st=PRTR5V0U2X%2C215%20NXP" TargetMode="External"/><Relationship Id="rId53" Type="http://schemas.openxmlformats.org/officeDocument/2006/relationships/hyperlink" Target="http://www.digikey.com/scripts/DkSearch/dksus.dll?WT.z_header=search_go&amp;lang=en&amp;keywords=1276-1936-1-ND%20Samsung" TargetMode="External"/><Relationship Id="rId54" Type="http://schemas.openxmlformats.org/officeDocument/2006/relationships/hyperlink" Target="http://www.digikey.com/scripts/DkSearch/dksus.dll?WT.z_header=search_go&amp;lang=en&amp;keywords=311-10KGRCT-ND%20Yageo" TargetMode="External"/><Relationship Id="rId55" Type="http://schemas.openxmlformats.org/officeDocument/2006/relationships/hyperlink" Target="http://www.mouser.com/Search/Refine.aspx?Keyword=RC0603JR-0710KL%20Yageo" TargetMode="External"/><Relationship Id="rId56" Type="http://schemas.openxmlformats.org/officeDocument/2006/relationships/hyperlink" Target="http://www.newark.com/webapp/wcs/stores/servlet/Search?catalogId=15003&amp;langId=-1&amp;storeId=10194&amp;gs=true&amp;st=RC0603JR-0710KL%20Yageo" TargetMode="External"/><Relationship Id="rId57" Type="http://schemas.openxmlformats.org/officeDocument/2006/relationships/hyperlink" Target="http://www.digikey.com/scripts/DkSearch/dksus.dll?WT.z_header=search_go&amp;lang=en&amp;keywords=587-2983-1-ND%20Taiyo%20Yuden" TargetMode="External"/><Relationship Id="rId58" Type="http://schemas.openxmlformats.org/officeDocument/2006/relationships/hyperlink" Target="http://www.mouser.com/ProductDetail/Taiyo-Yuden/LMK107B7225KA-T/?qs=sGAEpiMZZMs0AnBnWHyRQAEIN6r3SS%2FOoc7isdrpipo%3D" TargetMode="External"/><Relationship Id="rId59" Type="http://schemas.openxmlformats.org/officeDocument/2006/relationships/hyperlink" Target="http://www.newark.com/taiyo-yuden/lmk107b7225ka-t/ceramic-capacitor-2-2uf-10v-x7r/dp/79T1297" TargetMode="External"/><Relationship Id="rId60" Type="http://schemas.openxmlformats.org/officeDocument/2006/relationships/hyperlink" Target="http://www.digikey.com/scripts/DkSearch/dksus.dll?WT.z_header=search_go&amp;lang=en&amp;keywords=311-1.0KGRCT-ND%20Yageo" TargetMode="External"/><Relationship Id="rId61" Type="http://schemas.openxmlformats.org/officeDocument/2006/relationships/hyperlink" Target="http://www.mouser.com/Search/Refine.aspx?Keyword=RC0603JR-071KL%20Yageo" TargetMode="External"/><Relationship Id="rId62" Type="http://schemas.openxmlformats.org/officeDocument/2006/relationships/hyperlink" Target="http://www.newark.com/webapp/wcs/stores/servlet/Search?catalogId=15003&amp;langId=-1&amp;storeId=10194&amp;gs=true&amp;st=RC0603JR-071KL%20Yageo" TargetMode="External"/><Relationship Id="rId63" Type="http://schemas.openxmlformats.org/officeDocument/2006/relationships/hyperlink" Target="http://www.digikey.com/scripts/DkSearch/dksus.dll?WT.z_header=search_go&amp;lang=en&amp;keywords=NB2304AI2DGOS-ND%20ON%20Semi" TargetMode="External"/><Relationship Id="rId64" Type="http://schemas.openxmlformats.org/officeDocument/2006/relationships/hyperlink" Target="http://www.mouser.com/ProductDetail/ON-Semiconductor/NB2304AI2DG/?qs=sGAEpiMZZMuVnCuI0aQamAw4F6hsPrvXyZL0t0a%2FW58%3D" TargetMode="External"/><Relationship Id="rId65" Type="http://schemas.openxmlformats.org/officeDocument/2006/relationships/hyperlink" Target="http://www.newark.com/webapp/wcs/stores/servlet/Search?catalogId=15003&amp;langId=-1&amp;storeId=10194&amp;gs=true&amp;st=NB2304A%20ON%20Semi" TargetMode="External"/><Relationship Id="rId66" Type="http://schemas.openxmlformats.org/officeDocument/2006/relationships/hyperlink" Target="http://www.digikey.com/scripts/DkSearch/dksus.dll?WT.z_header=search_go&amp;lang=en&amp;keywords=311-6.49KHRCT-ND%20Yageo" TargetMode="External"/><Relationship Id="rId67" Type="http://schemas.openxmlformats.org/officeDocument/2006/relationships/hyperlink" Target="http://www.mouser.com/Search/Refine.aspx?Keyword=RC0603FR-076K49L%20Yageo" TargetMode="External"/><Relationship Id="rId68" Type="http://schemas.openxmlformats.org/officeDocument/2006/relationships/hyperlink" Target="http://www.newark.com/webapp/wcs/stores/servlet/Search?catalogId=15003&amp;langId=-1&amp;storeId=10194&amp;gs=true&amp;st=RC0603FR-076K49L%20Yageo" TargetMode="External"/><Relationship Id="rId69" Type="http://schemas.openxmlformats.org/officeDocument/2006/relationships/hyperlink" Target="http://www.digikey.com/scripts/DkSearch/dksus.dll?WT.z_header=search_go&amp;lang=en&amp;keywords=LL4148FSCT-ND%20Fairchild" TargetMode="External"/><Relationship Id="rId70" Type="http://schemas.openxmlformats.org/officeDocument/2006/relationships/hyperlink" Target="http://www.mouser.com/ProductDetail/Fairchild-Semiconductor/LL4148/?qs=sGAEpiMZZMtoHjESLttvkveAFmDTG9wNP4HmQeiQCRg%3D" TargetMode="External"/><Relationship Id="rId71" Type="http://schemas.openxmlformats.org/officeDocument/2006/relationships/hyperlink" Target="http://www.newark.com/webapp/wcs/stores/servlet/Search?catalogId=15003&amp;langId=-1&amp;storeId=10194&amp;gs=true&amp;st=LL4148%20Fairchild" TargetMode="External"/><Relationship Id="rId72" Type="http://schemas.openxmlformats.org/officeDocument/2006/relationships/hyperlink" Target="http://www.digikey.com/scripts/DkSearch/dksus.dll?WT.z_header=search_go&amp;lang=en&amp;keywords=399-1075-1-ND%20Kemet" TargetMode="External"/><Relationship Id="rId73" Type="http://schemas.openxmlformats.org/officeDocument/2006/relationships/hyperlink" Target="http://www.mouser.com/ProductDetail/Kemet/C0603C471K5RACTU/?qs=sGAEpiMZZMs0AnBnWHyRQFobcAuJilQS8gEQR%2FVue9w%3D" TargetMode="External"/><Relationship Id="rId74" Type="http://schemas.openxmlformats.org/officeDocument/2006/relationships/hyperlink" Target="http://www.newark.com/kemet/c0603c471k5ractu/ceramic-capacitor-470pf-50v-x7r/dp/30C5318" TargetMode="External"/><Relationship Id="rId75" Type="http://schemas.openxmlformats.org/officeDocument/2006/relationships/hyperlink" Target="http://www.mouser.com/ProductDetail/Molex/47219-2001/?qs=sGAEpiMZZMtaN%252bleAIfjrFeXAX1l9kTj" TargetMode="External"/><Relationship Id="rId76" Type="http://schemas.openxmlformats.org/officeDocument/2006/relationships/hyperlink" Target="http://www.newark.com/webapp/wcs/stores/servlet/Search?catalogId=15003&amp;langId=-1&amp;storeId=10194&amp;gs=true&amp;st=0472192001%20Molex%20Inc." TargetMode="External"/><Relationship Id="rId77" Type="http://schemas.openxmlformats.org/officeDocument/2006/relationships/hyperlink" Target="http://www.digikey.com/product-detail/en/on-semiconductor/BC817-40LT3G/BC817-40LT3GOSCT-ND/2704954" TargetMode="External"/><Relationship Id="rId78" Type="http://schemas.openxmlformats.org/officeDocument/2006/relationships/hyperlink" Target="http://www.mouser.com/ProductDetail/ON-Semiconductor/BC817-40LT3G/?qs=sGAEpiMZZMutXGli8Ay4kJTaSFKHrKTHbm9mA%252b4T9u4%3D" TargetMode="External"/><Relationship Id="rId79" Type="http://schemas.openxmlformats.org/officeDocument/2006/relationships/hyperlink" Target="http://www.newark.com/on-semiconductor/bc817-40lt3g/transistor-bipol-npn-45v-sot-23/dp/81Y5861" TargetMode="External"/><Relationship Id="rId80" Type="http://schemas.openxmlformats.org/officeDocument/2006/relationships/hyperlink" Target="http://www.digikey.com/product-detail/en/on-semiconductor/BAV199LT1G/BAV199LT1GOSCT-ND/917816" TargetMode="External"/><Relationship Id="rId81" Type="http://schemas.openxmlformats.org/officeDocument/2006/relationships/hyperlink" Target="http://www.mouser.com/ProductDetail/ON-Semiconductor/BAV199LT1G/?qs=sGAEpiMZZMtoHjESLttvkpH5EyJOXmERCjB%2Fz6ikl2k%3D" TargetMode="External"/><Relationship Id="rId82" Type="http://schemas.openxmlformats.org/officeDocument/2006/relationships/hyperlink" Target="http://www.newark.com/webapp/wcs/stores/servlet/Search?catalogId=15003&amp;langId=-1&amp;storeId=10194&amp;gs=true&amp;st=BAV199LT1G%20ON%20Semiconductor" TargetMode="External"/><Relationship Id="rId83" Type="http://schemas.openxmlformats.org/officeDocument/2006/relationships/hyperlink" Target="http://www.digikey.com/scripts/DkSearch/dksus.dll?WT.z_header=search_go&amp;lang=en&amp;keywords=BH32T-C-ND%20MPD" TargetMode="External"/><Relationship Id="rId84" Type="http://schemas.openxmlformats.org/officeDocument/2006/relationships/hyperlink" Target="http://www.mouser.com/Search/Refine.aspx?Keyword=T491A106K006AT7280%20Kemet" TargetMode="External"/><Relationship Id="rId85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86" Type="http://schemas.openxmlformats.org/officeDocument/2006/relationships/hyperlink" Target="http://www.digikey.com/scripts/DkSearch/dksus.dll?WT.z_header=search_go&amp;lang=en&amp;keywords=571-7969492%20TE%20Connectivity" TargetMode="External"/><Relationship Id="rId87" Type="http://schemas.openxmlformats.org/officeDocument/2006/relationships/hyperlink" Target="http://www.mouser.com/ProductDetail/TE-Connectivity/796949-2/?qs=sGAEpiMZZMvZTcaMAxB2AI%252bwpTxbJbcRDkOqnLm049E%3D" TargetMode="External"/><Relationship Id="rId88" Type="http://schemas.openxmlformats.org/officeDocument/2006/relationships/hyperlink" Target="http://www.newark.com/webapp/wcs/stores/servlet/Search?catalogId=15003&amp;langId=-1&amp;storeId=10194&amp;gs=true&amp;st=796949-2%20TE%20Connectivity" TargetMode="External"/><Relationship Id="rId89" Type="http://schemas.openxmlformats.org/officeDocument/2006/relationships/hyperlink" Target="http://www.digikey.com/scripts/DkSearch/dksus.dll?WT.z_header=search_go&amp;lang=en&amp;keywords=568-4032-1-ND%20NXP%20Semiconductors" TargetMode="External"/><Relationship Id="rId90" Type="http://schemas.openxmlformats.org/officeDocument/2006/relationships/hyperlink" Target="http://www.mouser.com/Search/Refine.aspx?Keyword=PESD1CAN%2C215%20NXP%20Semiconductors" TargetMode="External"/><Relationship Id="rId91" Type="http://schemas.openxmlformats.org/officeDocument/2006/relationships/hyperlink" Target="http://www.digikey.com/scripts/DkSearch/dksus.dll?WT.z_header=search_go&amp;lang=en&amp;keywords=535-9166-1-ND%20Abracon%20Corporation" TargetMode="External"/><Relationship Id="rId92" Type="http://schemas.openxmlformats.org/officeDocument/2006/relationships/hyperlink" Target="http://www.newark.com/webapp/wcs/stores/servlet/Search?catalogId=15003&amp;langId=-1&amp;storeId=10194&amp;gs=true&amp;st=ABS25-32.768KHZ-T%20Abracon%20Corporation" TargetMode="External"/><Relationship Id="rId93" Type="http://schemas.openxmlformats.org/officeDocument/2006/relationships/hyperlink" Target="http://www.digikey.com/scripts/DkSearch/dksus.dll?WT.z_header=search_go&amp;lang=en&amp;keywords=445-2166-1-ND%20TDK" TargetMode="External"/><Relationship Id="rId94" Type="http://schemas.openxmlformats.org/officeDocument/2006/relationships/hyperlink" Target="http://www.mouser.com/ProductDetail/TDK/MMZ1608B601C/?qs=sGAEpiMZZMtdyQheitOmRaspPRlp9Yc%252bys7y1Mgq5ng%3D" TargetMode="External"/><Relationship Id="rId95" Type="http://schemas.openxmlformats.org/officeDocument/2006/relationships/hyperlink" Target="http://www.newark.com/tdk/mmz1608b601ctah0/ferrite-bead-600-ohm-500ma-0603/dp/89R3077" TargetMode="External"/><Relationship Id="rId96" Type="http://schemas.openxmlformats.org/officeDocument/2006/relationships/hyperlink" Target="http://www.digikey.com/scripts/DkSearch/dksus.dll?WT.z_header=search_go&amp;lang=en&amp;keywords=S2012EC-40-ND%20Sullins%20Connector%20Solutions" TargetMode="External"/><Relationship Id="rId97" Type="http://schemas.openxmlformats.org/officeDocument/2006/relationships/hyperlink" Target="http://www.mouser.com/ProductDetail/3M-Electronic-Solutions-Division/5622-4100-ML/?qs=sGAEpiMZZMtDa8bhoiaN7FALpx0w0Cg1" TargetMode="External"/><Relationship Id="rId98" Type="http://schemas.openxmlformats.org/officeDocument/2006/relationships/hyperlink" Target="http://www.newark.com/webapp/wcs/stores/servlet/Search?catalogId=15003&amp;langId=-1&amp;storeId=10194&amp;gs=true&amp;st=S2012EC-40-ND%20Sullins%20Connector%20Solutions" TargetMode="External"/><Relationship Id="rId99" Type="http://schemas.openxmlformats.org/officeDocument/2006/relationships/hyperlink" Target="http://www.digikey.com/scripts/DkSearch/dksus.dll?WT.z_header=search_go&amp;lang=en&amp;keywords=311-100GRCT-ND%20Yageo" TargetMode="External"/><Relationship Id="rId100" Type="http://schemas.openxmlformats.org/officeDocument/2006/relationships/hyperlink" Target="http://www.mouser.com/Search/Refine.aspx?Keyword=RC0603JR-07100RL%20Yageo" TargetMode="External"/><Relationship Id="rId101" Type="http://schemas.openxmlformats.org/officeDocument/2006/relationships/hyperlink" Target="http://www.newark.com/webapp/wcs/stores/servlet/Search?catalogId=15003&amp;langId=-1&amp;storeId=10194&amp;gs=true&amp;st=RC0603JR-07100RL%20Yageo" TargetMode="External"/><Relationship Id="rId102" Type="http://schemas.openxmlformats.org/officeDocument/2006/relationships/hyperlink" Target="http://www.digikey.com/scripts/DkSearch/dksus.dll?WT.z_header=search_go&amp;lang=en&amp;keywords=24AA1025-I%2FSN-ND%20Microchip%20Technology" TargetMode="External"/><Relationship Id="rId103" Type="http://schemas.openxmlformats.org/officeDocument/2006/relationships/hyperlink" Target="http://www.mouser.com/ProductDetail/Microchip-Technology/24AA1025-I-SN/?qs=sGAEpiMZZMuVhdAcoizlRcGZtnwgaap%2FAcq7PHh40No%3D" TargetMode="External"/><Relationship Id="rId104" Type="http://schemas.openxmlformats.org/officeDocument/2006/relationships/hyperlink" Target="http://www.digikey.com/scripts/DkSearch/dksus.dll?WT.z_header=search_go&amp;lang=en&amp;keywords=MMSZ5V6T1GOSCT-ND%20ON%20Semiconductor" TargetMode="External"/><Relationship Id="rId105" Type="http://schemas.openxmlformats.org/officeDocument/2006/relationships/hyperlink" Target="http://www.mouser.com/ProductDetail/ON-Semiconductor/MMSZ5V6T1G/?qs=sGAEpiMZZMtQ8nqTKtFS%2FJ7m6e1KBCguUJEFd%2FP4J1Y%3D" TargetMode="External"/><Relationship Id="rId106" Type="http://schemas.openxmlformats.org/officeDocument/2006/relationships/hyperlink" Target="http://www.newark.com/on-semiconductor/mmsz5v6t1g/zener-diode-500mw-5-6v-sod-123/dp/45J1588" TargetMode="External"/><Relationship Id="rId107" Type="http://schemas.openxmlformats.org/officeDocument/2006/relationships/hyperlink" Target="http://www.digikey.com/scripts/DkSearch/dksus.dll?WT.z_header=search_go&amp;lang=en&amp;keywords=BAT54FSCT-ND%20Fairchild%20Semiconductor" TargetMode="External"/><Relationship Id="rId108" Type="http://schemas.openxmlformats.org/officeDocument/2006/relationships/hyperlink" Target="http://www.mouser.com/ProductDetail/Fairchild-Semiconductor/BAT54/?qs=sGAEpiMZZMtQ8nqTKtFS%2FIwmNNVNDRcYmoui3e%252bMQ6E%3D" TargetMode="External"/><Relationship Id="rId109" Type="http://schemas.openxmlformats.org/officeDocument/2006/relationships/hyperlink" Target="http://www.digikey.com/scripts/DkSearch/dksus.dll?WT.z_header=search_go&amp;lang=en&amp;keywords=1016-1003-5-ND%20Exar%20Corporation" TargetMode="External"/><Relationship Id="rId110" Type="http://schemas.openxmlformats.org/officeDocument/2006/relationships/hyperlink" Target="http://www.mouser.com/Search/Refine.aspx?Keyword=SP1486EEN-L%20Exar%20Corporation" TargetMode="External"/><Relationship Id="rId111" Type="http://schemas.openxmlformats.org/officeDocument/2006/relationships/hyperlink" Target="http://www.newark.com/webapp/wcs/stores/servlet/Search?catalogId=15003&amp;langId=-1&amp;storeId=10194&amp;gs=true&amp;st=SP1486EEN-L%20Exar%20Corporation" TargetMode="External"/><Relationship Id="rId112" Type="http://schemas.openxmlformats.org/officeDocument/2006/relationships/hyperlink" Target="http://www.digikey.com/scripts/DkSearch/dksus.dll?WT.z_header=search_go&amp;lang=en&amp;keywords=FQT13N06LTFCT-ND%20Fairchild" TargetMode="External"/><Relationship Id="rId113" Type="http://schemas.openxmlformats.org/officeDocument/2006/relationships/hyperlink" Target="http://www.mouser.com/Search/Refine.aspx?Keyword=FQT13N06LTF%20Fairchild" TargetMode="External"/><Relationship Id="rId114" Type="http://schemas.openxmlformats.org/officeDocument/2006/relationships/hyperlink" Target="http://www.newark.com/webapp/wcs/stores/servlet/Search?catalogId=15003&amp;langId=-1&amp;storeId=10194&amp;gs=true&amp;st=FQT13N06LTF%20Fairchild" TargetMode="External"/><Relationship Id="rId115" Type="http://schemas.openxmlformats.org/officeDocument/2006/relationships/hyperlink" Target="http://www.digikey.com/scripts/DkSearch/dksus.dll?WT.z_header=search_go&amp;lang=en&amp;keywords=311-100KGRCT-ND%20Yageo" TargetMode="External"/><Relationship Id="rId116" Type="http://schemas.openxmlformats.org/officeDocument/2006/relationships/hyperlink" Target="http://www.mouser.com/Search/Refine.aspx?Keyword=RC0603JR-07100KL%20Yageo" TargetMode="External"/><Relationship Id="rId117" Type="http://schemas.openxmlformats.org/officeDocument/2006/relationships/hyperlink" Target="http://www.newark.com/yageo/rc0603jr-07100kl/res-thick-film-100k-5-0-1w-0603/dp/68R0147" TargetMode="External"/><Relationship Id="rId118" Type="http://schemas.openxmlformats.org/officeDocument/2006/relationships/hyperlink" Target="http://www.digikey.com/scripts/DkSearch/dksus.dll?WT.z_header=search_go&amp;lang=en&amp;keywords=311-10KGRCT-ND%20Yageo" TargetMode="External"/><Relationship Id="rId119" Type="http://schemas.openxmlformats.org/officeDocument/2006/relationships/hyperlink" Target="http://www.mouser.com/Search/Refine.aspx?Keyword=RC0603JR-0710KL%20Yageo" TargetMode="External"/><Relationship Id="rId120" Type="http://schemas.openxmlformats.org/officeDocument/2006/relationships/hyperlink" Target="http://www.newark.com/webapp/wcs/stores/servlet/Search?catalogId=15003&amp;langId=-1&amp;storeId=10194&amp;gs=true&amp;st=RC0603JR-0710KL%20Yageo" TargetMode="External"/><Relationship Id="rId121" Type="http://schemas.openxmlformats.org/officeDocument/2006/relationships/hyperlink" Target="http://www.digikey.com/scripts/DkSearch/dksus.dll?WT.z_header=search_go&amp;lang=en&amp;keywords=MF-SM300-2CT-ND%20Bourns" TargetMode="External"/><Relationship Id="rId122" Type="http://schemas.openxmlformats.org/officeDocument/2006/relationships/hyperlink" Target="http://www.mouser.com/ProductDetail/Bourns/MF-SM300-2/?qs=sGAEpiMZZMsxR%252bBXi4wRUEOxm%252bUrnq4%2FuMVCgBJoFLQ%3D" TargetMode="External"/><Relationship Id="rId123" Type="http://schemas.openxmlformats.org/officeDocument/2006/relationships/hyperlink" Target="http://www.newark.com/webapp/wcs/stores/servlet/Search?catalogId=15003&amp;langId=-1&amp;storeId=10194&amp;gs=true&amp;st=MF-SM300-2%20Bourns" TargetMode="External"/><Relationship Id="rId124" Type="http://schemas.openxmlformats.org/officeDocument/2006/relationships/hyperlink" Target="http://www.digikey.com/scripts/DkSearch/dksus.dll?WT.z_header=search_go&amp;lang=en&amp;keywords=311-1.5KGRCT-ND%20Yageo" TargetMode="External"/><Relationship Id="rId125" Type="http://schemas.openxmlformats.org/officeDocument/2006/relationships/hyperlink" Target="http://www.mouser.com/Search/Refine.aspx?Keyword=RC0603JR-071K5L%20Yageo" TargetMode="External"/><Relationship Id="rId126" Type="http://schemas.openxmlformats.org/officeDocument/2006/relationships/hyperlink" Target="http://www.newark.com/webapp/wcs/stores/servlet/Search?catalogId=15003&amp;langId=-1&amp;storeId=10194&amp;gs=true&amp;st=RC0603JR-071K5L%20Yageo" TargetMode="External"/><Relationship Id="rId127" Type="http://schemas.openxmlformats.org/officeDocument/2006/relationships/hyperlink" Target="http://www.digikey.com/scripts/DkSearch/dksus.dll?WT.z_header=search_go&amp;lang=en&amp;keywords=493-3961-1-ND%20Nichicon" TargetMode="External"/><Relationship Id="rId128" Type="http://schemas.openxmlformats.org/officeDocument/2006/relationships/hyperlink" Target="http://www.mouser.com/Search/Refine.aspx?Keyword=UCL1V471MNL1GS%20Nichicon" TargetMode="External"/><Relationship Id="rId129" Type="http://schemas.openxmlformats.org/officeDocument/2006/relationships/hyperlink" Target="http://www.newark.com/webapp/wcs/stores/servlet/Search?catalogId=15003&amp;langId=-1&amp;storeId=10194&amp;gs=true&amp;st=UCL1V471MNL1GS%20Nichicon" TargetMode="External"/><Relationship Id="rId130" Type="http://schemas.openxmlformats.org/officeDocument/2006/relationships/hyperlink" Target="http://www.digikey.com/scripts/DkSearch/dksus.dll?WT.z_header=search_go&amp;lang=en&amp;keywords=S1212EC-40-ND%20Sullins%20Connector%20Solutions" TargetMode="External"/><Relationship Id="rId131" Type="http://schemas.openxmlformats.org/officeDocument/2006/relationships/hyperlink" Target="http://www.mouser.com/ProductDetail/FTDI/USB-RS232-PCBA/?qs=sGAEpiMZZMtFWfonxQb8GS1ASN1St48O" TargetMode="External"/><Relationship Id="rId132" Type="http://schemas.openxmlformats.org/officeDocument/2006/relationships/hyperlink" Target="http://www.newark.com/webapp/wcs/stores/servlet/Search?catalogId=15003&amp;langId=-1&amp;storeId=10194&amp;gs=true&amp;st=PREC040SFAN-RC%20Sullins%20Connector%20Solutions" TargetMode="External"/><Relationship Id="rId133" Type="http://schemas.openxmlformats.org/officeDocument/2006/relationships/hyperlink" Target="http://www.digikey.com/scripts/DkSearch/dksus.dll?WT.z_header=search_go&amp;lang=en&amp;keywords=311-10KGRCT-ND%20Yageo" TargetMode="External"/><Relationship Id="rId134" Type="http://schemas.openxmlformats.org/officeDocument/2006/relationships/hyperlink" Target="http://www.mouser.com/Search/Refine.aspx?Keyword=RC0603JR-0710KL%20Yageo" TargetMode="External"/><Relationship Id="rId135" Type="http://schemas.openxmlformats.org/officeDocument/2006/relationships/hyperlink" Target="http://www.newark.com/webapp/wcs/stores/servlet/Search?catalogId=15003&amp;langId=-1&amp;storeId=10194&amp;gs=true&amp;st=RC0603JR-0710KL%20Yageo" TargetMode="External"/><Relationship Id="rId136" Type="http://schemas.openxmlformats.org/officeDocument/2006/relationships/hyperlink" Target="http://www.digikey.com/scripts/DkSearch/dksus.dll?WT.z_header=search_go&amp;lang=en&amp;keywords=311-12.0KHRCT-ND%20Yageo" TargetMode="External"/><Relationship Id="rId137" Type="http://schemas.openxmlformats.org/officeDocument/2006/relationships/hyperlink" Target="http://www.mouser.com/Search/Refine.aspx?Keyword=RC0603FR-0712KL%20Yageo" TargetMode="External"/><Relationship Id="rId138" Type="http://schemas.openxmlformats.org/officeDocument/2006/relationships/hyperlink" Target="http://www.newark.com/webapp/wcs/stores/servlet/Search?catalogId=15003&amp;langId=-1&amp;storeId=10194&amp;gs=true&amp;st=RC0603FR-0712KL%20Yageo" TargetMode="External"/><Relationship Id="rId139" Type="http://schemas.openxmlformats.org/officeDocument/2006/relationships/hyperlink" Target="http://www.digikey.com/scripts/DkSearch/dksus.dll?WT.z_header=search_go&amp;lang=en&amp;keywords=MCP6024-I%2FST-ND%20Microchip%20Technology" TargetMode="External"/><Relationship Id="rId140" Type="http://schemas.openxmlformats.org/officeDocument/2006/relationships/hyperlink" Target="http://www.mouser.com/ProductDetail/Microchip-Technology/MCP6024-I-ST/?qs=sGAEpiMZZMtCHixnSjNA6Nk%2F608BUpzN5sVEUqPyXZY%3D" TargetMode="External"/><Relationship Id="rId141" Type="http://schemas.openxmlformats.org/officeDocument/2006/relationships/hyperlink" Target="http://www.digikey.com/scripts/DkSearch/dksus.dll?WT.z_header=search_go&amp;lang=en&amp;keywords=311-59.0HRCT-ND%20Yageo" TargetMode="External"/><Relationship Id="rId142" Type="http://schemas.openxmlformats.org/officeDocument/2006/relationships/hyperlink" Target="http://www.mouser.com/Search/Refine.aspx?Keyword=RC0603FR-0759RL%20Yageo" TargetMode="External"/><Relationship Id="rId143" Type="http://schemas.openxmlformats.org/officeDocument/2006/relationships/hyperlink" Target="http://www.digikey.com/scripts/DkSearch/dksus.dll?WT.z_header=search_go&amp;lang=en&amp;keywords=RG16P33.0KBCT-ND%20Susumu" TargetMode="External"/><Relationship Id="rId144" Type="http://schemas.openxmlformats.org/officeDocument/2006/relationships/hyperlink" Target="http://www.mouser.com/Search/Refine.aspx?Keyword=RG1608P-333-B-T5%20Susumu" TargetMode="External"/><Relationship Id="rId145" Type="http://schemas.openxmlformats.org/officeDocument/2006/relationships/hyperlink" Target="http://www.newark.com/webapp/wcs/stores/servlet/Search?catalogId=15003&amp;langId=-1&amp;storeId=10194&amp;gs=true&amp;st=RG1608P-333-B-T5%20Susumu" TargetMode="External"/><Relationship Id="rId146" Type="http://schemas.openxmlformats.org/officeDocument/2006/relationships/hyperlink" Target="http://www.digikey.com/scripts/DkSearch/dksus.dll?WT.z_header=search_go&amp;lang=en&amp;keywords=F3486CT-ND%20Littelfuse%20Inc" TargetMode="External"/><Relationship Id="rId147" Type="http://schemas.openxmlformats.org/officeDocument/2006/relationships/hyperlink" Target="http://www.mouser.com/Search/Refine.aspx?Keyword=1812L110%2F33MR%20Littelfuse%20Inc" TargetMode="External"/><Relationship Id="rId148" Type="http://schemas.openxmlformats.org/officeDocument/2006/relationships/hyperlink" Target="http://www.newark.com/webapp/wcs/stores/servlet/Search?catalogId=15003&amp;langId=-1&amp;storeId=10194&amp;gs=true&amp;st=1812L110%2F33MR%20Littelfuse%20Inc" TargetMode="External"/><Relationship Id="rId149" Type="http://schemas.openxmlformats.org/officeDocument/2006/relationships/hyperlink" Target="http://www.mouser.com/Search/Refine.aspx?Keyword=T491A106K006AT7280%20Kemet" TargetMode="External"/><Relationship Id="rId150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151" Type="http://schemas.openxmlformats.org/officeDocument/2006/relationships/hyperlink" Target="http://www.digikey.com/scripts/DkSearch/dksus.dll?WT.z_header=search_go&amp;lang=en&amp;keywords=S1212EC-40-ND%20Sullins%20Connector%20Solutions" TargetMode="External"/><Relationship Id="rId152" Type="http://schemas.openxmlformats.org/officeDocument/2006/relationships/hyperlink" Target="http://www.mouser.com/ProductDetail/FTDI/USB-RS232-PCBA/?qs=sGAEpiMZZMtFWfonxQb8GS1ASN1St48O" TargetMode="External"/><Relationship Id="rId153" Type="http://schemas.openxmlformats.org/officeDocument/2006/relationships/hyperlink" Target="http://www.newark.com/webapp/wcs/stores/servlet/Search?catalogId=15003&amp;langId=-1&amp;storeId=10194&amp;gs=true&amp;st=PREC040SFAN-RC%20Sullins%20Connector%20Solutions" TargetMode="External"/><Relationship Id="rId154" Type="http://schemas.openxmlformats.org/officeDocument/2006/relationships/hyperlink" Target="http://www.digikey.com/scripts/DkSearch/dksus.dll?WT.z_header=search_go&amp;lang=en&amp;keywords=LM2596SX-5.0%2FNOPBCT-ND%20Texas%20Instruments" TargetMode="External"/><Relationship Id="rId155" Type="http://schemas.openxmlformats.org/officeDocument/2006/relationships/hyperlink" Target="http://www.mouser.com/ProductDetail/Texas-Instruments/LM2596SX-50-NOPB/?qs=sGAEpiMZZMtitjHzVIkrqaeIqJaO9bXJKSbmn0qcy84%3D" TargetMode="External"/><Relationship Id="rId156" Type="http://schemas.openxmlformats.org/officeDocument/2006/relationships/hyperlink" Target="http://www.newark.com/texas-instruments/lm2596sx-5-0-nopb/step-down-voltage-regulator-to/dp/41K3848" TargetMode="External"/><Relationship Id="rId157" Type="http://schemas.openxmlformats.org/officeDocument/2006/relationships/hyperlink" Target="http://www.digikey.com/scripts/DkSearch/dksus.dll?WT.z_header=search_go&amp;lang=en&amp;keywords=490-5255-1-ND%20MURATA" TargetMode="External"/><Relationship Id="rId158" Type="http://schemas.openxmlformats.org/officeDocument/2006/relationships/hyperlink" Target="http://www.mouser.com/Search/Refine.aspx?Keyword=BLM18KG221SN1D%20MURATA" TargetMode="External"/><Relationship Id="rId159" Type="http://schemas.openxmlformats.org/officeDocument/2006/relationships/hyperlink" Target="http://www.newark.com/webapp/wcs/stores/servlet/Search?catalogId=15003&amp;langId=-1&amp;storeId=10194&amp;gs=true&amp;st=BLM18KG221SN1D%20MURATA" TargetMode="External"/><Relationship Id="rId160" Type="http://schemas.openxmlformats.org/officeDocument/2006/relationships/hyperlink" Target="http://www.digikey.com/scripts/DkSearch/dksus.dll?WT.z_header=search_go&amp;lang=en&amp;keywords=399-9717-1-ND%20Kemet" TargetMode="External"/><Relationship Id="rId161" Type="http://schemas.openxmlformats.org/officeDocument/2006/relationships/hyperlink" Target="http://www.mouser.com/ProductDetail/Kemet/T491A475K006AT/?qs=sGAEpiMZZMuEN2agSAc2phEL9R1A1xf6yqKTKEm9DDg%3D" TargetMode="External"/><Relationship Id="rId162" Type="http://schemas.openxmlformats.org/officeDocument/2006/relationships/hyperlink" Target="http://www.newark.com/webapp/wcs/stores/servlet/Search?catalogId=15003&amp;langId=-1&amp;storeId=10194&amp;gs=true&amp;st=T491A475K006AT%20Kemet" TargetMode="External"/><Relationship Id="rId163" Type="http://schemas.openxmlformats.org/officeDocument/2006/relationships/hyperlink" Target="http://www.digikey.com/scripts/DkSearch/dksus.dll?WT.z_header=search_go&amp;lang=en&amp;keywords=CM1213A-02SROSCT-ND%20ON%20SEMICONDUCTOR" TargetMode="External"/><Relationship Id="rId164" Type="http://schemas.openxmlformats.org/officeDocument/2006/relationships/hyperlink" Target="http://www.mouser.com/ProductDetail/ON-Semiconductor/CM1213A-02SR/?qs=sGAEpiMZZMvNM%2Fd3q5fCV9PW4HBIGC7q" TargetMode="External"/><Relationship Id="rId165" Type="http://schemas.openxmlformats.org/officeDocument/2006/relationships/hyperlink" Target="http://www.newark.com/webapp/wcs/stores/servlet/Search?catalogId=15003&amp;langId=-1&amp;storeId=10194&amp;gs=true&amp;st=CM1213A-02SR%20ON%20SEMICONDUCTOR" TargetMode="External"/><Relationship Id="rId166" Type="http://schemas.openxmlformats.org/officeDocument/2006/relationships/hyperlink" Target="http://www.digikey.com/scripts/DkSearch/dksus.dll?WT.z_header=search_go&amp;lang=en&amp;keywords=NCP1117ST33T3GOSCT-ND%20ON%20Semiconductor" TargetMode="External"/><Relationship Id="rId167" Type="http://schemas.openxmlformats.org/officeDocument/2006/relationships/hyperlink" Target="http://www.mouser.com/Search/Refine.aspx?Keyword=NCP1117ST33T3G%20ON%20Semiconductor" TargetMode="External"/><Relationship Id="rId168" Type="http://schemas.openxmlformats.org/officeDocument/2006/relationships/hyperlink" Target="http://www.newark.com/on-semiconductor/ncp1117st33t3g/ldo-voltage-regulator-3-3v-1a/dp/67H7013" TargetMode="External"/><Relationship Id="rId169" Type="http://schemas.openxmlformats.org/officeDocument/2006/relationships/hyperlink" Target="http://www.digikey.com/scripts/DkSearch/dksus.dll?WT.z_header=search_go&amp;lang=en&amp;keywords=399-1084-1-ND%20Kemet" TargetMode="External"/><Relationship Id="rId170" Type="http://schemas.openxmlformats.org/officeDocument/2006/relationships/hyperlink" Target="http://www.mouser.com/ProductDetail/Kemet/C0603C152K5RACTU/?qs=sGAEpiMZZMs0AnBnWHyRQKPqox8s7SFQcAbfUCQjQ6M%3D" TargetMode="External"/><Relationship Id="rId171" Type="http://schemas.openxmlformats.org/officeDocument/2006/relationships/hyperlink" Target="http://www.newark.com/webapp/wcs/stores/servlet/Search?catalogId=15003&amp;langId=-1&amp;storeId=10194&amp;gs=true&amp;st=C0603C152K5RACTU%20Kemet" TargetMode="External"/><Relationship Id="rId172" Type="http://schemas.openxmlformats.org/officeDocument/2006/relationships/hyperlink" Target="http://www.digikey.com/scripts/DkSearch/dksus.dll?WT.z_header=search_go&amp;lang=en&amp;keywords=LL4148FSCT-ND%20Fairchild" TargetMode="External"/><Relationship Id="rId173" Type="http://schemas.openxmlformats.org/officeDocument/2006/relationships/hyperlink" Target="http://www.mouser.com/ProductDetail/Fairchild-Semiconductor/LL4148/?qs=sGAEpiMZZMtoHjESLttvkveAFmDTG9wNP4HmQeiQCRg%3D" TargetMode="External"/><Relationship Id="rId174" Type="http://schemas.openxmlformats.org/officeDocument/2006/relationships/hyperlink" Target="http://www.newark.com/webapp/wcs/stores/servlet/Search?catalogId=15003&amp;langId=-1&amp;storeId=10194&amp;gs=true&amp;st=LL4148%20Fairchild" TargetMode="External"/><Relationship Id="rId175" Type="http://schemas.openxmlformats.org/officeDocument/2006/relationships/hyperlink" Target="http://www.digikey.com/scripts/DkSearch/dksus.dll?WT.z_header=search_go&amp;lang=en&amp;keywords=PB1652-ND%20TE%20Connectivity" TargetMode="External"/><Relationship Id="rId176" Type="http://schemas.openxmlformats.org/officeDocument/2006/relationships/hyperlink" Target="http://www.mouser.com/Search/Refine.aspx?Keyword=1461353-2%20TE%20Connectivity" TargetMode="External"/><Relationship Id="rId177" Type="http://schemas.openxmlformats.org/officeDocument/2006/relationships/hyperlink" Target="http://www.newark.com/webapp/wcs/stores/servlet/Search?catalogId=15003&amp;langId=-1&amp;storeId=10194&amp;gs=true&amp;st=1461353-2%20TE%20Connectivity" TargetMode="External"/><Relationship Id="rId178" Type="http://schemas.openxmlformats.org/officeDocument/2006/relationships/hyperlink" Target="http://www.digikey.com/scripts/DkSearch/dksus.dll?WT.z_header=search_go&amp;lang=en&amp;keywords=P6SMB12CAT3GOSCT-ND%20ON%20Semiconductor" TargetMode="External"/><Relationship Id="rId179" Type="http://schemas.openxmlformats.org/officeDocument/2006/relationships/hyperlink" Target="http://www.mouser.com/ProductDetail/ON-Semiconductor/P6SMB12CAT3G/?qs=sGAEpiMZZMtqO%252bWUGLBzeL0IHlZqTEbU" TargetMode="External"/><Relationship Id="rId180" Type="http://schemas.openxmlformats.org/officeDocument/2006/relationships/hyperlink" Target="http://www.newark.com/on-semiconductor/p6smb12cat3g/tvs-diode-600w-12v-403a/dp/09R9693" TargetMode="External"/><Relationship Id="rId181" Type="http://schemas.openxmlformats.org/officeDocument/2006/relationships/hyperlink" Target="http://www.digikey.com/scripts/DkSearch/dksus.dll?WT.z_header=search_go&amp;lang=en&amp;keywords=NDS7002ACT-ND%20Fairchild" TargetMode="External"/><Relationship Id="rId182" Type="http://schemas.openxmlformats.org/officeDocument/2006/relationships/hyperlink" Target="http://www.mouser.com/Search/Refine.aspx?Keyword=NDS7002A%20Fairchild" TargetMode="External"/><Relationship Id="rId183" Type="http://schemas.openxmlformats.org/officeDocument/2006/relationships/hyperlink" Target="http://www.newark.com/webapp/wcs/stores/servlet/Search?catalogId=15003&amp;langId=-1&amp;storeId=10194&amp;gs=true&amp;st=NDS7002A%20Fairchild" TargetMode="External"/><Relationship Id="rId184" Type="http://schemas.openxmlformats.org/officeDocument/2006/relationships/hyperlink" Target="http://www.digikey.com/scripts/DkSearch/dksus.dll?WT.z_header=search_go&amp;lang=en&amp;keywords=311-390GRCT-ND%20Yageo" TargetMode="External"/><Relationship Id="rId185" Type="http://schemas.openxmlformats.org/officeDocument/2006/relationships/hyperlink" Target="http://www.mouser.com/Search/Refine.aspx?Keyword=RC0603JR-07390RL%20Yageo" TargetMode="External"/><Relationship Id="rId186" Type="http://schemas.openxmlformats.org/officeDocument/2006/relationships/hyperlink" Target="http://www.newark.com/webapp/wcs/stores/servlet/Search?catalogId=15003&amp;langId=-1&amp;storeId=10194&amp;gs=true&amp;st=RC0603JR-07390RL%20Yageo" TargetMode="External"/><Relationship Id="rId187" Type="http://schemas.openxmlformats.org/officeDocument/2006/relationships/hyperlink" Target="http://www.digikey.com/scripts/DkSearch/dksus.dll?WT.z_header=search_go&amp;lang=en&amp;keywords=571-7969493%20TE%20Connectivity" TargetMode="External"/><Relationship Id="rId188" Type="http://schemas.openxmlformats.org/officeDocument/2006/relationships/hyperlink" Target="http://www.mouser.com/ProductDetail/TE-Connectivity/796949-3/?qs=sGAEpiMZZMvZTcaMAxB2AI%252bwpTxbJbcRUzBoRGS63lc%3D" TargetMode="External"/><Relationship Id="rId189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190" Type="http://schemas.openxmlformats.org/officeDocument/2006/relationships/hyperlink" Target="http://www.digikey.com/scripts/DkSearch/dksus.dll?WT.z_header=search_go&amp;lang=en&amp;keywords=571-7969493%20TE%20Connectivity" TargetMode="External"/><Relationship Id="rId191" Type="http://schemas.openxmlformats.org/officeDocument/2006/relationships/hyperlink" Target="http://www.mouser.com/ProductDetail/TE-Connectivity/796949-3/?qs=sGAEpiMZZMvZTcaMAxB2AI%252bwpTxbJbcRUzBoRGS63lc%3D" TargetMode="External"/><Relationship Id="rId192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193" Type="http://schemas.openxmlformats.org/officeDocument/2006/relationships/hyperlink" Target="http://www.digikey.com/scripts/DkSearch/dksus.dll?WT.z_header=search_go&amp;lang=en&amp;keywords=311-4.7KGRCT-ND%20Yageo" TargetMode="External"/><Relationship Id="rId194" Type="http://schemas.openxmlformats.org/officeDocument/2006/relationships/hyperlink" Target="http://www.mouser.com/Search/Refine.aspx?Keyword=RC0603JR-074K7L%20Yageo" TargetMode="External"/><Relationship Id="rId195" Type="http://schemas.openxmlformats.org/officeDocument/2006/relationships/hyperlink" Target="http://www.newark.com/webapp/wcs/stores/servlet/Search?catalogId=15003&amp;langId=-1&amp;storeId=10194&amp;gs=true&amp;st=RC0603JR-074K7L%20Yageo" TargetMode="External"/><Relationship Id="rId196" Type="http://schemas.openxmlformats.org/officeDocument/2006/relationships/hyperlink" Target="http://www.digikey.com/scripts/DkSearch/dksus.dll?WT.z_header=search_go&amp;lang=en&amp;keywords=ACML-0603-101-TCT-ND%20Abracon%20Corporation" TargetMode="External"/><Relationship Id="rId197" Type="http://schemas.openxmlformats.org/officeDocument/2006/relationships/hyperlink" Target="http://www.digikey.com/scripts/DkSearch/dksus.dll?WT.z_header=search_go&amp;lang=en&amp;keywords=CR2010-JW-101ELFCT-ND%20Bourns" TargetMode="External"/><Relationship Id="rId198" Type="http://schemas.openxmlformats.org/officeDocument/2006/relationships/hyperlink" Target="http://www.mouser.com/Search/Refine.aspx?Keyword=CR2010-JW-101ELF%20Bourns" TargetMode="External"/><Relationship Id="rId199" Type="http://schemas.openxmlformats.org/officeDocument/2006/relationships/hyperlink" Target="http://www.newark.com/webapp/wcs/stores/servlet/Search?catalogId=15003&amp;langId=-1&amp;storeId=10194&amp;gs=true&amp;st=CR2010-JW-101ELF%20Bourns" TargetMode="External"/><Relationship Id="rId200" Type="http://schemas.openxmlformats.org/officeDocument/2006/relationships/hyperlink" Target="http://www.digikey.com/scripts/DkSearch/dksus.dll?WT.z_header=search_go&amp;lang=en&amp;keywords=311-680GRCT-ND%20Yageo" TargetMode="External"/><Relationship Id="rId201" Type="http://schemas.openxmlformats.org/officeDocument/2006/relationships/hyperlink" Target="http://www.mouser.com/Search/Refine.aspx?Keyword=RC0603JR-07680RL%20Yageo" TargetMode="External"/><Relationship Id="rId202" Type="http://schemas.openxmlformats.org/officeDocument/2006/relationships/hyperlink" Target="http://www.newark.com/webapp/wcs/stores/servlet/Search?catalogId=15003&amp;langId=-1&amp;storeId=10194&amp;gs=true&amp;st=RC0603JR-07680RL%20Yageo" TargetMode="External"/><Relationship Id="rId203" Type="http://schemas.openxmlformats.org/officeDocument/2006/relationships/hyperlink" Target="http://www.digikey.com/scripts/DkSearch/dksus.dll?WT.z_header=search_go&amp;lang=en&amp;keywords=S9554-ND%20Sullins" TargetMode="External"/><Relationship Id="rId204" Type="http://schemas.openxmlformats.org/officeDocument/2006/relationships/hyperlink" Target="http://www.digikey.com/scripts/DkSearch/dksus.dll?WT.z_header=search_go&amp;lang=en&amp;keywords=MF-USMF035-2CT-ND%20Bourns" TargetMode="External"/><Relationship Id="rId205" Type="http://schemas.openxmlformats.org/officeDocument/2006/relationships/hyperlink" Target="http://www.mouser.com/Search/Refine.aspx?Keyword=MF-USMF035-2%20Bourns" TargetMode="External"/><Relationship Id="rId206" Type="http://schemas.openxmlformats.org/officeDocument/2006/relationships/hyperlink" Target="http://www.newark.com/webapp/wcs/stores/servlet/Search?catalogId=15003&amp;langId=-1&amp;storeId=10194&amp;gs=true&amp;st=MF-USMF035-2%20Bourns" TargetMode="External"/><Relationship Id="rId207" Type="http://schemas.openxmlformats.org/officeDocument/2006/relationships/hyperlink" Target="http://www.digikey.com/scripts/DkSearch/dksus.dll?WT.z_header=search_go&amp;lang=en&amp;keywords=RG16P2.49KBCT-ND%20Susumu" TargetMode="External"/><Relationship Id="rId208" Type="http://schemas.openxmlformats.org/officeDocument/2006/relationships/hyperlink" Target="http://www.mouser.com/Search/Refine.aspx?Keyword=RG1608P-2491-B-T5%20Susumu" TargetMode="External"/><Relationship Id="rId209" Type="http://schemas.openxmlformats.org/officeDocument/2006/relationships/hyperlink" Target="http://www.newark.com/webapp/wcs/stores/servlet/Search?catalogId=15003&amp;langId=-1&amp;storeId=10194&amp;gs=true&amp;st=RG1608P-2491-B-T5%20Susumu" TargetMode="External"/><Relationship Id="rId210" Type="http://schemas.openxmlformats.org/officeDocument/2006/relationships/hyperlink" Target="http://www.digikey.com/scripts/DkSearch/dksus.dll?WT.z_header=search_go&amp;lang=en&amp;keywords=SRN1060-470MCT-ND%20Bourns" TargetMode="External"/><Relationship Id="rId211" Type="http://schemas.openxmlformats.org/officeDocument/2006/relationships/hyperlink" Target="http://www.mouser.com/Search/Refine.aspx?Keyword=SRN1060-470M%20Bourns" TargetMode="External"/><Relationship Id="rId212" Type="http://schemas.openxmlformats.org/officeDocument/2006/relationships/hyperlink" Target="http://www.newark.com/webapp/wcs/stores/servlet/Search?catalogId=15003&amp;langId=-1&amp;storeId=10194&amp;gs=true&amp;st=SRN1060-470M%20Bourns" TargetMode="External"/><Relationship Id="rId213" Type="http://schemas.openxmlformats.org/officeDocument/2006/relationships/hyperlink" Target="http://www.digikey.com/scripts/DkSearch/dksus.dll?WT.z_header=search_go&amp;lang=en&amp;keywords=399-1096-1-ND%20Kemet" TargetMode="External"/><Relationship Id="rId214" Type="http://schemas.openxmlformats.org/officeDocument/2006/relationships/hyperlink" Target="http://www.mouser.com/ProductDetail/Kemet/C0603C104K4RACTU/?qs=sGAEpiMZZMs0AnBnWHyRQFqPnX0OlvcoGdtRY%252bgH1%2Fs%3D" TargetMode="External"/><Relationship Id="rId215" Type="http://schemas.openxmlformats.org/officeDocument/2006/relationships/hyperlink" Target="http://www.newark.com/kemet/c0603c104k4ractu/ceramic-capacitor-0-1uf-16v-x7r/dp/19C6005" TargetMode="External"/><Relationship Id="rId216" Type="http://schemas.openxmlformats.org/officeDocument/2006/relationships/hyperlink" Target="http://www.digikey.com/scripts/DkSearch/dksus.dll?WT.z_header=search_go&amp;lang=en&amp;keywords=P6SMB20CAT3GOSCT-ND%20ON%20Semiconductor" TargetMode="External"/><Relationship Id="rId217" Type="http://schemas.openxmlformats.org/officeDocument/2006/relationships/hyperlink" Target="http://www.mouser.com/Search/Refine.aspx?Keyword=P6SMB20CAT3G%20ON%20Semiconductor" TargetMode="External"/><Relationship Id="rId218" Type="http://schemas.openxmlformats.org/officeDocument/2006/relationships/hyperlink" Target="http://www.newark.com/on-semiconductor/p6smb20cat3g/tvs-diode-600w-20v-smb/dp/10N9601" TargetMode="External"/><Relationship Id="rId219" Type="http://schemas.openxmlformats.org/officeDocument/2006/relationships/hyperlink" Target="http://www.digikey.com/scripts/DkSearch/dksus.dll?WT.z_header=search_go&amp;lang=en&amp;keywords=571-7969493%20TE%20Connectivity" TargetMode="External"/><Relationship Id="rId220" Type="http://schemas.openxmlformats.org/officeDocument/2006/relationships/hyperlink" Target="http://www.mouser.com/ProductDetail/TE-Connectivity/796949-3/?qs=sGAEpiMZZMvZTcaMAxB2AI%252bwpTxbJbcRUzBoRGS63lc%3D" TargetMode="External"/><Relationship Id="rId221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222" Type="http://schemas.openxmlformats.org/officeDocument/2006/relationships/hyperlink" Target="http://www.digikey.com/scripts/DkSearch/dksus.dll?WT.z_header=search_go&amp;lang=en&amp;keywords=24AA025E48-I%2FSN-ND%20Microchip%20Technology" TargetMode="External"/><Relationship Id="rId223" Type="http://schemas.openxmlformats.org/officeDocument/2006/relationships/hyperlink" Target="http://www.mouser.com/ProductDetail/Microchip-Technology/24AA025E48-I-SN/?qs=sGAEpiMZZMuVhdAcoizlRWIBzfnbrkyf4d%252bfN0Wzz8I%3D" TargetMode="External"/><Relationship Id="rId224" Type="http://schemas.openxmlformats.org/officeDocument/2006/relationships/hyperlink" Target="http://www.newark.com/webapp/wcs/stores/servlet/Search?catalogId=15003&amp;langId=-1&amp;storeId=10194&amp;gs=true&amp;st=24AA025E48-I%2FSN%20Microchip%20Technology" TargetMode="External"/><Relationship Id="rId225" Type="http://schemas.openxmlformats.org/officeDocument/2006/relationships/hyperlink" Target="http://www.digikey.com/scripts/DkSearch/dksus.dll?WT.z_header=search_go&amp;lang=en&amp;keywords=RG16P15.0KBCT-ND%20Susumu" TargetMode="External"/><Relationship Id="rId226" Type="http://schemas.openxmlformats.org/officeDocument/2006/relationships/hyperlink" Target="http://www.mouser.com/Search/Refine.aspx?Keyword=RG1608P-153-B-T5%20Susumu" TargetMode="External"/><Relationship Id="rId227" Type="http://schemas.openxmlformats.org/officeDocument/2006/relationships/hyperlink" Target="http://www.newark.com/webapp/wcs/stores/servlet/Search?catalogId=15003&amp;langId=-1&amp;storeId=10194&amp;gs=true&amp;st=RG1608P-153-B-T5%20Susumu" TargetMode="External"/><Relationship Id="rId228" Type="http://schemas.openxmlformats.org/officeDocument/2006/relationships/hyperlink" Target="http://www.digikey.com/scripts/DkSearch/dksus.dll?WT.z_header=search_go&amp;lang=en&amp;keywords=571-7969493%20TE%20Connectivity" TargetMode="External"/><Relationship Id="rId229" Type="http://schemas.openxmlformats.org/officeDocument/2006/relationships/hyperlink" Target="http://www.mouser.com/ProductDetail/TE-Connectivity/796949-3/?qs=sGAEpiMZZMvZTcaMAxB2AI%252bwpTxbJbcRUzBoRGS63lc%3D" TargetMode="External"/><Relationship Id="rId230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231" Type="http://schemas.openxmlformats.org/officeDocument/2006/relationships/hyperlink" Target="http://www.digikey.com/scripts/DkSearch/dksus.dll?WT.z_header=search_go&amp;lang=en&amp;keywords=SMAJ5.0ABCT-ND%20Bourns" TargetMode="External"/><Relationship Id="rId232" Type="http://schemas.openxmlformats.org/officeDocument/2006/relationships/hyperlink" Target="http://www.mouser.com/Search/Refine.aspx?Keyword=SMAJ5.0A%20Bourns" TargetMode="External"/><Relationship Id="rId233" Type="http://schemas.openxmlformats.org/officeDocument/2006/relationships/hyperlink" Target="http://www.newark.com/webapp/wcs/stores/servlet/Search?catalogId=15003&amp;langId=-1&amp;storeId=10194&amp;gs=true&amp;st=SMAJ5.0A%20Bourns" TargetMode="External"/><Relationship Id="rId234" Type="http://schemas.openxmlformats.org/officeDocument/2006/relationships/hyperlink" Target="http://www.digikey.com/scripts/DkSearch/dksus.dll?WT.z_header=search_go&amp;lang=en&amp;keywords=CR0603-JW-330GLFCT-ND%20Bourns" TargetMode="External"/><Relationship Id="rId235" Type="http://schemas.openxmlformats.org/officeDocument/2006/relationships/hyperlink" Target="http://www.mouser.com/Search/Refine.aspx?Keyword=CR0603-JW-330GLF%20Bourns" TargetMode="External"/><Relationship Id="rId236" Type="http://schemas.openxmlformats.org/officeDocument/2006/relationships/hyperlink" Target="http://www.newark.com/webapp/wcs/stores/servlet/Search?catalogId=15003&amp;langId=-1&amp;storeId=10194&amp;gs=true&amp;st=CR0603-JW-330GLF%20Bourns" TargetMode="External"/><Relationship Id="rId237" Type="http://schemas.openxmlformats.org/officeDocument/2006/relationships/hyperlink" Target="http://www.digikey.com/scripts/DkSearch/dksus.dll?WT.z_header=search_go&amp;lang=en&amp;keywords=631-1055-1-ND%20Fox%20Electronics" TargetMode="External"/><Relationship Id="rId238" Type="http://schemas.openxmlformats.org/officeDocument/2006/relationships/hyperlink" Target="http://www.newark.com/webapp/wcs/stores/servlet/Search?catalogId=15003&amp;langId=-1&amp;storeId=10194&amp;gs=true&amp;st=FXO-HC735-25%20Fox%20Electronics" TargetMode="External"/><Relationship Id="rId239" Type="http://schemas.openxmlformats.org/officeDocument/2006/relationships/hyperlink" Target="http://www.digikey.com/scripts/DkSearch/dksus.dll?WT.z_header=search_go&amp;lang=en&amp;keywords=399-1052-1-ND%20Kemet" TargetMode="External"/><Relationship Id="rId240" Type="http://schemas.openxmlformats.org/officeDocument/2006/relationships/hyperlink" Target="http://www.mouser.com/ProductDetail/Kemet/C0603C180J5GACTU/?qs=sGAEpiMZZMs0AnBnWHyRQJIiGvDVk92VyAyEaQH0tQM%3D" TargetMode="External"/><Relationship Id="rId241" Type="http://schemas.openxmlformats.org/officeDocument/2006/relationships/hyperlink" Target="http://www.newark.com/webapp/wcs/stores/servlet/Search?catalogId=15003&amp;langId=-1&amp;storeId=10194&amp;gs=true&amp;st=C0603C180J5GACTU%20Kemet" TargetMode="External"/><Relationship Id="rId242" Type="http://schemas.openxmlformats.org/officeDocument/2006/relationships/hyperlink" Target="http://www.digikey.com/scripts/DkSearch/dksus.dll?WT.z_header=search_go&amp;lang=en&amp;keywords=311-49.9HRCT-ND%20Yageo" TargetMode="External"/><Relationship Id="rId243" Type="http://schemas.openxmlformats.org/officeDocument/2006/relationships/hyperlink" Target="http://www.mouser.com/Search/Refine.aspx?Keyword=RC0603FR-0749R9L%20Yageo" TargetMode="External"/><Relationship Id="rId244" Type="http://schemas.openxmlformats.org/officeDocument/2006/relationships/hyperlink" Target="http://www.newark.com/webapp/wcs/stores/servlet/Search?catalogId=15003&amp;langId=-1&amp;storeId=10194&amp;gs=true&amp;st=RC0603FR-0749R9L%20Yageo" TargetMode="External"/><Relationship Id="rId245" Type="http://schemas.openxmlformats.org/officeDocument/2006/relationships/hyperlink" Target="http://www.digikey.com/scripts/DkSearch/dksus.dll?WT.z_header=search_go&amp;lang=en&amp;keywords=MBRS130LT3GOSCT-ND%20ON%20Semiconductor" TargetMode="External"/><Relationship Id="rId246" Type="http://schemas.openxmlformats.org/officeDocument/2006/relationships/hyperlink" Target="http://www.mouser.com/ProductDetail/ON-Semiconductor/MBRS130LT3G/?qs=sGAEpiMZZMtQ8nqTKtFS%2FCKUxMvjsmGz8WwNPDp7quY%3D" TargetMode="External"/><Relationship Id="rId247" Type="http://schemas.openxmlformats.org/officeDocument/2006/relationships/hyperlink" Target="http://www.newark.com/webapp/wcs/stores/servlet/Search?catalogId=15003&amp;langId=-1&amp;storeId=10194&amp;gs=true&amp;st=MBRS130LT3G%20ON%20Semiconductor" TargetMode="External"/><Relationship Id="rId248" Type="http://schemas.openxmlformats.org/officeDocument/2006/relationships/hyperlink" Target="http://www.digikey.com/product-detail/en/te-connectivity-alcoswitch-switches/FSM2JSMAATR/450-1792-1-ND/3503931" TargetMode="External"/><Relationship Id="rId249" Type="http://schemas.openxmlformats.org/officeDocument/2006/relationships/hyperlink" Target="http://www.mouser.com/Search/Refine.aspx?Keyword=2-1437565-9%20TE%20Connectivity" TargetMode="External"/><Relationship Id="rId250" Type="http://schemas.openxmlformats.org/officeDocument/2006/relationships/hyperlink" Target="http://www.newark.com/webapp/wcs/stores/servlet/Search?catalogId=15003&amp;langId=-1&amp;storeId=10194&amp;gs=true&amp;st=2-1437565-9%20TE%20Connectivity" TargetMode="External"/><Relationship Id="rId251" Type="http://schemas.openxmlformats.org/officeDocument/2006/relationships/hyperlink" Target="http://www.digikey.com/scripts/DkSearch/dksus.dll?WT.z_header=search_go&amp;lang=en&amp;keywords=311-0.0GRCT-ND%20Yageo" TargetMode="External"/><Relationship Id="rId252" Type="http://schemas.openxmlformats.org/officeDocument/2006/relationships/hyperlink" Target="http://www.mouser.com/Search/Refine.aspx?Keyword=RC0603JR-070RL%20Yageo" TargetMode="External"/><Relationship Id="rId253" Type="http://schemas.openxmlformats.org/officeDocument/2006/relationships/hyperlink" Target="http://www.newark.com/yageo/rc0603jr-070rl/res-thick-film-0r-0-1w-0603/dp/68R0136" TargetMode="External"/><Relationship Id="rId254" Type="http://schemas.openxmlformats.org/officeDocument/2006/relationships/hyperlink" Target="http://www.digikey.com/scripts/DkSearch/dksus.dll?WT.z_header=search_go&amp;lang=en&amp;keywords=311-33KGRCT-ND%20Yageo" TargetMode="External"/><Relationship Id="rId255" Type="http://schemas.openxmlformats.org/officeDocument/2006/relationships/hyperlink" Target="http://www.mouser.com/Search/Refine.aspx?Keyword=RC0603JR-0733KL%20Yageo" TargetMode="External"/><Relationship Id="rId256" Type="http://schemas.openxmlformats.org/officeDocument/2006/relationships/hyperlink" Target="http://www.newark.com/webapp/wcs/stores/servlet/Search?catalogId=15003&amp;langId=-1&amp;storeId=10194&amp;gs=true&amp;st=RC0603JR-0733KL%20Yageo" TargetMode="External"/><Relationship Id="rId257" Type="http://schemas.openxmlformats.org/officeDocument/2006/relationships/hyperlink" Target="http://www.digikey.com/scripts/DkSearch/dksus.dll?WT.z_header=search_go&amp;lang=en&amp;keywords=S2012EC-40-ND%20Sullins%20Connector%20Solutions" TargetMode="External"/><Relationship Id="rId258" Type="http://schemas.openxmlformats.org/officeDocument/2006/relationships/hyperlink" Target="http://www.mouser.com/ProductDetail/3M-Electronic-Solutions-Division/5622-4100-ML/?qs=sGAEpiMZZMtDa8bhoiaN7FALpx0w0Cg1" TargetMode="External"/><Relationship Id="rId259" Type="http://schemas.openxmlformats.org/officeDocument/2006/relationships/hyperlink" Target="http://www.newark.com/webapp/wcs/stores/servlet/Search?catalogId=15003&amp;langId=-1&amp;storeId=10194&amp;gs=true&amp;st=S2012EC-40-ND%20Sullins%20Connector%20Solutions" TargetMode="External"/><Relationship Id="rId260" Type="http://schemas.openxmlformats.org/officeDocument/2006/relationships/hyperlink" Target="http://www.digikey.com/scripts/DkSearch/dksus.dll?WT.z_header=search_go&amp;lang=en&amp;keywords=399-1091-1-ND%20Kemet" TargetMode="External"/><Relationship Id="rId261" Type="http://schemas.openxmlformats.org/officeDocument/2006/relationships/hyperlink" Target="http://www.mouser.com/ProductDetail/Kemet/C0603C103K5RACTU/?qs=sGAEpiMZZMs0AnBnWHyRQJxdEn2F2BG1%2FBzHVE3ZwKE%3D" TargetMode="External"/><Relationship Id="rId262" Type="http://schemas.openxmlformats.org/officeDocument/2006/relationships/hyperlink" Target="http://www.newark.com/kemet/c0603c103k5ractu/ceramic-capacitor-0-01uf-50v-x7r/dp/30C5334" TargetMode="External"/><Relationship Id="rId263" Type="http://schemas.openxmlformats.org/officeDocument/2006/relationships/hyperlink" Target="http://www.digikey.com/scripts/DkSearch/dksus.dll?WT.z_header=search_go&amp;lang=en&amp;keywords=H11635TR-ND%20HIROSE%20ELECTRIC" TargetMode="External"/><Relationship Id="rId264" Type="http://schemas.openxmlformats.org/officeDocument/2006/relationships/hyperlink" Target="http://www.mouser.com/ProductDetail/Hirose-Connector/ZX62-B-5PA33/?qs=sGAEpiMZZMt24PW2WNEtL7WZ8l7%2Fl%252bmvD0SpT1lZNHU%3D" TargetMode="External"/><Relationship Id="rId265" Type="http://schemas.openxmlformats.org/officeDocument/2006/relationships/hyperlink" Target="http://www.digikey.com/scripts/DkSearch/dksus.dll?WT.z_header=search_go&amp;lang=en&amp;keywords=399-8279-1-ND%20Kemet" TargetMode="External"/><Relationship Id="rId266" Type="http://schemas.openxmlformats.org/officeDocument/2006/relationships/hyperlink" Target="http://www.mouser.com/ProductDetail/Kemet/T491A226K006AT/?qs=sGAEpiMZZMuEN2agSAc2plg9mRgM350BaRAWDx4lClw%3D" TargetMode="External"/><Relationship Id="rId267" Type="http://schemas.openxmlformats.org/officeDocument/2006/relationships/hyperlink" Target="http://www.newark.com/kemet/t491a226k006at/tantalum-capacitor-22uf-6v-4-ohm/dp/57K1670" TargetMode="External"/><Relationship Id="rId268" Type="http://schemas.openxmlformats.org/officeDocument/2006/relationships/hyperlink" Target="http://www.digikey.com/scripts/DkSearch/dksus.dll?WT.z_header=search_go&amp;lang=en&amp;keywords=311-1.0MGRCT-ND%20Yageo" TargetMode="External"/><Relationship Id="rId269" Type="http://schemas.openxmlformats.org/officeDocument/2006/relationships/hyperlink" Target="http://www.mouser.com/Search/Refine.aspx?Keyword=RC0603JR-071ML%20Yageo" TargetMode="External"/><Relationship Id="rId270" Type="http://schemas.openxmlformats.org/officeDocument/2006/relationships/hyperlink" Target="http://www.newark.com/webapp/wcs/stores/servlet/Search?catalogId=15003&amp;langId=-1&amp;storeId=10194&amp;gs=true&amp;st=RC0603JR-071ML%20Yageo" TargetMode="External"/><Relationship Id="rId271" Type="http://schemas.openxmlformats.org/officeDocument/2006/relationships/hyperlink" Target="http://www.digikey.com/scripts/DkSearch/dksus.dll?WT.z_header=search_go&amp;lang=en&amp;keywords=S2012EC-40-ND%20Sullins%20Connector%20Solutions" TargetMode="External"/><Relationship Id="rId272" Type="http://schemas.openxmlformats.org/officeDocument/2006/relationships/hyperlink" Target="http://www.mouser.com/ProductDetail/3M-Electronic-Solutions-Division/5622-4100-ML/?qs=sGAEpiMZZMtDa8bhoiaN7FALpx0w0Cg1" TargetMode="External"/><Relationship Id="rId273" Type="http://schemas.openxmlformats.org/officeDocument/2006/relationships/hyperlink" Target="http://www.newark.com/webapp/wcs/stores/servlet/Search?catalogId=15003&amp;langId=-1&amp;storeId=10194&amp;gs=true&amp;st=S2012EC-40-ND%20Sullins%20Connector%20Solutions" TargetMode="External"/><Relationship Id="rId274" Type="http://schemas.openxmlformats.org/officeDocument/2006/relationships/hyperlink" Target="http://www.digikey.com/scripts/DkSearch/dksus.dll?WT.z_header=search_go&amp;lang=en&amp;keywords=SRF2012-900YCT-ND%20BOURNS" TargetMode="External"/><Relationship Id="rId275" Type="http://schemas.openxmlformats.org/officeDocument/2006/relationships/hyperlink" Target="http://www.mouser.com/ProductDetail/Bourns/SRF2012-900Y/?qs=sGAEpiMZZMsVJzu5wKIZCXZ%2FkI%2FGitbenzbfgpLhzUU%3D" TargetMode="External"/><Relationship Id="rId276" Type="http://schemas.openxmlformats.org/officeDocument/2006/relationships/hyperlink" Target="http://www.newark.com/webapp/wcs/stores/servlet/Search?catalogId=15003&amp;langId=-1&amp;storeId=10194&amp;gs=true&amp;st=SRF2012-900Y%20BOURNS" TargetMode="External"/><Relationship Id="rId277" Type="http://schemas.openxmlformats.org/officeDocument/2006/relationships/hyperlink" Target="http://www.digikey.com/scripts/DkSearch/dksus.dll?WT.z_header=search_go&amp;lang=en&amp;keywords=571-7969492%20TE%20Connectivity" TargetMode="External"/><Relationship Id="rId278" Type="http://schemas.openxmlformats.org/officeDocument/2006/relationships/hyperlink" Target="http://www.mouser.com/ProductDetail/TE-Connectivity/796949-2/?qs=sGAEpiMZZMvZTcaMAxB2AI%252bwpTxbJbcRDkOqnLm049E%3D" TargetMode="External"/><Relationship Id="rId279" Type="http://schemas.openxmlformats.org/officeDocument/2006/relationships/hyperlink" Target="http://www.newark.com/webapp/wcs/stores/servlet/Search?catalogId=15003&amp;langId=-1&amp;storeId=10194&amp;gs=true&amp;st=796949-2%20TE%20Connectivity" TargetMode="External"/><Relationship Id="rId280" Type="http://schemas.openxmlformats.org/officeDocument/2006/relationships/hyperlink" Target="http://www.mouser.com/Search/Refine.aspx?Keyword=T491A106K006AT7280%20Kemet" TargetMode="External"/><Relationship Id="rId281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282" Type="http://schemas.openxmlformats.org/officeDocument/2006/relationships/hyperlink" Target="http://www.digikey.com/scripts/DkSearch/dksus.dll?WT.z_header=search_go&amp;lang=en&amp;keywords=768-1024-1-ND%20FTDI%20CHIP" TargetMode="External"/><Relationship Id="rId283" Type="http://schemas.openxmlformats.org/officeDocument/2006/relationships/hyperlink" Target="http://www.mouser.com/ProductDetail/FTDI/FT2232HL-TRAY/?qs=sGAEpiMZZMsgaWLkU6GBSK8bHXjqNrK1" TargetMode="External"/><Relationship Id="rId284" Type="http://schemas.openxmlformats.org/officeDocument/2006/relationships/hyperlink" Target="http://www.newark.com/webapp/wcs/stores/servlet/Search?catalogId=15003&amp;langId=-1&amp;storeId=10194&amp;gs=true&amp;st=FT2232HL%20FTDI%20CHIP" TargetMode="External"/><Relationship Id="rId285" Type="http://schemas.openxmlformats.org/officeDocument/2006/relationships/hyperlink" Target="http://www.digikey.com/scripts/DkSearch/dksus.dll?WT.z_header=search_go&amp;lang=en&amp;keywords=399-1091-1-ND%20Kemet" TargetMode="External"/><Relationship Id="rId286" Type="http://schemas.openxmlformats.org/officeDocument/2006/relationships/hyperlink" Target="http://www.mouser.com/ProductDetail/Kemet/C0603C103K5RACTU/?qs=sGAEpiMZZMs0AnBnWHyRQJxdEn2F2BG1%2FBzHVE3ZwKE%3D" TargetMode="External"/><Relationship Id="rId287" Type="http://schemas.openxmlformats.org/officeDocument/2006/relationships/hyperlink" Target="http://www.newark.com/kemet/c0603c103k5ractu/ceramic-capacitor-0-01uf-50v-x7r/dp/30C5334" TargetMode="External"/><Relationship Id="rId288" Type="http://schemas.openxmlformats.org/officeDocument/2006/relationships/hyperlink" Target="http://www.digikey.com/scripts/DkSearch/dksus.dll?WT.z_header=search_go&amp;lang=en&amp;keywords=399-9717-1-ND%20Kemet" TargetMode="External"/><Relationship Id="rId289" Type="http://schemas.openxmlformats.org/officeDocument/2006/relationships/hyperlink" Target="http://www.mouser.com/ProductDetail/Kemet/T491A475K006AT/?qs=sGAEpiMZZMuEN2agSAc2phEL9R1A1xf6yqKTKEm9DDg%3D" TargetMode="External"/><Relationship Id="rId290" Type="http://schemas.openxmlformats.org/officeDocument/2006/relationships/hyperlink" Target="http://www.newark.com/webapp/wcs/stores/servlet/Search?catalogId=15003&amp;langId=-1&amp;storeId=10194&amp;gs=true&amp;st=T491A475K006AT%20Kemet" TargetMode="External"/><Relationship Id="rId291" Type="http://schemas.openxmlformats.org/officeDocument/2006/relationships/hyperlink" Target="http://www.digikey.com/scripts/DkSearch/dksus.dll?WT.z_header=search_go&amp;lang=en&amp;keywords=311-0.0GRCT-ND%20Yageo" TargetMode="External"/><Relationship Id="rId292" Type="http://schemas.openxmlformats.org/officeDocument/2006/relationships/hyperlink" Target="http://www.mouser.com/Search/Refine.aspx?Keyword=RC0603JR-070RL%20Yageo" TargetMode="External"/><Relationship Id="rId293" Type="http://schemas.openxmlformats.org/officeDocument/2006/relationships/hyperlink" Target="http://www.newark.com/yageo/rc0603jr-070rl/res-thick-film-0r-0-1w-0603/dp/68R0136" TargetMode="External"/><Relationship Id="rId294" Type="http://schemas.openxmlformats.org/officeDocument/2006/relationships/hyperlink" Target="http://www.digikey.com/scripts/DkSearch/dksus.dll?WT.z_header=search_go&amp;lang=en&amp;keywords=311-10KGRCT-ND%20Yageo" TargetMode="External"/><Relationship Id="rId295" Type="http://schemas.openxmlformats.org/officeDocument/2006/relationships/hyperlink" Target="http://www.mouser.com/Search/Refine.aspx?Keyword=RC0603JR-0710KL%20Yageo" TargetMode="External"/><Relationship Id="rId296" Type="http://schemas.openxmlformats.org/officeDocument/2006/relationships/hyperlink" Target="http://www.newark.com/webapp/wcs/stores/servlet/Search?catalogId=15003&amp;langId=-1&amp;storeId=10194&amp;gs=true&amp;st=RC0603JR-0710KL%20Yageo" TargetMode="External"/><Relationship Id="rId297" Type="http://schemas.openxmlformats.org/officeDocument/2006/relationships/hyperlink" Target="http://www.digikey.com/scripts/DkSearch/dksus.dll?WT.z_header=search_go&amp;lang=en&amp;keywords=497-6538-1-ND%20STMicroelectronics" TargetMode="External"/><Relationship Id="rId298" Type="http://schemas.openxmlformats.org/officeDocument/2006/relationships/hyperlink" Target="http://www.mouser.com/Search/Refine.aspx?Keyword=ST3232ECTR%20STMicroelectronics" TargetMode="External"/><Relationship Id="rId299" Type="http://schemas.openxmlformats.org/officeDocument/2006/relationships/hyperlink" Target="http://www.newark.com/webapp/wcs/stores/servlet/Search?catalogId=15003&amp;langId=-1&amp;storeId=10194&amp;gs=true&amp;st=ST3232ECTR%20STMicroelectronics" TargetMode="External"/><Relationship Id="rId300" Type="http://schemas.openxmlformats.org/officeDocument/2006/relationships/hyperlink" Target="http://www.digikey.com/scripts/DkSearch/dksus.dll?WT.z_header=search_go&amp;lang=en&amp;keywords=571-7969492%20TE%20Connectivity" TargetMode="External"/><Relationship Id="rId301" Type="http://schemas.openxmlformats.org/officeDocument/2006/relationships/hyperlink" Target="http://www.mouser.com/ProductDetail/TE-Connectivity/796949-2/?qs=sGAEpiMZZMvZTcaMAxB2AI%252bwpTxbJbcRDkOqnLm049E%3D" TargetMode="External"/><Relationship Id="rId302" Type="http://schemas.openxmlformats.org/officeDocument/2006/relationships/hyperlink" Target="http://www.newark.com/webapp/wcs/stores/servlet/Search?catalogId=15003&amp;langId=-1&amp;storeId=10194&amp;gs=true&amp;st=796949-2%20TE%20Connectivity" TargetMode="External"/><Relationship Id="rId303" Type="http://schemas.openxmlformats.org/officeDocument/2006/relationships/hyperlink" Target="http://www.digikey.com/scripts/DkSearch/dksus.dll?WT.z_header=search_go&amp;lang=en&amp;keywords=568-8285-5-ND%20NXP" TargetMode="External"/><Relationship Id="rId304" Type="http://schemas.openxmlformats.org/officeDocument/2006/relationships/hyperlink" Target="http://www.mouser.com/ProductDetail/NXP-Semiconductors/74HC244PW112/?qs=sGAEpiMZZMuiiWkaIwCK2RTxPVPWGz6WoMvyThhTeiU%3D" TargetMode="External"/><Relationship Id="rId305" Type="http://schemas.openxmlformats.org/officeDocument/2006/relationships/hyperlink" Target="http://www.newark.com/webapp/wcs/stores/servlet/Search?catalogId=15003&amp;langId=-1&amp;storeId=10194&amp;gs=true&amp;st=74HC244PW%2C112%20NXP" TargetMode="External"/><Relationship Id="rId306" Type="http://schemas.openxmlformats.org/officeDocument/2006/relationships/hyperlink" Target="http://www.digikey.com/scripts/DkSearch/dksus.dll?WT.z_header=search_go&amp;lang=en&amp;keywords=S2012EC-40-ND%20Sullins%20Connector%20Solutions" TargetMode="External"/><Relationship Id="rId307" Type="http://schemas.openxmlformats.org/officeDocument/2006/relationships/hyperlink" Target="http://www.mouser.com/ProductDetail/3M-Electronic-Solutions-Division/5622-4100-ML/?qs=sGAEpiMZZMtDa8bhoiaN7FALpx0w0Cg1" TargetMode="External"/><Relationship Id="rId308" Type="http://schemas.openxmlformats.org/officeDocument/2006/relationships/hyperlink" Target="http://www.newark.com/webapp/wcs/stores/servlet/Search?catalogId=15003&amp;langId=-1&amp;storeId=10194&amp;gs=true&amp;st=S2012EC-40-ND%20Sullins%20Connector%20Solutions" TargetMode="External"/><Relationship Id="rId309" Type="http://schemas.openxmlformats.org/officeDocument/2006/relationships/hyperlink" Target="http://www.digikey.com/scripts/DkSearch/dksus.dll?WT.z_header=search_go&amp;lang=en&amp;keywords=445-2166-1-ND%20TDK" TargetMode="External"/><Relationship Id="rId310" Type="http://schemas.openxmlformats.org/officeDocument/2006/relationships/hyperlink" Target="http://www.mouser.com/ProductDetail/TDK/MMZ1608B601C/?qs=sGAEpiMZZMtdyQheitOmRaspPRlp9Yc%252bys7y1Mgq5ng%3D" TargetMode="External"/><Relationship Id="rId311" Type="http://schemas.openxmlformats.org/officeDocument/2006/relationships/hyperlink" Target="http://www.newark.com/tdk/mmz1608b601ctah0/ferrite-bead-600-ohm-500ma-0603/dp/89R3077" TargetMode="External"/><Relationship Id="rId312" Type="http://schemas.openxmlformats.org/officeDocument/2006/relationships/hyperlink" Target="http://www.digikey.com/scripts/DkSearch/dksus.dll?WT.z_header=search_go&amp;lang=en&amp;keywords=MBRS540T3GOSCT-ND%20ON%20Semiconductor" TargetMode="External"/><Relationship Id="rId313" Type="http://schemas.openxmlformats.org/officeDocument/2006/relationships/hyperlink" Target="http://www.mouser.com/Search/Refine.aspx?Keyword=MBRS540T3G%20ON%20Semiconductor" TargetMode="External"/><Relationship Id="rId314" Type="http://schemas.openxmlformats.org/officeDocument/2006/relationships/hyperlink" Target="http://www.newark.com/webapp/wcs/stores/servlet/Search?catalogId=15003&amp;langId=-1&amp;storeId=10194&amp;gs=true&amp;st=MBRS540T3G%20ON%20Semiconductor" TargetMode="External"/><Relationship Id="rId315" Type="http://schemas.openxmlformats.org/officeDocument/2006/relationships/hyperlink" Target="http://www.digikey.com/scripts/DkSearch/dksus.dll?WT.z_header=search_go&amp;lang=en&amp;keywords=LM358DGOS-ND%20ON%20Semiconductor" TargetMode="External"/><Relationship Id="rId316" Type="http://schemas.openxmlformats.org/officeDocument/2006/relationships/hyperlink" Target="http://www.mouser.com/ProductDetail/ON-Semiconductor/LM358DG/?qs=sGAEpiMZZMtCHixnSjNA6JBn1Gc5N1er0jhXq%252bVnapU%3D" TargetMode="External"/><Relationship Id="rId317" Type="http://schemas.openxmlformats.org/officeDocument/2006/relationships/hyperlink" Target="http://www.newark.com/on-semiconductor/lm358dg/op-amp-1mhz-0-6v-us-soic-8/dp/45J0748" TargetMode="External"/><Relationship Id="rId318" Type="http://schemas.openxmlformats.org/officeDocument/2006/relationships/hyperlink" Target="http://www.digikey.com/scripts/DkSearch/dksus.dll?WT.z_header=search_go&amp;lang=en&amp;keywords=571-7969493%20TE%20Connectivity" TargetMode="External"/><Relationship Id="rId319" Type="http://schemas.openxmlformats.org/officeDocument/2006/relationships/hyperlink" Target="http://www.mouser.com/ProductDetail/TE-Connectivity/796949-3/?qs=sGAEpiMZZMvZTcaMAxB2AI%252bwpTxbJbcRUzBoRGS63lc%3D" TargetMode="External"/><Relationship Id="rId320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321" Type="http://schemas.openxmlformats.org/officeDocument/2006/relationships/hyperlink" Target="http://www.digikey.com/scripts/DkSearch/dksus.dll?WT.z_header=search_go&amp;lang=en&amp;keywords=MURS360T3GOSCT-ND%20ON%20Semiconductor" TargetMode="External"/><Relationship Id="rId322" Type="http://schemas.openxmlformats.org/officeDocument/2006/relationships/hyperlink" Target="http://www.mouser.com/Search/Refine.aspx?Keyword=MURS360T3G%20ON%20Semiconductor" TargetMode="External"/><Relationship Id="rId323" Type="http://schemas.openxmlformats.org/officeDocument/2006/relationships/hyperlink" Target="http://www.newark.com/webapp/wcs/stores/servlet/Search?catalogId=15003&amp;langId=-1&amp;storeId=10194&amp;gs=true&amp;st=MURS360T3G%20ON%20Semiconductor" TargetMode="External"/><Relationship Id="rId324" Type="http://schemas.openxmlformats.org/officeDocument/2006/relationships/hyperlink" Target="http://www.digikey.com/scripts/DkSearch/dksus.dll?WT.z_header=search_go&amp;lang=en&amp;keywords=571-7969493%20TE%20Connectivity" TargetMode="External"/><Relationship Id="rId325" Type="http://schemas.openxmlformats.org/officeDocument/2006/relationships/hyperlink" Target="http://www.mouser.com/ProductDetail/TE-Connectivity/796949-3/?qs=sGAEpiMZZMvZTcaMAxB2AI%252bwpTxbJbcRUzBoRGS63lc%3D" TargetMode="External"/><Relationship Id="rId326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327" Type="http://schemas.openxmlformats.org/officeDocument/2006/relationships/hyperlink" Target="http://www.digikey.com/scripts/DkSearch/dksus.dll?WT.z_header=search_go&amp;lang=en&amp;keywords=576-1058-ND%20MICREL" TargetMode="External"/><Relationship Id="rId328" Type="http://schemas.openxmlformats.org/officeDocument/2006/relationships/hyperlink" Target="http://www.mouser.com/ProductDetail/Microchip-Technology-Micrel/MIC2025-2YM/?qs=sGAEpiMZZMuCmTIBzycWfNqZ9o%252bWaM6SN8gGkdG8gHU%3D" TargetMode="External"/><Relationship Id="rId329" Type="http://schemas.openxmlformats.org/officeDocument/2006/relationships/hyperlink" Target="http://www.newark.com/webapp/wcs/stores/servlet/Search?catalogId=15003&amp;langId=-1&amp;storeId=10194&amp;gs=true&amp;st=MIC2025-2YM%20MICREL" TargetMode="External"/><Relationship Id="rId330" Type="http://schemas.openxmlformats.org/officeDocument/2006/relationships/hyperlink" Target="http://www.digikey.com/scripts/DkSearch/dksus.dll?WT.z_header=search_go&amp;lang=en&amp;keywords=MF-USMF110-2CT-ND%20Bourns" TargetMode="External"/><Relationship Id="rId331" Type="http://schemas.openxmlformats.org/officeDocument/2006/relationships/hyperlink" Target="http://www.mouser.com/Search/Refine.aspx?Keyword=MF-USMF110-2%20Bourns" TargetMode="External"/><Relationship Id="rId332" Type="http://schemas.openxmlformats.org/officeDocument/2006/relationships/hyperlink" Target="http://www.newark.com/webapp/wcs/stores/servlet/Search?catalogId=15003&amp;langId=-1&amp;storeId=10194&amp;gs=true&amp;st=MF-USMF110-2%20Bourns" TargetMode="External"/><Relationship Id="rId333" Type="http://schemas.openxmlformats.org/officeDocument/2006/relationships/hyperlink" Target="http://www.digikey.com/scripts/DkSearch/dksus.dll?WT.z_header=search_go&amp;lang=en&amp;keywords=399-1096-1-ND%20Kemet" TargetMode="External"/><Relationship Id="rId334" Type="http://schemas.openxmlformats.org/officeDocument/2006/relationships/hyperlink" Target="http://www.mouser.com/ProductDetail/Kemet/C0603C104K4RACTU/?qs=sGAEpiMZZMs0AnBnWHyRQFqPnX0OlvcoGdtRY%252bgH1%2Fs%3D" TargetMode="External"/><Relationship Id="rId335" Type="http://schemas.openxmlformats.org/officeDocument/2006/relationships/hyperlink" Target="http://www.newark.com/kemet/c0603c104k4ractu/ceramic-capacitor-0-1uf-16v-x7r/dp/19C6005" TargetMode="External"/><Relationship Id="rId336" Type="http://schemas.openxmlformats.org/officeDocument/2006/relationships/hyperlink" Target="http://www.digikey.com/scripts/DkSearch/dksus.dll?WT.z_header=search_go&amp;lang=en&amp;keywords=399-1082-1-ND%20Kemet" TargetMode="External"/><Relationship Id="rId337" Type="http://schemas.openxmlformats.org/officeDocument/2006/relationships/hyperlink" Target="http://www.mouser.com/ProductDetail/Kemet/C0603C102K5RACTU/?qs=sGAEpiMZZMs0AnBnWHyRQI7HfOv1V98Mz5yd65dk19I%3D" TargetMode="External"/><Relationship Id="rId338" Type="http://schemas.openxmlformats.org/officeDocument/2006/relationships/hyperlink" Target="http://www.newark.com/kemet/c0603c102k5ractu/ceramic-capacitor-1000pf-50v-x7r/dp/51B220" TargetMode="External"/><Relationship Id="rId339" Type="http://schemas.openxmlformats.org/officeDocument/2006/relationships/hyperlink" Target="http://www.digikey.com/scripts/DkSearch/dksus.dll?WT.z_header=search_go&amp;lang=en&amp;keywords=399-7847-1-ND%20Kemet" TargetMode="External"/><Relationship Id="rId340" Type="http://schemas.openxmlformats.org/officeDocument/2006/relationships/hyperlink" Target="http://www.mouser.com/ProductDetail/Kemet/C0603C105K4RACTU/?qs=sGAEpiMZZMs0AnBnWHyRQKLP9quIYhdRNWcGDs%252b6gb0%3D" TargetMode="External"/><Relationship Id="rId341" Type="http://schemas.openxmlformats.org/officeDocument/2006/relationships/hyperlink" Target="http://www.newark.com/webapp/wcs/stores/servlet/Search?catalogId=15003&amp;langId=-1&amp;storeId=10194&amp;gs=true&amp;st=C0603C105K4RACTU%20Kemet" TargetMode="External"/><Relationship Id="rId342" Type="http://schemas.openxmlformats.org/officeDocument/2006/relationships/hyperlink" Target="http://www.digikey.com/scripts/DkSearch/dksus.dll?WT.z_header=search_go&amp;lang=en&amp;keywords=MF-USMF020-2CT-ND%20Bourns" TargetMode="External"/><Relationship Id="rId343" Type="http://schemas.openxmlformats.org/officeDocument/2006/relationships/hyperlink" Target="http://www.mouser.com/Search/Refine.aspx?Keyword=MF-USMF020-2%20Bourns" TargetMode="External"/><Relationship Id="rId344" Type="http://schemas.openxmlformats.org/officeDocument/2006/relationships/hyperlink" Target="http://www.newark.com/bourns/usmf020-2/fuse-ptc-reset-30v-200ma-1210/dp/88K5712" TargetMode="External"/><Relationship Id="rId345" Type="http://schemas.openxmlformats.org/officeDocument/2006/relationships/hyperlink" Target="http://www.digikey.com/scripts/DkSearch/dksus.dll?WT.z_header=search_go&amp;lang=en&amp;keywords=311-750KGRCT-ND%20Yageo" TargetMode="External"/><Relationship Id="rId346" Type="http://schemas.openxmlformats.org/officeDocument/2006/relationships/hyperlink" Target="http://www.mouser.com/Search/Refine.aspx?Keyword=RC0603JR-07750KL%20Yageo" TargetMode="External"/><Relationship Id="rId347" Type="http://schemas.openxmlformats.org/officeDocument/2006/relationships/hyperlink" Target="http://www.newark.com/webapp/wcs/stores/servlet/Search?catalogId=15003&amp;langId=-1&amp;storeId=10194&amp;gs=true&amp;st=RC0603JR-07750KL%20Yageo" TargetMode="External"/><Relationship Id="rId348" Type="http://schemas.openxmlformats.org/officeDocument/2006/relationships/hyperlink" Target="http://www.digikey.com/scripts/DkSearch/dksus.dll?WT.z_header=search_go&amp;lang=en&amp;keywords=399-1096-1-ND%20Kemet" TargetMode="External"/><Relationship Id="rId349" Type="http://schemas.openxmlformats.org/officeDocument/2006/relationships/hyperlink" Target="http://www.mouser.com/ProductDetail/Kemet/C0603C104K4RACTU/?qs=sGAEpiMZZMs0AnBnWHyRQFqPnX0OlvcoGdtRY%252bgH1%2Fs%3D" TargetMode="External"/><Relationship Id="rId350" Type="http://schemas.openxmlformats.org/officeDocument/2006/relationships/hyperlink" Target="http://www.newark.com/kemet/c0603c104k4ractu/ceramic-capacitor-0-1uf-16v-x7r/dp/19C6005" TargetMode="External"/><Relationship Id="rId351" Type="http://schemas.openxmlformats.org/officeDocument/2006/relationships/hyperlink" Target="http://www.digikey.com/scripts/DkSearch/dksus.dll?WT.z_header=search_go&amp;lang=en&amp;keywords=AT93C46DN-SH-B-ND%20ATMEL" TargetMode="External"/><Relationship Id="rId352" Type="http://schemas.openxmlformats.org/officeDocument/2006/relationships/hyperlink" Target="http://www.mouser.com/ProductDetail/Atmel/AT93C46DN-SH-B/?qs=sGAEpiMZZMuVhdAcoizlRQCaxkOsAon3BDCZyNl1pHY%3D" TargetMode="External"/><Relationship Id="rId353" Type="http://schemas.openxmlformats.org/officeDocument/2006/relationships/hyperlink" Target="http://www.newark.com/webapp/wcs/stores/servlet/Search?catalogId=15003&amp;langId=-1&amp;storeId=10194&amp;gs=true&amp;st=AT93C46DN-SH-B%20ATMEL" TargetMode="External"/><Relationship Id="rId354" Type="http://schemas.openxmlformats.org/officeDocument/2006/relationships/hyperlink" Target="http://www.digikey.com/scripts/DkSearch/dksus.dll?WT.z_header=search_go&amp;lang=en&amp;keywords=311-4.7KGRCT-ND%20Yageo" TargetMode="External"/><Relationship Id="rId355" Type="http://schemas.openxmlformats.org/officeDocument/2006/relationships/hyperlink" Target="http://www.mouser.com/Search/Refine.aspx?Keyword=RC0603JR-074K7L%20Yageo" TargetMode="External"/><Relationship Id="rId356" Type="http://schemas.openxmlformats.org/officeDocument/2006/relationships/hyperlink" Target="http://www.newark.com/webapp/wcs/stores/servlet/Search?catalogId=15003&amp;langId=-1&amp;storeId=10194&amp;gs=true&amp;st=RC0603JR-074K7L%20Yageo" TargetMode="External"/><Relationship Id="rId357" Type="http://schemas.openxmlformats.org/officeDocument/2006/relationships/hyperlink" Target="http://www.mouser.com/Search/Refine.aspx?Keyword=T491A106K006AT7280%20Kemet" TargetMode="External"/><Relationship Id="rId358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359" Type="http://schemas.openxmlformats.org/officeDocument/2006/relationships/hyperlink" Target="http://www.digikey.com/scripts/DkSearch/dksus.dll?WT.z_header=search_go&amp;lang=en&amp;keywords=MK60FX512VLQ15-ND%20Freescale%20Semiconductor" TargetMode="External"/><Relationship Id="rId360" Type="http://schemas.openxmlformats.org/officeDocument/2006/relationships/hyperlink" Target="http://www.mouser.com/ProductDetail/NXP-Freescale/MCIMX6D5EYM10AC/?qs=sGAEpiMZZMu0J0Wcc3HWIl%252bJDX%2FlE5gFiFnsIy5GC%252b8%3D" TargetMode="External"/><Relationship Id="rId361" Type="http://schemas.openxmlformats.org/officeDocument/2006/relationships/hyperlink" Target="http://www.newark.com/webapp/wcs/stores/servlet/Search?catalogId=15003&amp;langId=-1&amp;storeId=10194&amp;gs=true&amp;st=MCIMX6D5EYM10AC%20Freescale%20Semiconductor" TargetMode="External"/><Relationship Id="rId362" Type="http://schemas.openxmlformats.org/officeDocument/2006/relationships/hyperlink" Target="http://www.digikey.com/scripts/DkSearch/dksus.dll?WT.z_header=search_go&amp;lang=en&amp;keywords=571-7969493%20TE%20Connectivity" TargetMode="External"/><Relationship Id="rId363" Type="http://schemas.openxmlformats.org/officeDocument/2006/relationships/hyperlink" Target="http://www.mouser.com/ProductDetail/TE-Connectivity/796949-3/?qs=sGAEpiMZZMvZTcaMAxB2AI%252bwpTxbJbcRUzBoRGS63lc%3D" TargetMode="External"/><Relationship Id="rId364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365" Type="http://schemas.openxmlformats.org/officeDocument/2006/relationships/hyperlink" Target="http://www.digikey.com/scripts/DkSearch/dksus.dll?WT.z_header=search_go&amp;lang=en&amp;keywords=MF-USMF005-2CT-ND%20Bourns" TargetMode="External"/><Relationship Id="rId366" Type="http://schemas.openxmlformats.org/officeDocument/2006/relationships/hyperlink" Target="http://www.mouser.com/Search/Refine.aspx?Keyword=MF-USMF005-2%20Bourns" TargetMode="External"/><Relationship Id="rId367" Type="http://schemas.openxmlformats.org/officeDocument/2006/relationships/hyperlink" Target="http://www.newark.com/bourns/usmf005-2/fuse-ptc-reset-30v-50ma-1210/dp/75K7706" TargetMode="External"/><Relationship Id="rId368" Type="http://schemas.openxmlformats.org/officeDocument/2006/relationships/hyperlink" Target="http://www.digikey.com/scripts/DkSearch/dksus.dll?WT.z_header=search_go&amp;lang=en&amp;keywords=311-4.7KERCT-ND%20Yageo" TargetMode="External"/><Relationship Id="rId369" Type="http://schemas.openxmlformats.org/officeDocument/2006/relationships/hyperlink" Target="http://www.mouser.com/Search/Refine.aspx?Keyword=RC1206JR-074K7L%20Yageo" TargetMode="External"/><Relationship Id="rId370" Type="http://schemas.openxmlformats.org/officeDocument/2006/relationships/hyperlink" Target="http://www.newark.com/webapp/wcs/stores/servlet/Search?catalogId=15003&amp;langId=-1&amp;storeId=10194&amp;gs=true&amp;st=RC1206JR-074K7L%20Yageo" TargetMode="External"/><Relationship Id="rId371" Type="http://schemas.openxmlformats.org/officeDocument/2006/relationships/hyperlink" Target="http://www.digikey.com/scripts/DkSearch/dksus.dll?WT.z_header=search_go&amp;lang=en&amp;keywords=1080-1400-1-ND%20Everlight%20Electronics%20Co%20Ltd" TargetMode="External"/><Relationship Id="rId372" Type="http://schemas.openxmlformats.org/officeDocument/2006/relationships/hyperlink" Target="http://www.digikey.com/scripts/DkSearch/dksus.dll?WT.z_header=search_go&amp;lang=en&amp;keywords=571-7969492%20TE%20Connectivity" TargetMode="External"/><Relationship Id="rId373" Type="http://schemas.openxmlformats.org/officeDocument/2006/relationships/hyperlink" Target="http://www.mouser.com/ProductDetail/TE-Connectivity/796949-2/?qs=sGAEpiMZZMvZTcaMAxB2AI%252bwpTxbJbcRDkOqnLm049E%3D" TargetMode="External"/><Relationship Id="rId374" Type="http://schemas.openxmlformats.org/officeDocument/2006/relationships/hyperlink" Target="http://www.newark.com/webapp/wcs/stores/servlet/Search?catalogId=15003&amp;langId=-1&amp;storeId=10194&amp;gs=true&amp;st=796949-2%20TE%20Connectivity" TargetMode="External"/><Relationship Id="rId375" Type="http://schemas.openxmlformats.org/officeDocument/2006/relationships/hyperlink" Target="http://www.digikey.com/product-detail/en/on-semiconductor/BAV199LT1G/BAV199LT1GOSCT-ND/917816" TargetMode="External"/><Relationship Id="rId376" Type="http://schemas.openxmlformats.org/officeDocument/2006/relationships/hyperlink" Target="http://www.mouser.com/ProductDetail/ON-Semiconductor/BAV199LT1G/?qs=sGAEpiMZZMtoHjESLttvkpH5EyJOXmERCjB%2Fz6ikl2k%3D" TargetMode="External"/><Relationship Id="rId377" Type="http://schemas.openxmlformats.org/officeDocument/2006/relationships/hyperlink" Target="http://www.newark.com/webapp/wcs/stores/servlet/Search?catalogId=15003&amp;langId=-1&amp;storeId=10194&amp;gs=true&amp;st=BAV199LT1G%20ON%20Semiconductor" TargetMode="External"/><Relationship Id="rId378" Type="http://schemas.openxmlformats.org/officeDocument/2006/relationships/hyperlink" Target="http://www.digikey.com/scripts/DkSearch/dksus.dll?WT.z_header=search_go&amp;lang=en&amp;keywords=311-22GRCT-ND%20Yageo" TargetMode="External"/><Relationship Id="rId379" Type="http://schemas.openxmlformats.org/officeDocument/2006/relationships/hyperlink" Target="http://www.mouser.com/Search/Refine.aspx?Keyword=RC0603JR-0722RL%20Yageo" TargetMode="External"/><Relationship Id="rId380" Type="http://schemas.openxmlformats.org/officeDocument/2006/relationships/hyperlink" Target="http://www.newark.com/webapp/wcs/stores/servlet/Search?catalogId=15003&amp;langId=-1&amp;storeId=10194&amp;gs=true&amp;st=RC0603JR-0722RL%20Yageo" TargetMode="External"/><Relationship Id="rId381" Type="http://schemas.openxmlformats.org/officeDocument/2006/relationships/hyperlink" Target="http://www.digikey.com/scripts/DkSearch/dksus.dll?WT.z_header=search_go&amp;lang=en&amp;keywords=568-10522-1-ND%20NXP%20Semiconductors" TargetMode="External"/><Relationship Id="rId382" Type="http://schemas.openxmlformats.org/officeDocument/2006/relationships/hyperlink" Target="http://www.mouser.com/ProductDetail/NXP-Semiconductors/PBSS5240XF/?qs=sGAEpiMZZMshyDBzk1%2FWi0lhFf%252bEKMOlQJNXbleUVkI%3D" TargetMode="External"/><Relationship Id="rId383" Type="http://schemas.openxmlformats.org/officeDocument/2006/relationships/hyperlink" Target="http://www.newark.com/webapp/wcs/stores/servlet/Search?catalogId=15003&amp;langId=-1&amp;storeId=10194&amp;gs=true&amp;st=PBSS5240XF%20NXP%20Semiconductors" TargetMode="External"/><Relationship Id="rId384" Type="http://schemas.openxmlformats.org/officeDocument/2006/relationships/hyperlink" Target="http://www.digikey.com/scripts/DkSearch/dksus.dll?WT.z_header=search_go&amp;lang=en&amp;keywords=311-2.2KGRCT-ND%20Yageo" TargetMode="External"/><Relationship Id="rId385" Type="http://schemas.openxmlformats.org/officeDocument/2006/relationships/hyperlink" Target="http://www.mouser.com/Search/Refine.aspx?Keyword=RC0603JR-072K2L%20Yageo" TargetMode="External"/><Relationship Id="rId386" Type="http://schemas.openxmlformats.org/officeDocument/2006/relationships/hyperlink" Target="http://www.newark.com/webapp/wcs/stores/servlet/Search?catalogId=15003&amp;langId=-1&amp;storeId=10194&amp;gs=true&amp;st=RC0603JR-072K2L%20Yageo" TargetMode="External"/><Relationship Id="rId387" Type="http://schemas.openxmlformats.org/officeDocument/2006/relationships/hyperlink" Target="http://www.digikey.com/scripts/DkSearch/dksus.dll?WT.z_header=search_go&amp;lang=en&amp;keywords=MCP1416T-E%2FOTCT-ND%20Microchip" TargetMode="External"/><Relationship Id="rId388" Type="http://schemas.openxmlformats.org/officeDocument/2006/relationships/hyperlink" Target="http://www.mouser.com/Search/Refine.aspx?Keyword=MCP1416T-E%2FOT%20Microchip" TargetMode="External"/><Relationship Id="rId389" Type="http://schemas.openxmlformats.org/officeDocument/2006/relationships/hyperlink" Target="http://www.newark.com/microchip/mcp1416t-e-ot/ic-mosfet-driver-non-inv-sot23/dp/04R7655" TargetMode="External"/><Relationship Id="rId390" Type="http://schemas.openxmlformats.org/officeDocument/2006/relationships/hyperlink" Target="http://www.digikey.com/scripts/DkSearch/dksus.dll?WT.z_header=search_go&amp;lang=en&amp;keywords=311-2.2KGRCT-ND%20Yageo" TargetMode="External"/><Relationship Id="rId391" Type="http://schemas.openxmlformats.org/officeDocument/2006/relationships/hyperlink" Target="http://www.mouser.com/Search/Refine.aspx?Keyword=RC0603JR-072K2L%20Yageo" TargetMode="External"/><Relationship Id="rId392" Type="http://schemas.openxmlformats.org/officeDocument/2006/relationships/hyperlink" Target="http://www.newark.com/webapp/wcs/stores/servlet/Search?catalogId=15003&amp;langId=-1&amp;storeId=10194&amp;gs=true&amp;st=RC0603JR-072K2L%20Yageo" TargetMode="External"/><Relationship Id="rId393" Type="http://schemas.openxmlformats.org/officeDocument/2006/relationships/hyperlink" Target="http://www.digikey.com/scripts/DkSearch/dksus.dll?WT.z_header=search_go&amp;lang=en&amp;keywords=1080-1400-1-ND%20Everlight%20Electronics%20Co%20Ltd" TargetMode="External"/><Relationship Id="rId394" Type="http://schemas.openxmlformats.org/officeDocument/2006/relationships/hyperlink" Target="http://www.digikey.com/scripts/DkSearch/dksus.dll?WT.z_header=search_go&amp;lang=en&amp;keywords=311-4.7KGRCT-ND%20Yageo" TargetMode="External"/><Relationship Id="rId395" Type="http://schemas.openxmlformats.org/officeDocument/2006/relationships/hyperlink" Target="http://www.mouser.com/Search/Refine.aspx?Keyword=RC0603JR-074K7L%20Yageo" TargetMode="External"/><Relationship Id="rId396" Type="http://schemas.openxmlformats.org/officeDocument/2006/relationships/hyperlink" Target="http://www.newark.com/webapp/wcs/stores/servlet/Search?catalogId=15003&amp;langId=-1&amp;storeId=10194&amp;gs=true&amp;st=RC0603JR-074K7L%20Yageo" TargetMode="External"/><Relationship Id="rId397" Type="http://schemas.openxmlformats.org/officeDocument/2006/relationships/hyperlink" Target="http://www.digikey.com/scripts/DkSearch/dksus.dll?WT.z_header=search_go&amp;lang=en&amp;keywords=493-9422-1-ND%20Nichicon" TargetMode="External"/><Relationship Id="rId398" Type="http://schemas.openxmlformats.org/officeDocument/2006/relationships/hyperlink" Target="http://www.mouser.com/Search/Refine.aspx?Keyword=UCW1E331MNL1GS%20Nichicon" TargetMode="External"/><Relationship Id="rId399" Type="http://schemas.openxmlformats.org/officeDocument/2006/relationships/hyperlink" Target="http://www.digikey.com/scripts/DkSearch/dksus.dll?WT.z_header=search_go&amp;lang=en&amp;keywords=311-4.7KGRCT-ND%20Yageo" TargetMode="External"/><Relationship Id="rId400" Type="http://schemas.openxmlformats.org/officeDocument/2006/relationships/hyperlink" Target="http://www.mouser.com/Search/Refine.aspx?Keyword=RC0603JR-074K7L%20Yageo" TargetMode="External"/><Relationship Id="rId401" Type="http://schemas.openxmlformats.org/officeDocument/2006/relationships/hyperlink" Target="http://www.newark.com/webapp/wcs/stores/servlet/Search?catalogId=15003&amp;langId=-1&amp;storeId=10194&amp;gs=true&amp;st=RC0603JR-074K7L%20Yageo" TargetMode="External"/><Relationship Id="rId402" Type="http://schemas.openxmlformats.org/officeDocument/2006/relationships/hyperlink" Target="http://www.digikey.com/scripts/DkSearch/dksus.dll?WT.z_header=search_go&amp;lang=en&amp;keywords=1080-1399-1-ND%20Everlight%20Electronics%20Co%20Ltd" TargetMode="External"/><Relationship Id="rId403" Type="http://schemas.openxmlformats.org/officeDocument/2006/relationships/hyperlink" Target="http://www.digikey.com/scripts/DkSearch/dksus.dll?WT.z_header=search_go&amp;lang=en&amp;keywords=336-2889-ND%20Silicon%20Laboratories" TargetMode="External"/><Relationship Id="rId404" Type="http://schemas.openxmlformats.org/officeDocument/2006/relationships/hyperlink" Target="http://www.mouser.com/Search/Refine.aspx?Keyword=501HCA12M0000CAG%20Silicon%20Laboratories" TargetMode="External"/><Relationship Id="rId405" Type="http://schemas.openxmlformats.org/officeDocument/2006/relationships/hyperlink" Target="http://www.mouser.com/ProductDetail/Cypress-Semiconductor/S25FL032P0XMFI013/?qs=sGAEpiMZZMtI%252bQ06EiAoGzAIDceP6I%2Fj%252bcrMfw7%252bom4%3D" TargetMode="External"/><Relationship Id="rId406" Type="http://schemas.openxmlformats.org/officeDocument/2006/relationships/hyperlink" Target="http://www.newark.com/webapp/wcs/stores/servlet/Search?catalogId=15003&amp;langId=-1&amp;storeId=10194&amp;gs=true&amp;st=S25FL032P0XMFI013%20Spansion%20Inc." TargetMode="External"/><Relationship Id="rId407" Type="http://schemas.openxmlformats.org/officeDocument/2006/relationships/hyperlink" Target="http://www.digikey.com/scripts/DkSearch/dksus.dll?WT.z_header=search_go&amp;lang=en&amp;keywords=P237DBCT-ND%20Panasonic%20Electronic%20Components" TargetMode="External"/><Relationship Id="rId408" Type="http://schemas.openxmlformats.org/officeDocument/2006/relationships/hyperlink" Target="http://www.mouser.com/Search/Refine.aspx?Keyword=ERA-3AEB2370V%20Panasonic%20Electronic%20Components" TargetMode="External"/><Relationship Id="rId409" Type="http://schemas.openxmlformats.org/officeDocument/2006/relationships/hyperlink" Target="http://www.newark.com/webapp/wcs/stores/servlet/Search?catalogId=15003&amp;langId=-1&amp;storeId=10194&amp;gs=true&amp;st=ERA-3AEB2370V%20Panasonic%20Electronic%20Components" TargetMode="External"/><Relationship Id="rId410" Type="http://schemas.openxmlformats.org/officeDocument/2006/relationships/hyperlink" Target="http://www.digikey.com/scripts/DkSearch/dksus.dll?WT.z_header=search_go&amp;lang=en&amp;keywords=311-220GRCT-ND%20Yageo" TargetMode="External"/><Relationship Id="rId411" Type="http://schemas.openxmlformats.org/officeDocument/2006/relationships/hyperlink" Target="http://www.mouser.com/Search/Refine.aspx?Keyword=RC0603JR-07220RL%20Yageo" TargetMode="External"/><Relationship Id="rId412" Type="http://schemas.openxmlformats.org/officeDocument/2006/relationships/hyperlink" Target="http://www.newark.com/webapp/wcs/stores/servlet/Search?catalogId=15003&amp;langId=-1&amp;storeId=10194&amp;gs=true&amp;st=RC0603JR-07220RL%20Yageo" TargetMode="External"/><Relationship Id="rId413" Type="http://schemas.openxmlformats.org/officeDocument/2006/relationships/hyperlink" Target="http://www.mouser.com/Search/Refine.aspx?Keyword=T491A106K006AT7280%20Kemet" TargetMode="External"/><Relationship Id="rId414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415" Type="http://schemas.openxmlformats.org/officeDocument/2006/relationships/hyperlink" Target="http://www.digikey.com/scripts/DkSearch/dksus.dll?WT.z_header=search_go&amp;lang=en&amp;keywords=311-270GRCT-ND%20Yageo" TargetMode="External"/><Relationship Id="rId416" Type="http://schemas.openxmlformats.org/officeDocument/2006/relationships/hyperlink" Target="http://www.mouser.com/Search/Refine.aspx?Keyword=RC0603JR-07270RL%20Yageo" TargetMode="External"/><Relationship Id="rId417" Type="http://schemas.openxmlformats.org/officeDocument/2006/relationships/hyperlink" Target="http://www.newark.com/webapp/wcs/stores/servlet/Search?catalogId=15003&amp;langId=-1&amp;storeId=10194&amp;gs=true&amp;st=RC0603JR-07270RL%20Yageo" TargetMode="External"/><Relationship Id="rId418" Type="http://schemas.openxmlformats.org/officeDocument/2006/relationships/hyperlink" Target="http://www.digikey.com/scripts/DkSearch/dksus.dll?WT.z_header=search_go&amp;lang=en&amp;keywords=311-10KGRCT-ND%20Yageo" TargetMode="External"/><Relationship Id="rId419" Type="http://schemas.openxmlformats.org/officeDocument/2006/relationships/hyperlink" Target="http://www.mouser.com/Search/Refine.aspx?Keyword=RC0603JR-0710KL%20Yageo" TargetMode="External"/><Relationship Id="rId420" Type="http://schemas.openxmlformats.org/officeDocument/2006/relationships/hyperlink" Target="http://www.newark.com/webapp/wcs/stores/servlet/Search?catalogId=15003&amp;langId=-1&amp;storeId=10194&amp;gs=true&amp;st=RC0603JR-0710KL%20Yageo" TargetMode="External"/><Relationship Id="rId421" Type="http://schemas.openxmlformats.org/officeDocument/2006/relationships/hyperlink" Target="http://www.digikey.com/scripts/DkSearch/dksus.dll?WT.z_header=search_go&amp;lang=en&amp;keywords=399-7824-1-ND%20Kemet" TargetMode="External"/><Relationship Id="rId422" Type="http://schemas.openxmlformats.org/officeDocument/2006/relationships/hyperlink" Target="http://www.mouser.com/ProductDetail/Kemet/C0603C101K5RACTU/?qs=sGAEpiMZZMs0AnBnWHyRQI4PQWGalU38VuVjNuqAb6c%3D" TargetMode="External"/><Relationship Id="rId423" Type="http://schemas.openxmlformats.org/officeDocument/2006/relationships/hyperlink" Target="http://www.newark.com/kemet/c0603c101k5ractu/mlcc-capacitor-100pf-50v-x7r-10/dp/87H6465" TargetMode="External"/><Relationship Id="rId424" Type="http://schemas.openxmlformats.org/officeDocument/2006/relationships/hyperlink" Target="http://www.digikey.com/scripts/DkSearch/dksus.dll?WT.z_header=search_go&amp;lang=en&amp;keywords=571-7969493%20TE%20Connectivity" TargetMode="External"/><Relationship Id="rId425" Type="http://schemas.openxmlformats.org/officeDocument/2006/relationships/hyperlink" Target="http://www.mouser.com/ProductDetail/TE-Connectivity/796949-3/?qs=sGAEpiMZZMvZTcaMAxB2AI%252bwpTxbJbcRUzBoRGS63lc%3D" TargetMode="External"/><Relationship Id="rId426" Type="http://schemas.openxmlformats.org/officeDocument/2006/relationships/hyperlink" Target="http://www.newark.com/webapp/wcs/stores/servlet/Search?catalogId=15003&amp;langId=-1&amp;storeId=10194&amp;gs=true&amp;st=796949-3%20TE%20Connectivity" TargetMode="External"/><Relationship Id="rId427" Type="http://schemas.openxmlformats.org/officeDocument/2006/relationships/hyperlink" Target="http://www.digikey.com/scripts/DkSearch/dksus.dll?WT.z_header=search_go&amp;lang=en&amp;keywords=766-1006-1-ND%20ON%20Semiconductor" TargetMode="External"/><Relationship Id="rId428" Type="http://schemas.openxmlformats.org/officeDocument/2006/relationships/hyperlink" Target="http://www.mouser.com/Search/Refine.aspx?Keyword=AMIS42665TJAA1RG%20ON%20Semiconductor" TargetMode="External"/><Relationship Id="rId429" Type="http://schemas.openxmlformats.org/officeDocument/2006/relationships/hyperlink" Target="http://www.newark.com/on-semiconductor/amis42665tjaa1g/can-transceiver-1mbps-1-1-5-25v/dp/03P1160" TargetMode="External"/><Relationship Id="rId430" Type="http://schemas.openxmlformats.org/officeDocument/2006/relationships/hyperlink" Target="http://www.digikey.com/scripts/DkSearch/dksus.dll?WT.z_header=search_go&amp;lang=en&amp;keywords=RT0603BRD0724R9L-ND%20Yageo" TargetMode="External"/><Relationship Id="rId431" Type="http://schemas.openxmlformats.org/officeDocument/2006/relationships/hyperlink" Target="http://www.mouser.com/Search/Refine.aspx?Keyword=RT0603BRD0724R9L%20Yageo" TargetMode="External"/><Relationship Id="rId432" Type="http://schemas.openxmlformats.org/officeDocument/2006/relationships/hyperlink" Target="http://www.digikey.com/scripts/DkSearch/dksus.dll?WT.z_header=search_go&amp;lang=en&amp;keywords=1080-1400-1-ND%20Everlight%20Electronics%20Co%20Ltd" TargetMode="External"/><Relationship Id="rId433" Type="http://schemas.openxmlformats.org/officeDocument/2006/relationships/hyperlink" Target="http://www.digikey.com/scripts/DkSearch/dksus.dll?WT.z_header=search_go&amp;lang=en&amp;keywords=311-2.2KGRCT-ND%20Yageo" TargetMode="External"/><Relationship Id="rId434" Type="http://schemas.openxmlformats.org/officeDocument/2006/relationships/hyperlink" Target="http://www.mouser.com/Search/Refine.aspx?Keyword=RC0603JR-072K2L%20Yageo" TargetMode="External"/><Relationship Id="rId435" Type="http://schemas.openxmlformats.org/officeDocument/2006/relationships/hyperlink" Target="http://www.newark.com/webapp/wcs/stores/servlet/Search?catalogId=15003&amp;langId=-1&amp;storeId=10194&amp;gs=true&amp;st=RC0603JR-072K2L%20Yageo" TargetMode="External"/><Relationship Id="rId43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I2" activeCellId="0" sqref="I2"/>
    </sheetView>
  </sheetViews>
  <sheetFormatPr defaultRowHeight="15"/>
  <cols>
    <col collapsed="false" hidden="false" max="1" min="1" style="0" width="27.6377551020408"/>
    <col collapsed="false" hidden="false" max="2" min="2" style="0" width="18.0510204081633"/>
    <col collapsed="false" hidden="false" max="3" min="3" style="0" width="19.0357142857143"/>
    <col collapsed="false" hidden="false" max="4" min="4" style="0" width="18.1887755102041"/>
    <col collapsed="false" hidden="false" max="5" min="5" style="0" width="16.9183673469388"/>
    <col collapsed="false" hidden="false" max="6" min="6" style="0" width="20.5918367346939"/>
    <col collapsed="false" hidden="false" max="7" min="7" style="0" width="6.3469387755102"/>
    <col collapsed="false" hidden="false" max="8" min="8" style="0" width="9.14285714285714"/>
    <col collapsed="false" hidden="false" max="9" min="9" style="0" width="12.6887755102041"/>
    <col collapsed="false" hidden="true" max="10" min="10" style="0" width="0"/>
    <col collapsed="false" hidden="true" max="12" min="11" style="0" width="0"/>
    <col collapsed="false" hidden="false" max="13" min="13" style="0" width="15.7142857142857"/>
    <col collapsed="false" hidden="true" max="15" min="14" style="0" width="0"/>
    <col collapsed="false" hidden="true" max="16" min="16" style="0" width="0"/>
    <col collapsed="false" hidden="true" max="18" min="17" style="0" width="0"/>
    <col collapsed="false" hidden="false" max="19" min="19" style="0" width="15.7142857142857"/>
    <col collapsed="false" hidden="true" max="21" min="20" style="0" width="0"/>
    <col collapsed="false" hidden="true" max="22" min="22" style="0" width="0"/>
    <col collapsed="false" hidden="true" max="24" min="23" style="0" width="0"/>
    <col collapsed="false" hidden="false" max="25" min="25" style="0" width="15.7142857142857"/>
    <col collapsed="false" hidden="true" max="27" min="26" style="0" width="0"/>
    <col collapsed="false" hidden="false" max="1025" min="28" style="0" width="8.72959183673469"/>
  </cols>
  <sheetData>
    <row r="1" customFormat="false" ht="15" hidden="false" customHeight="false" outlineLevel="0" collapsed="false">
      <c r="H1" s="1" t="s">
        <v>0</v>
      </c>
      <c r="I1" s="1" t="n">
        <v>50</v>
      </c>
    </row>
    <row r="2" customFormat="false" ht="15" hidden="false" customHeight="false" outlineLevel="0" collapsed="false">
      <c r="H2" s="2" t="s">
        <v>1</v>
      </c>
      <c r="I2" s="3" t="n">
        <f aca="false">SUM(I7:I171)</f>
        <v>5075.2145</v>
      </c>
      <c r="M2" s="3" t="n">
        <f aca="false">SUM(M7:M171)</f>
        <v>5282.0285</v>
      </c>
      <c r="S2" s="3" t="n">
        <f aca="false">SUM(S7:S171)</f>
        <v>11539.6</v>
      </c>
      <c r="Y2" s="3" t="n">
        <f aca="false">SUM(Y7:Y171)</f>
        <v>4071.5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101.50429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  <c r="E7" s="0" t="s">
        <v>24</v>
      </c>
      <c r="F7" s="0" t="s">
        <v>25</v>
      </c>
      <c r="G7" s="0" t="n">
        <f aca="false">BoardQty*1</f>
        <v>50</v>
      </c>
      <c r="H7" s="10" t="n">
        <f aca="true">MINA(INDIRECT(ADDRESS(ROW(),COLUMN(newark_part_data)+2)),INDIRECT(ADDRESS(ROW(),COLUMN(digikey_part_data)+2)),INDIRECT(ADDRESS(ROW(),COLUMN(mouser_part_data)+2)))</f>
        <v>0.542</v>
      </c>
      <c r="I7" s="10" t="n">
        <f aca="false">IFERROR(G7*H7,"")</f>
        <v>27.1</v>
      </c>
      <c r="J7" s="0" t="n">
        <v>1359</v>
      </c>
      <c r="L7" s="10" t="n">
        <f aca="false">IFERROR(LOOKUP(IF(K7="",G7,K7),{0,1,10,25,50,100,250,500,1000,2500},{0,1.05,0.737,0.6872,0.6238,0.6211,0.52448,0.49688,0.44166,0.36713}),"")</f>
        <v>0.6238</v>
      </c>
      <c r="M7" s="10" t="n">
        <f aca="false">IFERROR(IF(K7="",G7,K7)*L7,"")</f>
        <v>31.19</v>
      </c>
      <c r="N7" s="0" t="s">
        <v>26</v>
      </c>
      <c r="O7" s="11" t="s">
        <v>27</v>
      </c>
      <c r="P7" s="0" t="n">
        <v>3139</v>
      </c>
      <c r="R7" s="10" t="n">
        <f aca="false">IFERROR(LOOKUP(IF(Q7="",G7,Q7),{0,1,25,50,100,200,500,1000,2000,5000},{0,0.807,0.748,0.59,0.553,0.5,0.484,0.48,0.399,0.326}),"")</f>
        <v>0.59</v>
      </c>
      <c r="S7" s="10" t="n">
        <f aca="false">IFERROR(IF(Q7="",G7,Q7)*R7,"")</f>
        <v>29.5</v>
      </c>
      <c r="T7" s="0" t="s">
        <v>28</v>
      </c>
      <c r="U7" s="11" t="s">
        <v>27</v>
      </c>
      <c r="V7" s="0" t="n">
        <v>1845</v>
      </c>
      <c r="X7" s="10" t="n">
        <f aca="false">IFERROR(LOOKUP(IF(W7="",G7,W7),{0,1,25,50,100,200,500,1000,2000},{0,0.75,0.687,0.542,0.508,0.46,0.445,0.441,0.367}),"")</f>
        <v>0.542</v>
      </c>
      <c r="Y7" s="10" t="n">
        <f aca="false">IFERROR(IF(W7="",G7,W7)*X7,"")</f>
        <v>27.1</v>
      </c>
      <c r="Z7" s="0" t="s">
        <v>29</v>
      </c>
      <c r="AA7" s="11" t="s">
        <v>27</v>
      </c>
    </row>
    <row r="8" customFormat="false" ht="15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33</v>
      </c>
      <c r="E8" s="0" t="s">
        <v>34</v>
      </c>
      <c r="F8" s="0" t="s">
        <v>31</v>
      </c>
      <c r="G8" s="0" t="n">
        <f aca="false">BoardQty*1</f>
        <v>50</v>
      </c>
      <c r="H8" s="10" t="n">
        <f aca="true">MINA(INDIRECT(ADDRESS(ROW(),COLUMN(newark_part_data)+2)),INDIRECT(ADDRESS(ROW(),COLUMN(digikey_part_data)+2)),INDIRECT(ADDRESS(ROW(),COLUMN(mouser_part_data)+2)))</f>
        <v>0.287</v>
      </c>
      <c r="I8" s="10" t="n">
        <f aca="false">IFERROR(G8*H8,"")</f>
        <v>14.35</v>
      </c>
      <c r="J8" s="0" t="n">
        <v>55966</v>
      </c>
      <c r="L8" s="10" t="n">
        <f aca="false">IFERROR(LOOKUP(IF(K8="",G8,K8),{0,1,10,100,500,1000,3000,6000,15000,30000,75000,150000},{0,0.39,0.315,0.2148,0.1608,0.12044,0.10742,0.10091,0.0944,0.08658,0.08333,0.08007}),"")</f>
        <v>0.315</v>
      </c>
      <c r="M8" s="10" t="n">
        <f aca="false">IFERROR(IF(K8="",G8,K8)*L8,"")</f>
        <v>15.75</v>
      </c>
      <c r="N8" s="0" t="s">
        <v>35</v>
      </c>
      <c r="O8" s="11" t="s">
        <v>27</v>
      </c>
      <c r="P8" s="0" t="n">
        <v>26726</v>
      </c>
      <c r="R8" s="10" t="n">
        <f aca="false">IFERROR(LOOKUP(IF(Q8="",G8,Q8),{0,1,10,100,1000,3000,9000,24000,45000,99000},{0,0.368,0.287,0.156,0.117,0.1,0.094,0.086,0.083,0.081}),"")</f>
        <v>0.287</v>
      </c>
      <c r="S8" s="10" t="n">
        <f aca="false">IFERROR(IF(Q8="",G8,Q8)*R8,"")</f>
        <v>14.35</v>
      </c>
      <c r="T8" s="0" t="s">
        <v>36</v>
      </c>
      <c r="U8" s="11" t="s">
        <v>27</v>
      </c>
      <c r="V8" s="0" t="n">
        <v>3205</v>
      </c>
      <c r="X8" s="10" t="n">
        <f aca="false">IFERROR(LOOKUP(IF(W8="",G8,W8),{0,1,10,100,1000,3000,9000,24000,45000},{0,0.431,0.288,0.161,0.12,0.101,0.101,0.095,0.084}),"")</f>
        <v>0.288</v>
      </c>
      <c r="Y8" s="10" t="n">
        <f aca="false">IFERROR(IF(W8="",G8,W8)*X8,"")</f>
        <v>14.4</v>
      </c>
      <c r="Z8" s="0" t="s">
        <v>37</v>
      </c>
      <c r="AA8" s="11" t="s">
        <v>27</v>
      </c>
    </row>
    <row r="9" customFormat="false" ht="15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41</v>
      </c>
      <c r="E9" s="0" t="s">
        <v>42</v>
      </c>
      <c r="F9" s="0" t="s">
        <v>43</v>
      </c>
      <c r="G9" s="0" t="n">
        <f aca="false">BoardQty*2</f>
        <v>100</v>
      </c>
      <c r="H9" s="10" t="n">
        <f aca="true">MINA(INDIRECT(ADDRESS(ROW(),COLUMN(newark_part_data)+2)),INDIRECT(ADDRESS(ROW(),COLUMN(digikey_part_data)+2)),INDIRECT(ADDRESS(ROW(),COLUMN(mouser_part_data)+2)))</f>
        <v>1.1138</v>
      </c>
      <c r="I9" s="10" t="n">
        <f aca="false">IFERROR(G9*H9,"")</f>
        <v>111.38</v>
      </c>
      <c r="J9" s="0" t="n">
        <v>2311</v>
      </c>
      <c r="L9" s="10" t="n">
        <f aca="false">IFERROR(LOOKUP(IF(K9="",G9,K9),{0,1,10,25,100,250,500,1000,2000,6000,10000,50000},{0,1.98,1.609,1.2376,1.1138,0.99,0.8415,0.693,0.5985,0.585,0.5625,0.54}),"")</f>
        <v>1.1138</v>
      </c>
      <c r="M9" s="10" t="n">
        <f aca="false">IFERROR(IF(K9="",G9,K9)*L9,"")</f>
        <v>111.38</v>
      </c>
      <c r="N9" s="0" t="s">
        <v>44</v>
      </c>
      <c r="O9" s="11" t="s">
        <v>27</v>
      </c>
    </row>
    <row r="10" customFormat="false" ht="15" hidden="false" customHeight="false" outlineLevel="0" collapsed="false">
      <c r="A10" s="0" t="s">
        <v>45</v>
      </c>
      <c r="B10" s="0" t="s">
        <v>46</v>
      </c>
      <c r="C10" s="0" t="s">
        <v>47</v>
      </c>
      <c r="D10" s="0" t="s">
        <v>48</v>
      </c>
      <c r="E10" s="0" t="s">
        <v>49</v>
      </c>
      <c r="F10" s="0" t="s">
        <v>50</v>
      </c>
      <c r="G10" s="0" t="n">
        <f aca="false">BoardQty*9</f>
        <v>450</v>
      </c>
      <c r="H10" s="10" t="n">
        <f aca="true">MINA(INDIRECT(ADDRESS(ROW(),COLUMN(newark_part_data)+2)),INDIRECT(ADDRESS(ROW(),COLUMN(digikey_part_data)+2)),INDIRECT(ADDRESS(ROW(),COLUMN(mouser_part_data)+2)))</f>
        <v>0.003</v>
      </c>
      <c r="I10" s="10" t="n">
        <f aca="false">IFERROR(G10*H10,"")</f>
        <v>1.35</v>
      </c>
      <c r="J10" s="0" t="n">
        <v>2127128</v>
      </c>
      <c r="L10" s="10" t="n">
        <f aca="false">IFERROR(LOOKUP(IF(K10="",G10,K10),{0,1,10,25,100,250,500,1000,2500,5000,10000,25000,50000,125000},{0,0.1,0.011,0.008,0.0044,0.00336,0.0027,0.00198,0.00172,0.00129,0.00112,0.00099,0.0009,0.00089}),"")</f>
        <v>0.00336</v>
      </c>
      <c r="M10" s="10" t="n">
        <f aca="false">IFERROR(IF(K10="",G10,K10)*L10,"")</f>
        <v>1.512</v>
      </c>
      <c r="N10" s="0" t="s">
        <v>51</v>
      </c>
      <c r="O10" s="11" t="s">
        <v>27</v>
      </c>
      <c r="P10" s="0" t="n">
        <v>64357</v>
      </c>
      <c r="R10" s="10" t="n">
        <f aca="false">IFERROR(LOOKUP(IF(Q10="",G10,Q10),{0,1,10,100,1000,5000,50000},{0,0.099,0.008,0.003,0.002,0.002,0.001}),"")</f>
        <v>0.003</v>
      </c>
      <c r="S10" s="10" t="n">
        <f aca="false">IFERROR(IF(Q10="",G10,Q10)*R10,"")</f>
        <v>1.35</v>
      </c>
      <c r="T10" s="0" t="s">
        <v>52</v>
      </c>
      <c r="U10" s="11" t="s">
        <v>27</v>
      </c>
      <c r="V10" s="0" t="n">
        <v>3544</v>
      </c>
      <c r="X10" s="10" t="n">
        <f aca="false">IFERROR(LOOKUP(IF(W10="",G10,W10),{0,1,10,25,100,250,1000,5000,10000},{0,0.06,0.01,0.007,0.004,0.003,0.002,0.002,0.001}),"")</f>
        <v>0.003</v>
      </c>
      <c r="Y10" s="10" t="n">
        <f aca="false">IFERROR(IF(W10="",G10,W10)*X10,"")</f>
        <v>1.35</v>
      </c>
      <c r="Z10" s="0" t="s">
        <v>53</v>
      </c>
      <c r="AA10" s="11" t="s">
        <v>27</v>
      </c>
    </row>
    <row r="11" customFormat="false" ht="15" hidden="false" customHeight="false" outlineLevel="0" collapsed="false">
      <c r="A11" s="0" t="s">
        <v>54</v>
      </c>
      <c r="B11" s="0" t="s">
        <v>55</v>
      </c>
      <c r="C11" s="0" t="s">
        <v>56</v>
      </c>
      <c r="D11" s="0" t="s">
        <v>57</v>
      </c>
      <c r="E11" s="0" t="s">
        <v>24</v>
      </c>
      <c r="F11" s="0" t="s">
        <v>58</v>
      </c>
      <c r="G11" s="0" t="n">
        <f aca="false">BoardQty*1</f>
        <v>50</v>
      </c>
      <c r="H11" s="10" t="n">
        <f aca="true">MINA(INDIRECT(ADDRESS(ROW(),COLUMN(newark_part_data)+2)),INDIRECT(ADDRESS(ROW(),COLUMN(digikey_part_data)+2)),INDIRECT(ADDRESS(ROW(),COLUMN(mouser_part_data)+2)))</f>
        <v>0.88</v>
      </c>
      <c r="I11" s="10" t="n">
        <f aca="false">IFERROR(G11*H11,"")</f>
        <v>44</v>
      </c>
      <c r="J11" s="0" t="n">
        <v>644</v>
      </c>
      <c r="L11" s="10" t="n">
        <f aca="false">IFERROR(LOOKUP(IF(K11="",G11,K11),{0,1,10,25,50,100,250,500,1000,2500},{0,1.72,1.304,1.2084,1.0866,1.06,0.92752,0.848,0.7685,0.689}),"")</f>
        <v>1.0866</v>
      </c>
      <c r="M11" s="10" t="n">
        <f aca="false">IFERROR(IF(K11="",G11,K11)*L11,"")</f>
        <v>54.33</v>
      </c>
      <c r="N11" s="0" t="s">
        <v>59</v>
      </c>
      <c r="O11" s="11" t="s">
        <v>27</v>
      </c>
      <c r="P11" s="0" t="n">
        <v>2159</v>
      </c>
      <c r="R11" s="10" t="n">
        <f aca="false">IFERROR(LOOKUP(IF(Q11="",G11,Q11),{0,1,25,50,100,200,500,1000,2000,5000},{0,1.25,1.12,1.07,1.01,0.952,0.907,0.88,0.789,0.711}),"")</f>
        <v>1.07</v>
      </c>
      <c r="S11" s="10" t="n">
        <f aca="false">IFERROR(IF(Q11="",G11,Q11)*R11,"")</f>
        <v>53.5</v>
      </c>
      <c r="T11" s="0" t="s">
        <v>60</v>
      </c>
      <c r="U11" s="11" t="s">
        <v>27</v>
      </c>
      <c r="V11" s="0" t="n">
        <v>496</v>
      </c>
      <c r="X11" s="10" t="n">
        <f aca="false">IFERROR(LOOKUP(IF(W11="",G11,W11),{0,1,50,100,250,500},{0,1.1,0.88,0.81,0.77,0.73}),"")</f>
        <v>0.88</v>
      </c>
      <c r="Y11" s="10" t="n">
        <f aca="false">IFERROR(IF(W11="",G11,W11)*X11,"")</f>
        <v>44</v>
      </c>
      <c r="Z11" s="0" t="s">
        <v>61</v>
      </c>
      <c r="AA11" s="11" t="s">
        <v>27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s">
        <v>48</v>
      </c>
      <c r="E12" s="0" t="s">
        <v>49</v>
      </c>
      <c r="F12" s="0" t="s">
        <v>65</v>
      </c>
      <c r="G12" s="0" t="n">
        <f aca="false">BoardQty*1</f>
        <v>50</v>
      </c>
      <c r="H12" s="10" t="n">
        <f aca="true">MINA(INDIRECT(ADDRESS(ROW(),COLUMN(newark_part_data)+2)),INDIRECT(ADDRESS(ROW(),COLUMN(digikey_part_data)+2)),INDIRECT(ADDRESS(ROW(),COLUMN(mouser_part_data)+2)))</f>
        <v>0.007</v>
      </c>
      <c r="I12" s="10" t="n">
        <f aca="false">IFERROR(G12*H12,"")</f>
        <v>0.35</v>
      </c>
      <c r="J12" s="0" t="n">
        <v>91896</v>
      </c>
      <c r="L12" s="10" t="n">
        <f aca="false">IFERROR(LOOKUP(IF(K12="",G12,K12),{0,1,10,25,100,250,500,1000,2500,5000,10000,25000,50000,125000},{0,0.1,0.011,0.008,0.0044,0.00336,0.0027,0.00198,0.00172,0.00129,0.00112,0.00099,0.0009,0.00089}),"")</f>
        <v>0.008</v>
      </c>
      <c r="M12" s="10" t="n">
        <f aca="false">IFERROR(IF(K12="",G12,K12)*L12,"")</f>
        <v>0.4</v>
      </c>
      <c r="N12" s="0" t="s">
        <v>66</v>
      </c>
      <c r="O12" s="11" t="s">
        <v>27</v>
      </c>
      <c r="P12" s="0" t="n">
        <v>12295</v>
      </c>
      <c r="R12" s="10" t="n">
        <f aca="false">IFERROR(LOOKUP(IF(Q12="",G12,Q12),{0,1,10,100,1000,5000,50000},{0,0.099,0.008,0.003,0.002,0.002,0.001}),"")</f>
        <v>0.008</v>
      </c>
      <c r="S12" s="10" t="n">
        <f aca="false">IFERROR(IF(Q12="",G12,Q12)*R12,"")</f>
        <v>0.4</v>
      </c>
      <c r="T12" s="0" t="s">
        <v>67</v>
      </c>
      <c r="U12" s="11" t="s">
        <v>27</v>
      </c>
      <c r="V12" s="0" t="n">
        <v>12721</v>
      </c>
      <c r="X12" s="10" t="n">
        <f aca="false">IFERROR(LOOKUP(IF(W12="",G12,W12),{0,1,10,25,100,250,1000,5000,10000},{0,0.06,0.01,0.007,0.004,0.003,0.002,0.002,0.001}),"")</f>
        <v>0.007</v>
      </c>
      <c r="Y12" s="10" t="n">
        <f aca="false">IFERROR(IF(W12="",G12,W12)*X12,"")</f>
        <v>0.35</v>
      </c>
      <c r="Z12" s="0" t="s">
        <v>68</v>
      </c>
      <c r="AA12" s="11" t="s">
        <v>27</v>
      </c>
    </row>
    <row r="13" customFormat="false" ht="15" hidden="false" customHeight="false" outlineLevel="0" collapsed="false">
      <c r="A13" s="0" t="s">
        <v>69</v>
      </c>
      <c r="B13" s="0" t="s">
        <v>70</v>
      </c>
      <c r="C13" s="0" t="s">
        <v>71</v>
      </c>
      <c r="D13" s="0" t="s">
        <v>72</v>
      </c>
      <c r="G13" s="0" t="n">
        <f aca="false">BoardQty*4</f>
        <v>200</v>
      </c>
      <c r="H13" s="10" t="n">
        <f aca="true">MINA(INDIRECT(ADDRESS(ROW(),COLUMN(newark_part_data)+2)),INDIRECT(ADDRESS(ROW(),COLUMN(digikey_part_data)+2)),INDIRECT(ADDRESS(ROW(),COLUMN(mouser_part_data)+2)))</f>
        <v>0</v>
      </c>
      <c r="I13" s="10" t="n">
        <f aca="false">IFERROR(G13*H13,"")</f>
        <v>0</v>
      </c>
    </row>
    <row r="14" customFormat="false" ht="15" hidden="false" customHeight="false" outlineLevel="0" collapsed="false">
      <c r="A14" s="0" t="s">
        <v>73</v>
      </c>
      <c r="B14" s="0" t="s">
        <v>74</v>
      </c>
      <c r="C14" s="0" t="s">
        <v>75</v>
      </c>
      <c r="D14" s="0" t="s">
        <v>76</v>
      </c>
      <c r="E14" s="0" t="s">
        <v>77</v>
      </c>
      <c r="F14" s="0" t="s">
        <v>78</v>
      </c>
      <c r="G14" s="0" t="n">
        <f aca="false">BoardQty*1</f>
        <v>50</v>
      </c>
      <c r="H14" s="10" t="n">
        <f aca="true">MINA(INDIRECT(ADDRESS(ROW(),COLUMN(newark_part_data)+2)),INDIRECT(ADDRESS(ROW(),COLUMN(digikey_part_data)+2)),INDIRECT(ADDRESS(ROW(),COLUMN(mouser_part_data)+2)))</f>
        <v>0.324</v>
      </c>
      <c r="I14" s="10" t="n">
        <f aca="false">IFERROR(G14*H14,"")</f>
        <v>16.2</v>
      </c>
      <c r="J14" s="0" t="n">
        <v>3163</v>
      </c>
      <c r="L14" s="10" t="n">
        <f aca="false">IFERROR(LOOKUP(IF(K14="",G14,K14),{0,1,10,100,750,1500,2250,3200,5250,18750,37500,75000},{0,0.44,0.358,0.2442,0.1776,0.1332,0.1221,0.1221,0.1147,0.1073,0.09842,0.09472}),"")</f>
        <v>0.358</v>
      </c>
      <c r="M14" s="10" t="n">
        <f aca="false">IFERROR(IF(K14="",G14,K14)*L14,"")</f>
        <v>17.9</v>
      </c>
      <c r="N14" s="0" t="s">
        <v>79</v>
      </c>
      <c r="O14" s="11" t="s">
        <v>27</v>
      </c>
      <c r="P14" s="0" t="n">
        <v>0</v>
      </c>
      <c r="R14" s="10" t="n">
        <f aca="false">IFERROR(LOOKUP(IF(Q14="",G14,Q14),{0,1,10,100,3200},{0,0.483,0.324,0.288,0.288}),"")</f>
        <v>0.324</v>
      </c>
      <c r="S14" s="10" t="n">
        <f aca="false">IFERROR(IF(Q14="",G14,Q14)*R14,"")</f>
        <v>16.2</v>
      </c>
      <c r="T14" s="0" t="s">
        <v>80</v>
      </c>
      <c r="U14" s="11" t="s">
        <v>27</v>
      </c>
      <c r="AA14" s="11" t="s">
        <v>27</v>
      </c>
    </row>
    <row r="15" customFormat="false" ht="15" hidden="false" customHeight="false" outlineLevel="0" collapsed="false">
      <c r="A15" s="0" t="s">
        <v>81</v>
      </c>
      <c r="B15" s="0" t="s">
        <v>82</v>
      </c>
      <c r="C15" s="0" t="s">
        <v>83</v>
      </c>
      <c r="D15" s="0" t="s">
        <v>84</v>
      </c>
      <c r="E15" s="0" t="s">
        <v>85</v>
      </c>
      <c r="F15" s="0" t="s">
        <v>86</v>
      </c>
      <c r="G15" s="0" t="n">
        <f aca="false">BoardQty*4</f>
        <v>200</v>
      </c>
      <c r="H15" s="10" t="n">
        <f aca="true">MINA(INDIRECT(ADDRESS(ROW(),COLUMN(newark_part_data)+2)),INDIRECT(ADDRESS(ROW(),COLUMN(digikey_part_data)+2)),INDIRECT(ADDRESS(ROW(),COLUMN(mouser_part_data)+2)))</f>
        <v>0.0523</v>
      </c>
      <c r="I15" s="10" t="n">
        <f aca="false">IFERROR(G15*H15,"")</f>
        <v>10.46</v>
      </c>
      <c r="J15" s="0" t="n">
        <v>2493</v>
      </c>
      <c r="L15" s="10" t="n">
        <f aca="false">IFERROR(LOOKUP(IF(K15="",G15,K15),{0,1,10,50,100,250,500,1000,4000,8000,12000,28000,100000},{0,0.1,0.087,0.0712,0.0523,0.038,0.03484,0.0301,0.02304,0.02088,0.02016,0.01872,0.0185}),"")</f>
        <v>0.0523</v>
      </c>
      <c r="M15" s="10" t="n">
        <f aca="false">IFERROR(IF(K15="",G15,K15)*L15,"")</f>
        <v>10.46</v>
      </c>
      <c r="N15" s="0" t="s">
        <v>87</v>
      </c>
      <c r="O15" s="11" t="s">
        <v>27</v>
      </c>
      <c r="U15" s="11" t="s">
        <v>27</v>
      </c>
    </row>
    <row r="16" customFormat="false" ht="15" hidden="false" customHeight="false" outlineLevel="0" collapsed="false">
      <c r="A16" s="0" t="s">
        <v>88</v>
      </c>
      <c r="B16" s="0" t="s">
        <v>89</v>
      </c>
      <c r="C16" s="0" t="s">
        <v>90</v>
      </c>
      <c r="D16" s="0" t="s">
        <v>91</v>
      </c>
      <c r="E16" s="0" t="s">
        <v>92</v>
      </c>
      <c r="F16" s="0" t="s">
        <v>93</v>
      </c>
      <c r="G16" s="0" t="n">
        <f aca="false">BoardQty*1</f>
        <v>50</v>
      </c>
      <c r="H16" s="10" t="n">
        <f aca="true">MINA(INDIRECT(ADDRESS(ROW(),COLUMN(newark_part_data)+2)),INDIRECT(ADDRESS(ROW(),COLUMN(digikey_part_data)+2)),INDIRECT(ADDRESS(ROW(),COLUMN(mouser_part_data)+2)))</f>
        <v>6.58</v>
      </c>
      <c r="I16" s="10" t="n">
        <f aca="false">IFERROR(G16*H16,"")</f>
        <v>329</v>
      </c>
      <c r="J16" s="0" t="n">
        <v>2989</v>
      </c>
      <c r="L16" s="10" t="n">
        <f aca="false">IFERROR(LOOKUP(IF(K16="",G16,K16),{0,1,10,50,100,250,500,1000,2500,5000},{0,7.92,7.59,6.6,6.27,5.61,5.28,4.62,4.389,4.29}),"")</f>
        <v>6.6</v>
      </c>
      <c r="M16" s="10" t="n">
        <f aca="false">IFERROR(IF(K16="",G16,K16)*L16,"")</f>
        <v>330</v>
      </c>
      <c r="N16" s="0" t="s">
        <v>94</v>
      </c>
      <c r="O16" s="11" t="s">
        <v>27</v>
      </c>
      <c r="P16" s="0" t="n">
        <v>1849</v>
      </c>
      <c r="R16" s="10" t="n">
        <f aca="false">IFERROR(LOOKUP(IF(Q16="",G16,Q16),{0,1,10,25,50,100,250,500,1000},{0,7.89,7.56,7.07,6.58,6.25,5.59,5.26,5.08}),"")</f>
        <v>6.58</v>
      </c>
      <c r="S16" s="10" t="n">
        <f aca="false">IFERROR(IF(Q16="",G16,Q16)*R16,"")</f>
        <v>329</v>
      </c>
      <c r="T16" s="0" t="s">
        <v>95</v>
      </c>
      <c r="U16" s="11" t="s">
        <v>27</v>
      </c>
    </row>
    <row r="17" customFormat="false" ht="15" hidden="false" customHeight="false" outlineLevel="0" collapsed="false">
      <c r="A17" s="0" t="s">
        <v>96</v>
      </c>
      <c r="B17" s="0" t="s">
        <v>97</v>
      </c>
      <c r="C17" s="0" t="s">
        <v>98</v>
      </c>
      <c r="D17" s="0" t="s">
        <v>99</v>
      </c>
      <c r="E17" s="0" t="s">
        <v>100</v>
      </c>
      <c r="F17" s="0" t="s">
        <v>97</v>
      </c>
      <c r="G17" s="0" t="n">
        <f aca="false">BoardQty*1</f>
        <v>50</v>
      </c>
      <c r="H17" s="10" t="n">
        <f aca="true">MINA(INDIRECT(ADDRESS(ROW(),COLUMN(newark_part_data)+2)),INDIRECT(ADDRESS(ROW(),COLUMN(digikey_part_data)+2)),INDIRECT(ADDRESS(ROW(),COLUMN(mouser_part_data)+2)))</f>
        <v>2.31</v>
      </c>
      <c r="I17" s="10" t="n">
        <f aca="false">IFERROR(G17*H17,"")</f>
        <v>115.5</v>
      </c>
      <c r="J17" s="0" t="n">
        <v>1211</v>
      </c>
      <c r="L17" s="10" t="n">
        <f aca="false">IFERROR(LOOKUP(IF(K17="",G17,K17),{0,1,25,100,1000},{0,2.81,2.34,2.2625,2.2625}),"")</f>
        <v>2.34</v>
      </c>
      <c r="M17" s="10" t="n">
        <f aca="false">IFERROR(IF(K17="",G17,K17)*L17,"")</f>
        <v>117</v>
      </c>
      <c r="N17" s="0" t="s">
        <v>101</v>
      </c>
      <c r="O17" s="11" t="s">
        <v>27</v>
      </c>
      <c r="P17" s="0" t="n">
        <v>610</v>
      </c>
      <c r="R17" s="10" t="n">
        <f aca="false">IFERROR(LOOKUP(IF(Q17="",G17,Q17),{0,1,10,25,100},{0,3.32,2.77,2.31,2.27}),"")</f>
        <v>2.31</v>
      </c>
      <c r="S17" s="10" t="n">
        <f aca="false">IFERROR(IF(Q17="",G17,Q17)*R17,"")</f>
        <v>115.5</v>
      </c>
      <c r="T17" s="0" t="s">
        <v>102</v>
      </c>
      <c r="U17" s="11" t="s">
        <v>27</v>
      </c>
      <c r="AA17" s="11" t="s">
        <v>27</v>
      </c>
    </row>
    <row r="18" customFormat="false" ht="15" hidden="false" customHeight="false" outlineLevel="0" collapsed="false">
      <c r="A18" s="0" t="s">
        <v>103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s">
        <v>108</v>
      </c>
      <c r="G18" s="0" t="n">
        <f aca="false">BoardQty*1</f>
        <v>50</v>
      </c>
      <c r="H18" s="10" t="n">
        <f aca="true">MINA(INDIRECT(ADDRESS(ROW(),COLUMN(newark_part_data)+2)),INDIRECT(ADDRESS(ROW(),COLUMN(digikey_part_data)+2)),INDIRECT(ADDRESS(ROW(),COLUMN(mouser_part_data)+2)))</f>
        <v>0.2808</v>
      </c>
      <c r="I18" s="10" t="n">
        <f aca="false">IFERROR(G18*H18,"")</f>
        <v>14.04</v>
      </c>
      <c r="J18" s="0" t="n">
        <v>5923</v>
      </c>
      <c r="L18" s="10" t="n">
        <f aca="false">IFERROR(LOOKUP(IF(K18="",G18,K18),{0,1,10,25,100,250,500,1000,2000,6000,10000,50000,100000},{0,0.51,0.366,0.2808,0.1832,0.13432,0.11396,0.09361,0.074,0.0666,0.0592,0.04995,0.0481}),"")</f>
        <v>0.2808</v>
      </c>
      <c r="M18" s="10" t="n">
        <f aca="false">IFERROR(IF(K18="",G18,K18)*L18,"")</f>
        <v>14.04</v>
      </c>
      <c r="N18" s="0" t="s">
        <v>109</v>
      </c>
      <c r="O18" s="11" t="s">
        <v>27</v>
      </c>
    </row>
    <row r="19" customFormat="false" ht="15" hidden="false" customHeight="false" outlineLevel="0" collapsed="false">
      <c r="A19" s="0" t="s">
        <v>110</v>
      </c>
      <c r="B19" s="0" t="s">
        <v>111</v>
      </c>
      <c r="C19" s="0" t="s">
        <v>112</v>
      </c>
      <c r="D19" s="0" t="s">
        <v>113</v>
      </c>
      <c r="E19" s="0" t="s">
        <v>114</v>
      </c>
      <c r="F19" s="0" t="s">
        <v>115</v>
      </c>
      <c r="G19" s="0" t="n">
        <f aca="false">BoardQty*13</f>
        <v>650</v>
      </c>
      <c r="H19" s="10" t="n">
        <f aca="true">MINA(INDIRECT(ADDRESS(ROW(),COLUMN(newark_part_data)+2)),INDIRECT(ADDRESS(ROW(),COLUMN(digikey_part_data)+2)),INDIRECT(ADDRESS(ROW(),COLUMN(mouser_part_data)+2)))</f>
        <v>0.00694</v>
      </c>
      <c r="I19" s="10" t="n">
        <f aca="false">IFERROR(G19*H19,"")</f>
        <v>4.511</v>
      </c>
      <c r="J19" s="0" t="n">
        <v>835271</v>
      </c>
      <c r="L19" s="10" t="n">
        <f aca="false">IFERROR(LOOKUP(IF(K19="",G19,K19),{0,1,10,50,100,250,500,1000,4000,8000,12000,28000,100000},{0,0.1,0.022,0.0118,0.0099,0.00812,0.00694,0.0054,0.00414,0.00378,0.0036,0.00342,0.00248}),"")</f>
        <v>0.00694</v>
      </c>
      <c r="M19" s="10" t="n">
        <f aca="false">IFERROR(IF(K19="",G19,K19)*L19,"")</f>
        <v>4.511</v>
      </c>
      <c r="N19" s="0" t="s">
        <v>116</v>
      </c>
      <c r="O19" s="11" t="s">
        <v>27</v>
      </c>
      <c r="P19" s="0" t="n">
        <v>454139</v>
      </c>
      <c r="R19" s="10" t="n">
        <f aca="false">IFERROR(LOOKUP(IF(Q19="",G19,Q19),{0,1,10,100,1000,4000,8000,48000},{0,0.099,0.012,0.007,0.005,0.005,0.004,0.003}),"")</f>
        <v>0.007</v>
      </c>
      <c r="S19" s="10" t="n">
        <f aca="false">IFERROR(IF(Q19="",G19,Q19)*R19,"")</f>
        <v>4.55</v>
      </c>
      <c r="T19" s="0" t="s">
        <v>117</v>
      </c>
      <c r="U19" s="11" t="s">
        <v>27</v>
      </c>
      <c r="V19" s="0" t="n">
        <v>4547</v>
      </c>
      <c r="X19" s="10" t="n">
        <f aca="false">IFERROR(LOOKUP(IF(W19="",G19,W19),{0,1,10,25,50,100,250,4000,8000},{0,0.094,0.023,0.014,0.012,0.01,0.008,0.004,0.003}),"")</f>
        <v>0.008</v>
      </c>
      <c r="Y19" s="10" t="n">
        <f aca="false">IFERROR(IF(W19="",G19,W19)*X19,"")</f>
        <v>5.2</v>
      </c>
      <c r="Z19" s="0" t="s">
        <v>118</v>
      </c>
      <c r="AA19" s="11" t="s">
        <v>27</v>
      </c>
    </row>
    <row r="20" customFormat="false" ht="15" hidden="false" customHeight="false" outlineLevel="0" collapsed="false">
      <c r="A20" s="0" t="s">
        <v>119</v>
      </c>
      <c r="B20" s="0" t="s">
        <v>111</v>
      </c>
      <c r="C20" s="0" t="s">
        <v>120</v>
      </c>
      <c r="D20" s="0" t="s">
        <v>113</v>
      </c>
      <c r="E20" s="0" t="s">
        <v>114</v>
      </c>
      <c r="F20" s="0" t="s">
        <v>115</v>
      </c>
      <c r="G20" s="0" t="n">
        <f aca="false">BoardQty*16</f>
        <v>800</v>
      </c>
      <c r="H20" s="10" t="n">
        <f aca="true">MINA(INDIRECT(ADDRESS(ROW(),COLUMN(newark_part_data)+2)),INDIRECT(ADDRESS(ROW(),COLUMN(digikey_part_data)+2)),INDIRECT(ADDRESS(ROW(),COLUMN(mouser_part_data)+2)))</f>
        <v>0.00694</v>
      </c>
      <c r="I20" s="10" t="n">
        <f aca="false">IFERROR(G20*H20,"")</f>
        <v>5.552</v>
      </c>
      <c r="J20" s="0" t="n">
        <v>835271</v>
      </c>
      <c r="L20" s="10" t="n">
        <f aca="false">IFERROR(LOOKUP(IF(K20="",G20,K20),{0,1,10,50,100,250,500,1000,4000,8000,12000,28000,100000},{0,0.1,0.022,0.0118,0.0099,0.00812,0.00694,0.0054,0.00414,0.00378,0.0036,0.00342,0.00248}),"")</f>
        <v>0.00694</v>
      </c>
      <c r="M20" s="10" t="n">
        <f aca="false">IFERROR(IF(K20="",G20,K20)*L20,"")</f>
        <v>5.552</v>
      </c>
      <c r="N20" s="0" t="s">
        <v>116</v>
      </c>
      <c r="O20" s="11" t="s">
        <v>27</v>
      </c>
      <c r="P20" s="0" t="n">
        <v>454139</v>
      </c>
      <c r="R20" s="10" t="n">
        <f aca="false">IFERROR(LOOKUP(IF(Q20="",G20,Q20),{0,1,10,100,1000,4000,8000,48000},{0,0.099,0.012,0.007,0.005,0.005,0.004,0.003}),"")</f>
        <v>0.007</v>
      </c>
      <c r="S20" s="10" t="n">
        <f aca="false">IFERROR(IF(Q20="",G20,Q20)*R20,"")</f>
        <v>5.6</v>
      </c>
      <c r="T20" s="0" t="s">
        <v>117</v>
      </c>
      <c r="U20" s="11" t="s">
        <v>27</v>
      </c>
      <c r="V20" s="0" t="n">
        <v>4547</v>
      </c>
      <c r="X20" s="10" t="n">
        <f aca="false">IFERROR(LOOKUP(IF(W20="",G20,W20),{0,1,10,25,50,100,250,4000,8000},{0,0.094,0.023,0.014,0.012,0.01,0.008,0.004,0.003}),"")</f>
        <v>0.008</v>
      </c>
      <c r="Y20" s="10" t="n">
        <f aca="false">IFERROR(IF(W20="",G20,W20)*X20,"")</f>
        <v>6.4</v>
      </c>
      <c r="Z20" s="0" t="s">
        <v>118</v>
      </c>
      <c r="AA20" s="11" t="s">
        <v>27</v>
      </c>
    </row>
    <row r="21" customFormat="false" ht="15" hidden="false" customHeight="false" outlineLevel="0" collapsed="false">
      <c r="A21" s="0" t="s">
        <v>121</v>
      </c>
      <c r="B21" s="0" t="s">
        <v>122</v>
      </c>
      <c r="C21" s="0" t="s">
        <v>123</v>
      </c>
      <c r="D21" s="0" t="s">
        <v>84</v>
      </c>
      <c r="E21" s="0" t="s">
        <v>124</v>
      </c>
      <c r="F21" s="0" t="s">
        <v>122</v>
      </c>
      <c r="G21" s="0" t="n">
        <f aca="false">BoardQty*3</f>
        <v>150</v>
      </c>
      <c r="H21" s="10" t="n">
        <f aca="true">MINA(INDIRECT(ADDRESS(ROW(),COLUMN(newark_part_data)+2)),INDIRECT(ADDRESS(ROW(),COLUMN(digikey_part_data)+2)),INDIRECT(ADDRESS(ROW(),COLUMN(mouser_part_data)+2)))</f>
        <v>0.029</v>
      </c>
      <c r="I21" s="10" t="n">
        <f aca="false">IFERROR(G21*H21,"")</f>
        <v>4.35</v>
      </c>
      <c r="J21" s="0" t="n">
        <v>236242</v>
      </c>
      <c r="L21" s="10" t="n">
        <f aca="false">IFERROR(LOOKUP(IF(K21="",G21,K21),{0,1,10,100,250,500,1000,4000,8000,12000,28000,100000},{0,0.1,0.073,0.0436,0.03168,0.02904,0.02508,0.0192,0.0174,0.0168,0.0156,0.01542}),"")</f>
        <v>0.0436</v>
      </c>
      <c r="M21" s="10" t="n">
        <f aca="false">IFERROR(IF(K21="",G21,K21)*L21,"")</f>
        <v>6.54</v>
      </c>
      <c r="N21" s="0" t="s">
        <v>125</v>
      </c>
      <c r="O21" s="11" t="s">
        <v>27</v>
      </c>
      <c r="P21" s="0" t="n">
        <v>42239</v>
      </c>
      <c r="R21" s="10" t="n">
        <f aca="false">IFERROR(LOOKUP(IF(Q21="",G21,Q21),{0,1,10,100,1000,4000,8000,24000},{0,0.099,0.072,0.029,0.026,0.02,0.016,0.015}),"")</f>
        <v>0.029</v>
      </c>
      <c r="S21" s="10" t="n">
        <f aca="false">IFERROR(IF(Q21="",G21,Q21)*R21,"")</f>
        <v>4.35</v>
      </c>
      <c r="T21" s="0" t="s">
        <v>126</v>
      </c>
      <c r="U21" s="11" t="s">
        <v>27</v>
      </c>
      <c r="V21" s="0" t="n">
        <v>8824</v>
      </c>
      <c r="X21" s="10" t="n">
        <f aca="false">IFERROR(LOOKUP(IF(W21="",G21,W21),{0,1,10,100,250,500,1000,4000,8000},{0,0.175,0.12,0.057,0.048,0.04,0.033,0.025,0.024}),"")</f>
        <v>0.057</v>
      </c>
      <c r="Y21" s="10" t="n">
        <f aca="false">IFERROR(IF(W21="",G21,W21)*X21,"")</f>
        <v>8.55</v>
      </c>
      <c r="Z21" s="0" t="s">
        <v>127</v>
      </c>
      <c r="AA21" s="11" t="s">
        <v>27</v>
      </c>
    </row>
    <row r="22" customFormat="false" ht="15" hidden="false" customHeight="false" outlineLevel="0" collapsed="false">
      <c r="A22" s="0" t="s">
        <v>128</v>
      </c>
      <c r="B22" s="0" t="s">
        <v>129</v>
      </c>
      <c r="C22" s="0" t="s">
        <v>130</v>
      </c>
      <c r="D22" s="0" t="s">
        <v>131</v>
      </c>
      <c r="E22" s="0" t="s">
        <v>132</v>
      </c>
      <c r="F22" s="0" t="s">
        <v>133</v>
      </c>
      <c r="G22" s="0" t="n">
        <f aca="false">BoardQty*1</f>
        <v>50</v>
      </c>
      <c r="H22" s="10" t="n">
        <f aca="true">MINA(INDIRECT(ADDRESS(ROW(),COLUMN(newark_part_data)+2)),INDIRECT(ADDRESS(ROW(),COLUMN(digikey_part_data)+2)),INDIRECT(ADDRESS(ROW(),COLUMN(mouser_part_data)+2)))</f>
        <v>0.955</v>
      </c>
      <c r="I22" s="10" t="n">
        <f aca="false">IFERROR(G22*H22,"")</f>
        <v>47.75</v>
      </c>
      <c r="J22" s="0" t="n">
        <v>7406</v>
      </c>
      <c r="L22" s="10" t="n">
        <f aca="false">IFERROR(LOOKUP(IF(K22="",G22,K22),{0,1,10,100,500,1000,5000,10000},{0,1.2,1.074,0.8841,0.69886,0.59993,0.5473,0.52625}),"")</f>
        <v>1.074</v>
      </c>
      <c r="M22" s="10" t="n">
        <f aca="false">IFERROR(IF(K22="",G22,K22)*L22,"")</f>
        <v>53.7</v>
      </c>
      <c r="N22" s="0" t="s">
        <v>134</v>
      </c>
      <c r="O22" s="11" t="s">
        <v>27</v>
      </c>
      <c r="P22" s="0" t="n">
        <v>5188</v>
      </c>
      <c r="R22" s="10" t="n">
        <f aca="false">IFERROR(LOOKUP(IF(Q22="",G22,Q22),{0,1,10,100,500,1000,2000},{0,1.2,0.955,0.831,0.748,0.665,0.617}),"")</f>
        <v>0.955</v>
      </c>
      <c r="S22" s="10" t="n">
        <f aca="false">IFERROR(IF(Q22="",G22,Q22)*R22,"")</f>
        <v>47.75</v>
      </c>
      <c r="T22" s="0" t="s">
        <v>135</v>
      </c>
      <c r="U22" s="11" t="s">
        <v>27</v>
      </c>
      <c r="V22" s="0" t="n">
        <v>2828</v>
      </c>
      <c r="X22" s="10" t="n">
        <f aca="false">IFERROR(LOOKUP(IF(W22="",G22,W22),{0,1,10,25,50,100,250,500,1000},{0,1.22,1.1,1.06,0.969,0.927,0.842,0.758,0.674}),"")</f>
        <v>0.969</v>
      </c>
      <c r="Y22" s="10" t="n">
        <f aca="false">IFERROR(IF(W22="",G22,W22)*X22,"")</f>
        <v>48.45</v>
      </c>
      <c r="Z22" s="0" t="s">
        <v>136</v>
      </c>
      <c r="AA22" s="11" t="s">
        <v>27</v>
      </c>
    </row>
    <row r="23" customFormat="false" ht="15" hidden="false" customHeight="false" outlineLevel="0" collapsed="false">
      <c r="A23" s="0" t="s">
        <v>137</v>
      </c>
      <c r="B23" s="0" t="s">
        <v>138</v>
      </c>
      <c r="C23" s="0" t="s">
        <v>139</v>
      </c>
      <c r="D23" s="0" t="s">
        <v>140</v>
      </c>
      <c r="E23" s="0" t="s">
        <v>141</v>
      </c>
      <c r="F23" s="0" t="s">
        <v>142</v>
      </c>
      <c r="G23" s="0" t="n">
        <f aca="false">BoardQty*1</f>
        <v>50</v>
      </c>
      <c r="H23" s="10" t="n">
        <f aca="true">MINA(INDIRECT(ADDRESS(ROW(),COLUMN(newark_part_data)+2)),INDIRECT(ADDRESS(ROW(),COLUMN(digikey_part_data)+2)),INDIRECT(ADDRESS(ROW(),COLUMN(mouser_part_data)+2)))</f>
        <v>0.568</v>
      </c>
      <c r="I23" s="10" t="n">
        <f aca="false">IFERROR(G23*H23,"")</f>
        <v>28.4</v>
      </c>
      <c r="O23" s="11" t="s">
        <v>27</v>
      </c>
      <c r="P23" s="0" t="n">
        <v>25170</v>
      </c>
      <c r="R23" s="10" t="n">
        <f aca="false">IFERROR(LOOKUP(IF(Q23="",G23,Q23),{0,1,10,100,500,1000,3500,7000,10500,24500},{0,0.75,0.568,0.497,0.473,0.39,0.355,0.343,0.315,0.307}),"")</f>
        <v>0.568</v>
      </c>
      <c r="S23" s="10" t="n">
        <f aca="false">IFERROR(IF(Q23="",G23,Q23)*R23,"")</f>
        <v>28.4</v>
      </c>
      <c r="T23" s="0" t="s">
        <v>143</v>
      </c>
      <c r="U23" s="11" t="s">
        <v>27</v>
      </c>
      <c r="AA23" s="11" t="s">
        <v>27</v>
      </c>
    </row>
    <row r="24" customFormat="false" ht="15" hidden="false" customHeight="false" outlineLevel="0" collapsed="false">
      <c r="A24" s="0" t="s">
        <v>144</v>
      </c>
      <c r="B24" s="0" t="s">
        <v>111</v>
      </c>
      <c r="C24" s="0" t="s">
        <v>145</v>
      </c>
      <c r="D24" s="0" t="s">
        <v>113</v>
      </c>
      <c r="E24" s="0" t="s">
        <v>114</v>
      </c>
      <c r="F24" s="0" t="s">
        <v>115</v>
      </c>
      <c r="G24" s="0" t="n">
        <f aca="false">BoardQty*3</f>
        <v>150</v>
      </c>
      <c r="H24" s="10" t="n">
        <f aca="true">MINA(INDIRECT(ADDRESS(ROW(),COLUMN(newark_part_data)+2)),INDIRECT(ADDRESS(ROW(),COLUMN(digikey_part_data)+2)),INDIRECT(ADDRESS(ROW(),COLUMN(mouser_part_data)+2)))</f>
        <v>0.007</v>
      </c>
      <c r="I24" s="10" t="n">
        <f aca="false">IFERROR(G24*H24,"")</f>
        <v>1.05</v>
      </c>
      <c r="J24" s="0" t="n">
        <v>835271</v>
      </c>
      <c r="L24" s="10" t="n">
        <f aca="false">IFERROR(LOOKUP(IF(K24="",G24,K24),{0,1,10,50,100,250,500,1000,4000,8000,12000,28000,100000},{0,0.1,0.022,0.0118,0.0099,0.00812,0.00694,0.0054,0.00414,0.00378,0.0036,0.00342,0.00248}),"")</f>
        <v>0.0099</v>
      </c>
      <c r="M24" s="10" t="n">
        <f aca="false">IFERROR(IF(K24="",G24,K24)*L24,"")</f>
        <v>1.485</v>
      </c>
      <c r="N24" s="0" t="s">
        <v>116</v>
      </c>
      <c r="O24" s="11" t="s">
        <v>27</v>
      </c>
      <c r="P24" s="0" t="n">
        <v>454139</v>
      </c>
      <c r="R24" s="10" t="n">
        <f aca="false">IFERROR(LOOKUP(IF(Q24="",G24,Q24),{0,1,10,100,1000,4000,8000,48000},{0,0.099,0.012,0.007,0.005,0.005,0.004,0.003}),"")</f>
        <v>0.007</v>
      </c>
      <c r="S24" s="10" t="n">
        <f aca="false">IFERROR(IF(Q24="",G24,Q24)*R24,"")</f>
        <v>1.05</v>
      </c>
      <c r="T24" s="0" t="s">
        <v>117</v>
      </c>
      <c r="U24" s="11" t="s">
        <v>27</v>
      </c>
      <c r="V24" s="0" t="n">
        <v>4547</v>
      </c>
      <c r="X24" s="10" t="n">
        <f aca="false">IFERROR(LOOKUP(IF(W24="",G24,W24),{0,1,10,25,50,100,250,4000,8000},{0,0.094,0.023,0.014,0.012,0.01,0.008,0.004,0.003}),"")</f>
        <v>0.01</v>
      </c>
      <c r="Y24" s="10" t="n">
        <f aca="false">IFERROR(IF(W24="",G24,W24)*X24,"")</f>
        <v>1.5</v>
      </c>
      <c r="Z24" s="0" t="s">
        <v>118</v>
      </c>
      <c r="AA24" s="11" t="s">
        <v>27</v>
      </c>
    </row>
    <row r="25" customFormat="false" ht="15" hidden="false" customHeight="false" outlineLevel="0" collapsed="false">
      <c r="A25" s="0" t="s">
        <v>146</v>
      </c>
      <c r="B25" s="0" t="s">
        <v>147</v>
      </c>
      <c r="C25" s="0" t="s">
        <v>148</v>
      </c>
      <c r="D25" s="0" t="s">
        <v>48</v>
      </c>
      <c r="E25" s="0" t="s">
        <v>49</v>
      </c>
      <c r="F25" s="0" t="s">
        <v>149</v>
      </c>
      <c r="G25" s="0" t="n">
        <f aca="false">BoardQty*4</f>
        <v>200</v>
      </c>
      <c r="H25" s="10" t="n">
        <f aca="true">MINA(INDIRECT(ADDRESS(ROW(),COLUMN(newark_part_data)+2)),INDIRECT(ADDRESS(ROW(),COLUMN(digikey_part_data)+2)),INDIRECT(ADDRESS(ROW(),COLUMN(mouser_part_data)+2)))</f>
        <v>0.003</v>
      </c>
      <c r="I25" s="10" t="n">
        <f aca="false">IFERROR(G25*H25,"")</f>
        <v>0.6</v>
      </c>
      <c r="J25" s="0" t="n">
        <v>139935</v>
      </c>
      <c r="L25" s="10" t="n">
        <f aca="false">IFERROR(LOOKUP(IF(K25="",G25,K25),{0,1,10,25,100,250,500,1000,2500,5000,10000,25000,50000,125000},{0,0.1,0.011,0.008,0.0044,0.00336,0.0027,0.00198,0.00172,0.00129,0.00112,0.00099,0.0009,0.00089}),"")</f>
        <v>0.0044</v>
      </c>
      <c r="M25" s="10" t="n">
        <f aca="false">IFERROR(IF(K25="",G25,K25)*L25,"")</f>
        <v>0.88</v>
      </c>
      <c r="N25" s="0" t="s">
        <v>150</v>
      </c>
      <c r="O25" s="11" t="s">
        <v>27</v>
      </c>
      <c r="P25" s="0" t="n">
        <v>44945</v>
      </c>
      <c r="R25" s="10" t="n">
        <f aca="false">IFERROR(LOOKUP(IF(Q25="",G25,Q25),{0,1,10,100,1000,5000,50000},{0,0.099,0.008,0.003,0.002,0.002,0.001}),"")</f>
        <v>0.003</v>
      </c>
      <c r="S25" s="10" t="n">
        <f aca="false">IFERROR(IF(Q25="",G25,Q25)*R25,"")</f>
        <v>0.6</v>
      </c>
      <c r="T25" s="0" t="s">
        <v>151</v>
      </c>
      <c r="U25" s="11" t="s">
        <v>27</v>
      </c>
      <c r="V25" s="0" t="n">
        <v>1196</v>
      </c>
      <c r="X25" s="10" t="n">
        <f aca="false">IFERROR(LOOKUP(IF(W25="",G25,W25),{0,1,10,25,100,250,1000,5000,10000},{0,0.06,0.01,0.007,0.004,0.003,0.002,0.002,0.001}),"")</f>
        <v>0.004</v>
      </c>
      <c r="Y25" s="10" t="n">
        <f aca="false">IFERROR(IF(W25="",G25,W25)*X25,"")</f>
        <v>0.8</v>
      </c>
      <c r="Z25" s="0" t="s">
        <v>152</v>
      </c>
      <c r="AA25" s="11" t="s">
        <v>27</v>
      </c>
    </row>
    <row r="26" customFormat="false" ht="15" hidden="false" customHeight="false" outlineLevel="0" collapsed="false">
      <c r="A26" s="0" t="s">
        <v>153</v>
      </c>
      <c r="B26" s="0" t="s">
        <v>154</v>
      </c>
      <c r="C26" s="0" t="s">
        <v>155</v>
      </c>
      <c r="D26" s="0" t="s">
        <v>156</v>
      </c>
      <c r="E26" s="0" t="s">
        <v>157</v>
      </c>
      <c r="F26" s="0" t="s">
        <v>158</v>
      </c>
      <c r="G26" s="0" t="n">
        <f aca="false">BoardQty*1</f>
        <v>50</v>
      </c>
      <c r="H26" s="10" t="n">
        <f aca="true">MINA(INDIRECT(ADDRESS(ROW(),COLUMN(newark_part_data)+2)),INDIRECT(ADDRESS(ROW(),COLUMN(digikey_part_data)+2)),INDIRECT(ADDRESS(ROW(),COLUMN(mouser_part_data)+2)))</f>
        <v>0.412</v>
      </c>
      <c r="I26" s="10" t="n">
        <f aca="false">IFERROR(G26*H26,"")</f>
        <v>20.6</v>
      </c>
      <c r="J26" s="0" t="n">
        <v>8030</v>
      </c>
      <c r="L26" s="10" t="n">
        <f aca="false">IFERROR(LOOKUP(IF(K26="",G26,K26),{0,1,10,100,500,1000,3000,6000,15000,30000,75000,150000},{0,0.52,0.448,0.3347,0.26286,0.20265,0.17949,0.16791,0.15633,0.14822,0.14475,0.13896}),"")</f>
        <v>0.448</v>
      </c>
      <c r="M26" s="10" t="n">
        <f aca="false">IFERROR(IF(K26="",G26,K26)*L26,"")</f>
        <v>22.4</v>
      </c>
      <c r="N26" s="0" t="s">
        <v>159</v>
      </c>
      <c r="O26" s="11" t="s">
        <v>27</v>
      </c>
      <c r="P26" s="0" t="n">
        <v>10754</v>
      </c>
      <c r="R26" s="10" t="n">
        <f aca="false">IFERROR(LOOKUP(IF(Q26="",G26,Q26),{0,1,10,100,1000,3000,9000,24000},{0,0.513,0.412,0.259,0.194,0.166,0.154,0.146}),"")</f>
        <v>0.412</v>
      </c>
      <c r="S26" s="10" t="n">
        <f aca="false">IFERROR(IF(Q26="",G26,Q26)*R26,"")</f>
        <v>20.6</v>
      </c>
      <c r="T26" s="0" t="s">
        <v>160</v>
      </c>
      <c r="U26" s="11" t="s">
        <v>27</v>
      </c>
      <c r="V26" s="0" t="n">
        <v>2466</v>
      </c>
      <c r="X26" s="10" t="n">
        <f aca="false">IFERROR(LOOKUP(IF(W26="",G26,W26),{0,1,10,25,100,250,500,3000,6000},{0,0.568,0.477,0.418,0.357,0.311,0.262,0.18,0.168}),"")</f>
        <v>0.418</v>
      </c>
      <c r="Y26" s="10" t="n">
        <f aca="false">IFERROR(IF(W26="",G26,W26)*X26,"")</f>
        <v>20.9</v>
      </c>
      <c r="Z26" s="0" t="s">
        <v>161</v>
      </c>
      <c r="AA26" s="11" t="s">
        <v>27</v>
      </c>
    </row>
    <row r="27" customFormat="false" ht="15" hidden="false" customHeight="false" outlineLevel="0" collapsed="false">
      <c r="A27" s="0" t="s">
        <v>162</v>
      </c>
      <c r="B27" s="0" t="s">
        <v>111</v>
      </c>
      <c r="C27" s="0" t="s">
        <v>163</v>
      </c>
      <c r="D27" s="0" t="s">
        <v>113</v>
      </c>
      <c r="E27" s="0" t="s">
        <v>164</v>
      </c>
      <c r="F27" s="0" t="s">
        <v>165</v>
      </c>
      <c r="G27" s="0" t="n">
        <f aca="false">BoardQty*2</f>
        <v>100</v>
      </c>
      <c r="H27" s="10" t="n">
        <f aca="true">MINA(INDIRECT(ADDRESS(ROW(),COLUMN(newark_part_data)+2)),INDIRECT(ADDRESS(ROW(),COLUMN(digikey_part_data)+2)),INDIRECT(ADDRESS(ROW(),COLUMN(mouser_part_data)+2)))</f>
        <v>0.0125</v>
      </c>
      <c r="I27" s="10" t="n">
        <f aca="false">IFERROR(G27*H27,"")</f>
        <v>1.25</v>
      </c>
      <c r="J27" s="0" t="n">
        <v>1177587</v>
      </c>
      <c r="L27" s="10" t="n">
        <f aca="false">IFERROR(LOOKUP(IF(K27="",G27,K27),{0,1,10,25,50,100,500,1000,4000,8000,12000,28000,100000},{0,0.1,0.027,0.0192,0.0148,0.0125,0.00874,0.00681,0.00522,0.00477,0.00454,0.00431,0.00312}),"")</f>
        <v>0.0125</v>
      </c>
      <c r="M27" s="10" t="n">
        <f aca="false">IFERROR(IF(K27="",G27,K27)*L27,"")</f>
        <v>1.25</v>
      </c>
      <c r="N27" s="0" t="s">
        <v>166</v>
      </c>
      <c r="O27" s="11" t="s">
        <v>27</v>
      </c>
    </row>
    <row r="28" customFormat="false" ht="15" hidden="false" customHeight="false" outlineLevel="0" collapsed="false">
      <c r="A28" s="0" t="s">
        <v>167</v>
      </c>
      <c r="B28" s="0" t="s">
        <v>168</v>
      </c>
      <c r="C28" s="0" t="s">
        <v>169</v>
      </c>
      <c r="D28" s="0" t="s">
        <v>48</v>
      </c>
      <c r="E28" s="0" t="s">
        <v>49</v>
      </c>
      <c r="F28" s="0" t="s">
        <v>170</v>
      </c>
      <c r="G28" s="0" t="n">
        <f aca="false">BoardQty*2</f>
        <v>100</v>
      </c>
      <c r="H28" s="10" t="n">
        <f aca="true">MINA(INDIRECT(ADDRESS(ROW(),COLUMN(newark_part_data)+2)),INDIRECT(ADDRESS(ROW(),COLUMN(digikey_part_data)+2)),INDIRECT(ADDRESS(ROW(),COLUMN(mouser_part_data)+2)))</f>
        <v>0.003</v>
      </c>
      <c r="I28" s="10" t="n">
        <f aca="false">IFERROR(G28*H28,"")</f>
        <v>0.3</v>
      </c>
      <c r="J28" s="0" t="n">
        <v>3086200</v>
      </c>
      <c r="L28" s="10" t="n">
        <f aca="false">IFERROR(LOOKUP(IF(K28="",G28,K28),{0,1,10,25,100,250,500,1000,2500,5000,10000,25000,50000,125000},{0,0.1,0.011,0.008,0.0044,0.00336,0.0027,0.00198,0.00172,0.00129,0.00112,0.00099,0.0009,0.00089}),"")</f>
        <v>0.0044</v>
      </c>
      <c r="M28" s="10" t="n">
        <f aca="false">IFERROR(IF(K28="",G28,K28)*L28,"")</f>
        <v>0.44</v>
      </c>
      <c r="N28" s="0" t="s">
        <v>171</v>
      </c>
      <c r="O28" s="11" t="s">
        <v>27</v>
      </c>
      <c r="P28" s="0" t="n">
        <v>284684</v>
      </c>
      <c r="R28" s="10" t="n">
        <f aca="false">IFERROR(LOOKUP(IF(Q28="",G28,Q28),{0,1,10,100,1000,5000,50000},{0,0.099,0.008,0.003,0.002,0.002,0.001}),"")</f>
        <v>0.003</v>
      </c>
      <c r="S28" s="10" t="n">
        <f aca="false">IFERROR(IF(Q28="",G28,Q28)*R28,"")</f>
        <v>0.3</v>
      </c>
      <c r="T28" s="0" t="s">
        <v>172</v>
      </c>
      <c r="U28" s="11" t="s">
        <v>27</v>
      </c>
      <c r="V28" s="0" t="n">
        <v>4389</v>
      </c>
      <c r="X28" s="10" t="n">
        <f aca="false">IFERROR(LOOKUP(IF(W28="",G28,W28),{0,1,10,25,100,250,1000,5000,10000},{0,0.06,0.01,0.007,0.004,0.003,0.002,0.002,0.001}),"")</f>
        <v>0.004</v>
      </c>
      <c r="Y28" s="10" t="n">
        <f aca="false">IFERROR(IF(W28="",G28,W28)*X28,"")</f>
        <v>0.4</v>
      </c>
      <c r="Z28" s="0" t="s">
        <v>173</v>
      </c>
      <c r="AA28" s="11" t="s">
        <v>27</v>
      </c>
    </row>
    <row r="29" customFormat="false" ht="15" hidden="false" customHeight="false" outlineLevel="0" collapsed="false">
      <c r="A29" s="0" t="s">
        <v>174</v>
      </c>
      <c r="B29" s="0" t="s">
        <v>175</v>
      </c>
      <c r="C29" s="0" t="s">
        <v>176</v>
      </c>
      <c r="D29" s="0" t="s">
        <v>113</v>
      </c>
      <c r="E29" s="0" t="s">
        <v>177</v>
      </c>
      <c r="F29" s="0" t="s">
        <v>178</v>
      </c>
      <c r="G29" s="0" t="n">
        <f aca="false">BoardQty*1</f>
        <v>50</v>
      </c>
      <c r="H29" s="10" t="n">
        <f aca="true">MINA(INDIRECT(ADDRESS(ROW(),COLUMN(newark_part_data)+2)),INDIRECT(ADDRESS(ROW(),COLUMN(digikey_part_data)+2)),INDIRECT(ADDRESS(ROW(),COLUMN(mouser_part_data)+2)))</f>
        <v>0.1194</v>
      </c>
      <c r="I29" s="10" t="n">
        <f aca="false">IFERROR(G29*H29,"")</f>
        <v>5.97</v>
      </c>
      <c r="J29" s="0" t="n">
        <v>351004</v>
      </c>
      <c r="L29" s="10" t="n">
        <f aca="false">IFERROR(LOOKUP(IF(K29="",G29,K29),{0,1,10,50,100,250,500,1000,4000,8000,12000,28000},{0,0.35,0.23,0.1194,0.092,0.06612,0.04716,0.0345,0.02473,0.023,0.02185,0.0207}),"")</f>
        <v>0.1194</v>
      </c>
      <c r="M29" s="10" t="n">
        <f aca="false">IFERROR(IF(K29="",G29,K29)*L29,"")</f>
        <v>5.97</v>
      </c>
      <c r="N29" s="0" t="s">
        <v>179</v>
      </c>
      <c r="O29" s="11" t="s">
        <v>27</v>
      </c>
      <c r="P29" s="0" t="n">
        <v>101758</v>
      </c>
      <c r="R29" s="10" t="n">
        <f aca="false">IFERROR(LOOKUP(IF(Q29="",G29,Q29),{0,1,10,100,500,1000,4000,8000,12000,24000},{0,0.336,0.121,0.065,0.047,0.035,0.035,0.025,0.022,0.021}),"")</f>
        <v>0.121</v>
      </c>
      <c r="S29" s="10" t="n">
        <f aca="false">IFERROR(IF(Q29="",G29,Q29)*R29,"")</f>
        <v>6.05</v>
      </c>
      <c r="T29" s="0" t="s">
        <v>180</v>
      </c>
      <c r="U29" s="11" t="s">
        <v>27</v>
      </c>
      <c r="AA29" s="11" t="s">
        <v>27</v>
      </c>
    </row>
    <row r="30" customFormat="false" ht="15" hidden="false" customHeight="false" outlineLevel="0" collapsed="false">
      <c r="A30" s="0" t="s">
        <v>181</v>
      </c>
      <c r="B30" s="0" t="s">
        <v>182</v>
      </c>
      <c r="C30" s="0" t="s">
        <v>47</v>
      </c>
      <c r="D30" s="0" t="s">
        <v>48</v>
      </c>
      <c r="E30" s="0" t="s">
        <v>49</v>
      </c>
      <c r="F30" s="0" t="s">
        <v>50</v>
      </c>
      <c r="G30" s="0" t="n">
        <f aca="false">BoardQty*9</f>
        <v>450</v>
      </c>
      <c r="H30" s="10" t="n">
        <f aca="true">MINA(INDIRECT(ADDRESS(ROW(),COLUMN(newark_part_data)+2)),INDIRECT(ADDRESS(ROW(),COLUMN(digikey_part_data)+2)),INDIRECT(ADDRESS(ROW(),COLUMN(mouser_part_data)+2)))</f>
        <v>0.003</v>
      </c>
      <c r="I30" s="10" t="n">
        <f aca="false">IFERROR(G30*H30,"")</f>
        <v>1.35</v>
      </c>
      <c r="J30" s="0" t="n">
        <v>2127128</v>
      </c>
      <c r="L30" s="10" t="n">
        <f aca="false">IFERROR(LOOKUP(IF(K30="",G30,K30),{0,1,10,25,100,250,500,1000,2500,5000,10000,25000,50000,125000},{0,0.1,0.011,0.008,0.0044,0.00336,0.0027,0.00198,0.00172,0.00129,0.00112,0.00099,0.0009,0.00089}),"")</f>
        <v>0.00336</v>
      </c>
      <c r="M30" s="10" t="n">
        <f aca="false">IFERROR(IF(K30="",G30,K30)*L30,"")</f>
        <v>1.512</v>
      </c>
      <c r="N30" s="0" t="s">
        <v>51</v>
      </c>
      <c r="O30" s="11" t="s">
        <v>27</v>
      </c>
      <c r="P30" s="0" t="n">
        <v>64357</v>
      </c>
      <c r="R30" s="10" t="n">
        <f aca="false">IFERROR(LOOKUP(IF(Q30="",G30,Q30),{0,1,10,100,1000,5000,50000},{0,0.099,0.008,0.003,0.002,0.002,0.001}),"")</f>
        <v>0.003</v>
      </c>
      <c r="S30" s="10" t="n">
        <f aca="false">IFERROR(IF(Q30="",G30,Q30)*R30,"")</f>
        <v>1.35</v>
      </c>
      <c r="T30" s="0" t="s">
        <v>52</v>
      </c>
      <c r="U30" s="11" t="s">
        <v>27</v>
      </c>
      <c r="V30" s="0" t="n">
        <v>3544</v>
      </c>
      <c r="X30" s="10" t="n">
        <f aca="false">IFERROR(LOOKUP(IF(W30="",G30,W30),{0,1,10,25,100,250,1000,5000,10000},{0,0.06,0.01,0.007,0.004,0.003,0.002,0.002,0.001}),"")</f>
        <v>0.003</v>
      </c>
      <c r="Y30" s="10" t="n">
        <f aca="false">IFERROR(IF(W30="",G30,W30)*X30,"")</f>
        <v>1.35</v>
      </c>
      <c r="Z30" s="0" t="s">
        <v>53</v>
      </c>
      <c r="AA30" s="11" t="s">
        <v>27</v>
      </c>
    </row>
    <row r="31" customFormat="false" ht="15" hidden="false" customHeight="false" outlineLevel="0" collapsed="false">
      <c r="A31" s="0" t="s">
        <v>183</v>
      </c>
      <c r="B31" s="0" t="s">
        <v>184</v>
      </c>
      <c r="C31" s="0" t="s">
        <v>185</v>
      </c>
      <c r="D31" s="0" t="s">
        <v>186</v>
      </c>
      <c r="E31" s="0" t="s">
        <v>187</v>
      </c>
      <c r="F31" s="0" t="s">
        <v>188</v>
      </c>
      <c r="G31" s="0" t="n">
        <f aca="false">BoardQty*1</f>
        <v>50</v>
      </c>
      <c r="H31" s="10" t="n">
        <f aca="true">MINA(INDIRECT(ADDRESS(ROW(),COLUMN(newark_part_data)+2)),INDIRECT(ADDRESS(ROW(),COLUMN(digikey_part_data)+2)),INDIRECT(ADDRESS(ROW(),COLUMN(mouser_part_data)+2)))</f>
        <v>1.07</v>
      </c>
      <c r="I31" s="10" t="n">
        <f aca="false">IFERROR(G31*H31,"")</f>
        <v>53.5</v>
      </c>
      <c r="J31" s="0" t="n">
        <v>1525</v>
      </c>
      <c r="L31" s="10" t="n">
        <f aca="false">IFERROR(LOOKUP(IF(K31="",G31,K31),{0,1,10,100,500,1000,2500},{0,1.29,1.155,0.9002,0.74366,0.5871,0.49}),"")</f>
        <v>1.155</v>
      </c>
      <c r="M31" s="10" t="n">
        <f aca="false">IFERROR(IF(K31="",G31,K31)*L31,"")</f>
        <v>57.75</v>
      </c>
      <c r="N31" s="0" t="s">
        <v>189</v>
      </c>
      <c r="O31" s="11" t="s">
        <v>27</v>
      </c>
      <c r="P31" s="0" t="n">
        <v>1612</v>
      </c>
      <c r="R31" s="10" t="n">
        <f aca="false">IFERROR(LOOKUP(IF(Q31="",G31,Q31),{0,1,10,100,500,1000,2500,5000,10000,25000},{0,1.26,1.07,0.831,0.734,0.579,0.512,0.502,0.494,0.491}),"")</f>
        <v>1.07</v>
      </c>
      <c r="S31" s="10" t="n">
        <f aca="false">IFERROR(IF(Q31="",G31,Q31)*R31,"")</f>
        <v>53.5</v>
      </c>
      <c r="T31" s="0" t="s">
        <v>190</v>
      </c>
      <c r="U31" s="11" t="s">
        <v>27</v>
      </c>
      <c r="V31" s="0" t="n">
        <v>372</v>
      </c>
      <c r="X31" s="10" t="n">
        <f aca="false">IFERROR(LOOKUP(IF(W31="",G31,W31),{0,1,100,250,500,1000},{0,1.33,1.03,0.926,0.836,0.771}),"")</f>
        <v>1.33</v>
      </c>
      <c r="Y31" s="10" t="n">
        <f aca="false">IFERROR(IF(W31="",G31,W31)*X31,"")</f>
        <v>66.5</v>
      </c>
      <c r="Z31" s="0" t="s">
        <v>191</v>
      </c>
      <c r="AA31" s="11" t="s">
        <v>27</v>
      </c>
    </row>
    <row r="32" customFormat="false" ht="15" hidden="false" customHeight="false" outlineLevel="0" collapsed="false">
      <c r="A32" s="0" t="s">
        <v>192</v>
      </c>
      <c r="B32" s="0" t="s">
        <v>193</v>
      </c>
      <c r="C32" s="0" t="s">
        <v>194</v>
      </c>
      <c r="D32" s="0" t="s">
        <v>48</v>
      </c>
      <c r="E32" s="0" t="s">
        <v>49</v>
      </c>
      <c r="F32" s="0" t="s">
        <v>195</v>
      </c>
      <c r="G32" s="0" t="n">
        <f aca="false">BoardQty*1</f>
        <v>50</v>
      </c>
      <c r="H32" s="10" t="n">
        <f aca="true">MINA(INDIRECT(ADDRESS(ROW(),COLUMN(newark_part_data)+2)),INDIRECT(ADDRESS(ROW(),COLUMN(digikey_part_data)+2)),INDIRECT(ADDRESS(ROW(),COLUMN(mouser_part_data)+2)))</f>
        <v>0.01</v>
      </c>
      <c r="I32" s="10" t="n">
        <f aca="false">IFERROR(G32*H32,"")</f>
        <v>0.5</v>
      </c>
      <c r="J32" s="0" t="n">
        <v>136570</v>
      </c>
      <c r="L32" s="10" t="n">
        <f aca="false">IFERROR(LOOKUP(IF(K32="",G32,K32),{0,1,10,25,100,250,500,1000,2500,5000,10000,25000,50000,125000},{0,0.1,0.014,0.01,0.0057,0.00436,0.00348,0.00257,0.00223,0.00167,0.00145,0.00128,0.00117,0.00115}),"")</f>
        <v>0.01</v>
      </c>
      <c r="M32" s="10" t="n">
        <f aca="false">IFERROR(IF(K32="",G32,K32)*L32,"")</f>
        <v>0.5</v>
      </c>
      <c r="N32" s="0" t="s">
        <v>196</v>
      </c>
      <c r="O32" s="11" t="s">
        <v>27</v>
      </c>
      <c r="P32" s="0" t="n">
        <v>21076</v>
      </c>
      <c r="R32" s="10" t="n">
        <f aca="false">IFERROR(LOOKUP(IF(Q32="",G32,Q32),{0,1,10,100,1000,5000,10000},{0,0.099,0.01,0.003,0.002,0.002,0.001}),"")</f>
        <v>0.01</v>
      </c>
      <c r="S32" s="10" t="n">
        <f aca="false">IFERROR(IF(Q32="",G32,Q32)*R32,"")</f>
        <v>0.5</v>
      </c>
      <c r="T32" s="0" t="s">
        <v>197</v>
      </c>
      <c r="U32" s="11" t="s">
        <v>27</v>
      </c>
      <c r="AA32" s="11" t="s">
        <v>27</v>
      </c>
    </row>
    <row r="33" customFormat="false" ht="15" hidden="false" customHeight="false" outlineLevel="0" collapsed="false">
      <c r="A33" s="0" t="s">
        <v>198</v>
      </c>
      <c r="B33" s="0" t="s">
        <v>199</v>
      </c>
      <c r="C33" s="0" t="s">
        <v>200</v>
      </c>
      <c r="D33" s="0" t="s">
        <v>201</v>
      </c>
      <c r="E33" s="0" t="s">
        <v>202</v>
      </c>
      <c r="F33" s="0" t="s">
        <v>199</v>
      </c>
      <c r="G33" s="0" t="n">
        <f aca="false">BoardQty*3</f>
        <v>150</v>
      </c>
      <c r="H33" s="10" t="n">
        <f aca="true">MINA(INDIRECT(ADDRESS(ROW(),COLUMN(newark_part_data)+2)),INDIRECT(ADDRESS(ROW(),COLUMN(digikey_part_data)+2)),INDIRECT(ADDRESS(ROW(),COLUMN(mouser_part_data)+2)))</f>
        <v>0.025</v>
      </c>
      <c r="I33" s="10" t="n">
        <f aca="false">IFERROR(G33*H33,"")</f>
        <v>3.75</v>
      </c>
      <c r="J33" s="0" t="n">
        <v>491932</v>
      </c>
      <c r="L33" s="10" t="n">
        <f aca="false">IFERROR(LOOKUP(IF(K33="",G33,K33),{0,1,10,100,500,1000,2500,5000,12500,25000,62500,125000},{0,0.1,0.077,0.042,0.02582,0.01761,0.01454,0.01311,0.0114,0.01026,0.00912,0.00758}),"")</f>
        <v>0.042</v>
      </c>
      <c r="M33" s="10" t="n">
        <f aca="false">IFERROR(IF(K33="",G33,K33)*L33,"")</f>
        <v>6.3</v>
      </c>
      <c r="N33" s="0" t="s">
        <v>203</v>
      </c>
      <c r="O33" s="11" t="s">
        <v>27</v>
      </c>
      <c r="P33" s="0" t="n">
        <v>137780</v>
      </c>
      <c r="R33" s="10" t="n">
        <f aca="false">IFERROR(LOOKUP(IF(Q33="",G33,Q33),{0,1,10,100,1000,2500,10000,25000,50000,100000},{0,0.099,0.073,0.026,0.017,0.013,0.011,0.01,0.009,0.008}),"")</f>
        <v>0.026</v>
      </c>
      <c r="S33" s="10" t="n">
        <f aca="false">IFERROR(IF(Q33="",G33,Q33)*R33,"")</f>
        <v>3.9</v>
      </c>
      <c r="T33" s="0" t="s">
        <v>204</v>
      </c>
      <c r="U33" s="11" t="s">
        <v>27</v>
      </c>
      <c r="V33" s="0" t="n">
        <v>2572</v>
      </c>
      <c r="X33" s="10" t="n">
        <f aca="false">IFERROR(LOOKUP(IF(W33="",G33,W33),{0,1,10,100,1000,2500,10000,25000,50000},{0,0.088,0.072,0.025,0.017,0.009,0.008,0.008,0.008}),"")</f>
        <v>0.025</v>
      </c>
      <c r="Y33" s="10" t="n">
        <f aca="false">IFERROR(IF(W33="",G33,W33)*X33,"")</f>
        <v>3.75</v>
      </c>
      <c r="Z33" s="0" t="s">
        <v>205</v>
      </c>
      <c r="AA33" s="11" t="s">
        <v>27</v>
      </c>
    </row>
    <row r="34" customFormat="false" ht="15" hidden="false" customHeight="false" outlineLevel="0" collapsed="false">
      <c r="A34" s="0" t="s">
        <v>206</v>
      </c>
      <c r="B34" s="0" t="s">
        <v>207</v>
      </c>
      <c r="C34" s="0" t="s">
        <v>208</v>
      </c>
      <c r="D34" s="0" t="s">
        <v>113</v>
      </c>
      <c r="E34" s="0" t="s">
        <v>114</v>
      </c>
      <c r="F34" s="0" t="s">
        <v>209</v>
      </c>
      <c r="G34" s="0" t="n">
        <f aca="false">BoardQty*4</f>
        <v>200</v>
      </c>
      <c r="H34" s="10" t="n">
        <f aca="true">MINA(INDIRECT(ADDRESS(ROW(),COLUMN(newark_part_data)+2)),INDIRECT(ADDRESS(ROW(),COLUMN(digikey_part_data)+2)),INDIRECT(ADDRESS(ROW(),COLUMN(mouser_part_data)+2)))</f>
        <v>0.014</v>
      </c>
      <c r="I34" s="10" t="n">
        <f aca="false">IFERROR(G34*H34,"")</f>
        <v>2.8</v>
      </c>
      <c r="J34" s="0" t="n">
        <v>97992</v>
      </c>
      <c r="L34" s="10" t="n">
        <f aca="false">IFERROR(LOOKUP(IF(K34="",G34,K34),{0,1,10,50,100,250,500,1000,4000,8000,12000,28000,100000},{0,0.1,0.043,0.0234,0.0198,0.0162,0.01386,0.0108,0.00828,0.00756,0.0072,0.00684,0.00495}),"")</f>
        <v>0.0198</v>
      </c>
      <c r="M34" s="10" t="n">
        <f aca="false">IFERROR(IF(K34="",G34,K34)*L34,"")</f>
        <v>3.96</v>
      </c>
      <c r="N34" s="0" t="s">
        <v>210</v>
      </c>
      <c r="O34" s="11" t="s">
        <v>27</v>
      </c>
      <c r="P34" s="0" t="n">
        <v>41913</v>
      </c>
      <c r="R34" s="10" t="n">
        <f aca="false">IFERROR(LOOKUP(IF(Q34="",G34,Q34),{0,1,10,100,1000,4000,8000},{0,0.099,0.024,0.014,0.011,0.009,0.008}),"")</f>
        <v>0.014</v>
      </c>
      <c r="S34" s="10" t="n">
        <f aca="false">IFERROR(IF(Q34="",G34,Q34)*R34,"")</f>
        <v>2.8</v>
      </c>
      <c r="T34" s="0" t="s">
        <v>211</v>
      </c>
      <c r="U34" s="11" t="s">
        <v>27</v>
      </c>
      <c r="V34" s="0" t="n">
        <v>820</v>
      </c>
      <c r="X34" s="10" t="n">
        <f aca="false">IFERROR(LOOKUP(IF(W34="",G34,W34),{0,1,10,50,100,250,500,4000,8000},{0,0.095,0.029,0.017,0.014,0.011,0.01,0.005,0.004}),"")</f>
        <v>0.014</v>
      </c>
      <c r="Y34" s="10" t="n">
        <f aca="false">IFERROR(IF(W34="",G34,W34)*X34,"")</f>
        <v>2.8</v>
      </c>
      <c r="Z34" s="0" t="s">
        <v>212</v>
      </c>
      <c r="AA34" s="11" t="s">
        <v>27</v>
      </c>
    </row>
    <row r="35" customFormat="false" ht="15" hidden="false" customHeight="false" outlineLevel="0" collapsed="false">
      <c r="A35" s="0" t="s">
        <v>213</v>
      </c>
      <c r="B35" s="0" t="s">
        <v>214</v>
      </c>
      <c r="C35" s="0" t="s">
        <v>215</v>
      </c>
      <c r="D35" s="0" t="s">
        <v>216</v>
      </c>
      <c r="E35" s="0" t="s">
        <v>217</v>
      </c>
      <c r="F35" s="0" t="s">
        <v>218</v>
      </c>
      <c r="G35" s="0" t="n">
        <f aca="false">BoardQty*1</f>
        <v>50</v>
      </c>
      <c r="H35" s="10" t="n">
        <f aca="true">MINA(INDIRECT(ADDRESS(ROW(),COLUMN(newark_part_data)+2)),INDIRECT(ADDRESS(ROW(),COLUMN(digikey_part_data)+2)),INDIRECT(ADDRESS(ROW(),COLUMN(mouser_part_data)+2)))</f>
        <v>0.444</v>
      </c>
      <c r="I35" s="10" t="n">
        <f aca="false">IFERROR(G35*H35,"")</f>
        <v>22.2</v>
      </c>
      <c r="P35" s="0" t="n">
        <v>3115</v>
      </c>
      <c r="R35" s="10" t="n">
        <f aca="false">IFERROR(LOOKUP(IF(Q35="",G35,Q35),{0,1,10,100,250,500,1000,2400,4800,9600},{0,1.13,0.941,0.862,0.784,0.705,0.628,0.517,0.499,0.463}),"")</f>
        <v>0.941</v>
      </c>
      <c r="S35" s="10" t="n">
        <f aca="false">IFERROR(IF(Q35="",G35,Q35)*R35,"")</f>
        <v>47.05</v>
      </c>
      <c r="T35" s="0" t="s">
        <v>219</v>
      </c>
      <c r="U35" s="11" t="s">
        <v>27</v>
      </c>
      <c r="V35" s="0" t="n">
        <v>2400</v>
      </c>
      <c r="X35" s="10" t="n">
        <f aca="false">IFERROR(LOOKUP(IF(W35="",G35,W35),{0,1,2400},{0,0.444,0.444}),"")</f>
        <v>0.444</v>
      </c>
      <c r="Y35" s="10" t="n">
        <f aca="false">IFERROR(IF(W35="",G35,W35)*X35,"")</f>
        <v>22.2</v>
      </c>
      <c r="Z35" s="0" t="s">
        <v>220</v>
      </c>
      <c r="AA35" s="11" t="s">
        <v>27</v>
      </c>
    </row>
    <row r="36" customFormat="false" ht="15" hidden="false" customHeight="false" outlineLevel="0" collapsed="false">
      <c r="A36" s="0" t="s">
        <v>221</v>
      </c>
      <c r="B36" s="0" t="s">
        <v>222</v>
      </c>
      <c r="C36" s="0" t="s">
        <v>223</v>
      </c>
      <c r="D36" s="0" t="s">
        <v>33</v>
      </c>
      <c r="E36" s="0" t="s">
        <v>34</v>
      </c>
      <c r="F36" s="0" t="s">
        <v>224</v>
      </c>
      <c r="G36" s="0" t="n">
        <f aca="false">BoardQty*1</f>
        <v>50</v>
      </c>
      <c r="H36" s="10" t="n">
        <f aca="true">MINA(INDIRECT(ADDRESS(ROW(),COLUMN(newark_part_data)+2)),INDIRECT(ADDRESS(ROW(),COLUMN(digikey_part_data)+2)),INDIRECT(ADDRESS(ROW(),COLUMN(mouser_part_data)+2)))</f>
        <v>0.099</v>
      </c>
      <c r="I36" s="10" t="n">
        <f aca="false">IFERROR(G36*H36,"")</f>
        <v>4.95</v>
      </c>
      <c r="J36" s="0" t="n">
        <v>28698</v>
      </c>
      <c r="L36" s="10" t="n">
        <f aca="false">IFERROR(LOOKUP(IF(K36="",G36,K36),{0,1,10,100,500,1000,3000,6000,10000,15000,30000,50000,75000,100000,150000,250000},{0,0.12,0.105,0.0575,0.03534,0.0241,0.01989,0.01794,0.0156,0.0156,0.01404,0.01248,0.01248,0.0117,0.01037,0.01037}),"")</f>
        <v>0.105</v>
      </c>
      <c r="M36" s="10" t="n">
        <f aca="false">IFERROR(IF(K36="",G36,K36)*L36,"")</f>
        <v>5.25</v>
      </c>
      <c r="N36" s="0" t="s">
        <v>225</v>
      </c>
      <c r="O36" s="11" t="s">
        <v>27</v>
      </c>
      <c r="P36" s="0" t="n">
        <v>18951</v>
      </c>
      <c r="R36" s="10" t="n">
        <f aca="false">IFERROR(LOOKUP(IF(Q36="",G36,Q36),{0,1,10,100,1000,2500,10000,20000,50000,100000},{0,0.109,0.099,0.035,0.023,0.017,0.015,0.014,0.012,0.01}),"")</f>
        <v>0.099</v>
      </c>
      <c r="S36" s="10" t="n">
        <f aca="false">IFERROR(IF(Q36="",G36,Q36)*R36,"")</f>
        <v>4.95</v>
      </c>
      <c r="T36" s="0" t="s">
        <v>226</v>
      </c>
      <c r="U36" s="11" t="s">
        <v>27</v>
      </c>
      <c r="AA36" s="11" t="s">
        <v>27</v>
      </c>
    </row>
    <row r="37" customFormat="false" ht="15" hidden="false" customHeight="false" outlineLevel="0" collapsed="false">
      <c r="A37" s="0" t="s">
        <v>227</v>
      </c>
      <c r="B37" s="0" t="s">
        <v>228</v>
      </c>
      <c r="C37" s="0" t="s">
        <v>229</v>
      </c>
      <c r="D37" s="0" t="s">
        <v>33</v>
      </c>
      <c r="E37" s="0" t="s">
        <v>34</v>
      </c>
      <c r="F37" s="0" t="s">
        <v>230</v>
      </c>
      <c r="G37" s="0" t="n">
        <f aca="false">BoardQty*2</f>
        <v>100</v>
      </c>
      <c r="H37" s="10" t="n">
        <f aca="true">MINA(INDIRECT(ADDRESS(ROW(),COLUMN(newark_part_data)+2)),INDIRECT(ADDRESS(ROW(),COLUMN(digikey_part_data)+2)),INDIRECT(ADDRESS(ROW(),COLUMN(mouser_part_data)+2)))</f>
        <v>0.078</v>
      </c>
      <c r="I37" s="10" t="n">
        <f aca="false">IFERROR(G37*H37,"")</f>
        <v>7.8</v>
      </c>
      <c r="J37" s="0" t="n">
        <v>33101</v>
      </c>
      <c r="L37" s="10" t="n">
        <f aca="false">IFERROR(LOOKUP(IF(K37="",G37,K37),{0,1,10,100,500,1000,3000,6000,15000,30000,75000,150000},{0,0.28,0.229,0.1215,0.0799,0.05444,0.04761,0.0414,0.03519,0.03312,0.03105,0.02691}),"")</f>
        <v>0.1215</v>
      </c>
      <c r="M37" s="10" t="n">
        <f aca="false">IFERROR(IF(K37="",G37,K37)*L37,"")</f>
        <v>12.15</v>
      </c>
      <c r="N37" s="0" t="s">
        <v>231</v>
      </c>
      <c r="O37" s="11" t="s">
        <v>27</v>
      </c>
      <c r="P37" s="0" t="n">
        <v>41373</v>
      </c>
      <c r="R37" s="10" t="n">
        <f aca="false">IFERROR(LOOKUP(IF(Q37="",G37,Q37),{0,1,10,100,1000,3000,24000,45000,99000},{0,0.286,0.19,0.078,0.053,0.04,0.033,0.031,0.027}),"")</f>
        <v>0.078</v>
      </c>
      <c r="S37" s="10" t="n">
        <f aca="false">IFERROR(IF(Q37="",G37,Q37)*R37,"")</f>
        <v>7.8</v>
      </c>
      <c r="T37" s="0" t="s">
        <v>232</v>
      </c>
      <c r="U37" s="11" t="s">
        <v>27</v>
      </c>
      <c r="V37" s="0" t="n">
        <v>2090</v>
      </c>
      <c r="X37" s="10" t="n">
        <f aca="false">IFERROR(LOOKUP(IF(W37="",G37,W37),{0,1,10,100,1000,3000,24000,45000},{0,0.288,0.192,0.081,0.055,0.042,0.034,0.028}),"")</f>
        <v>0.081</v>
      </c>
      <c r="Y37" s="10" t="n">
        <f aca="false">IFERROR(IF(W37="",G37,W37)*X37,"")</f>
        <v>8.1</v>
      </c>
      <c r="Z37" s="0" t="s">
        <v>233</v>
      </c>
      <c r="AA37" s="11" t="s">
        <v>27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237</v>
      </c>
      <c r="E38" s="0" t="s">
        <v>238</v>
      </c>
      <c r="F38" s="0" t="s">
        <v>239</v>
      </c>
      <c r="G38" s="0" t="n">
        <f aca="false">BoardQty*1</f>
        <v>50</v>
      </c>
      <c r="H38" s="10" t="n">
        <f aca="true">MINA(INDIRECT(ADDRESS(ROW(),COLUMN(newark_part_data)+2)),INDIRECT(ADDRESS(ROW(),COLUMN(digikey_part_data)+2)),INDIRECT(ADDRESS(ROW(),COLUMN(mouser_part_data)+2)))</f>
        <v>1.1</v>
      </c>
      <c r="I38" s="10" t="n">
        <f aca="false">IFERROR(G38*H38,"")</f>
        <v>55</v>
      </c>
      <c r="J38" s="0" t="n">
        <v>19616</v>
      </c>
      <c r="L38" s="10" t="n">
        <f aca="false">IFERROR(LOOKUP(IF(K38="",G38,K38),{0,1,10,100,500,1000},{0,1.18,1.1,0.99,0.85,0.73}),"")</f>
        <v>1.1</v>
      </c>
      <c r="M38" s="10" t="n">
        <f aca="false">IFERROR(IF(K38="",G38,K38)*L38,"")</f>
        <v>55</v>
      </c>
      <c r="N38" s="0" t="s">
        <v>240</v>
      </c>
      <c r="O38" s="11" t="s">
        <v>27</v>
      </c>
    </row>
    <row r="39" customFormat="false" ht="15" hidden="false" customHeight="false" outlineLevel="0" collapsed="false">
      <c r="A39" s="0" t="s">
        <v>241</v>
      </c>
      <c r="B39" s="0" t="s">
        <v>242</v>
      </c>
      <c r="C39" s="0" t="s">
        <v>243</v>
      </c>
      <c r="D39" s="0" t="s">
        <v>244</v>
      </c>
      <c r="E39" s="0" t="s">
        <v>114</v>
      </c>
      <c r="F39" s="0" t="s">
        <v>245</v>
      </c>
      <c r="G39" s="0" t="n">
        <f aca="false">BoardQty*2</f>
        <v>100</v>
      </c>
      <c r="H39" s="10" t="n">
        <f aca="true">MINA(INDIRECT(ADDRESS(ROW(),COLUMN(newark_part_data)+2)),INDIRECT(ADDRESS(ROW(),COLUMN(digikey_part_data)+2)),INDIRECT(ADDRESS(ROW(),COLUMN(mouser_part_data)+2)))</f>
        <v>0.134</v>
      </c>
      <c r="I39" s="10" t="n">
        <f aca="false">IFERROR(G39*H39,"")</f>
        <v>13.4</v>
      </c>
      <c r="P39" s="0" t="n">
        <v>17233</v>
      </c>
      <c r="R39" s="10" t="n">
        <f aca="false">IFERROR(LOOKUP(IF(Q39="",G39,Q39),{0,1,10,100,500,1000,5000,9000,45000},{0,0.346,0.204,0.134,0.099,0.081,0.072,0.059,0.056}),"")</f>
        <v>0.134</v>
      </c>
      <c r="S39" s="10" t="n">
        <f aca="false">IFERROR(IF(Q39="",G39,Q39)*R39,"")</f>
        <v>13.4</v>
      </c>
      <c r="T39" s="0" t="s">
        <v>246</v>
      </c>
      <c r="U39" s="11" t="s">
        <v>27</v>
      </c>
      <c r="AA39" s="11" t="s">
        <v>27</v>
      </c>
    </row>
    <row r="40" customFormat="false" ht="15" hidden="false" customHeight="false" outlineLevel="0" collapsed="false">
      <c r="A40" s="0" t="s">
        <v>247</v>
      </c>
      <c r="B40" s="0" t="s">
        <v>248</v>
      </c>
      <c r="C40" s="0" t="s">
        <v>249</v>
      </c>
      <c r="D40" s="0" t="s">
        <v>23</v>
      </c>
      <c r="E40" s="0" t="s">
        <v>24</v>
      </c>
      <c r="F40" s="0" t="s">
        <v>25</v>
      </c>
      <c r="G40" s="0" t="n">
        <f aca="false">BoardQty*1</f>
        <v>50</v>
      </c>
      <c r="H40" s="10" t="n">
        <f aca="true">MINA(INDIRECT(ADDRESS(ROW(),COLUMN(newark_part_data)+2)),INDIRECT(ADDRESS(ROW(),COLUMN(digikey_part_data)+2)),INDIRECT(ADDRESS(ROW(),COLUMN(mouser_part_data)+2)))</f>
        <v>0.542</v>
      </c>
      <c r="I40" s="10" t="n">
        <f aca="false">IFERROR(G40*H40,"")</f>
        <v>27.1</v>
      </c>
      <c r="J40" s="0" t="n">
        <v>1359</v>
      </c>
      <c r="L40" s="10" t="n">
        <f aca="false">IFERROR(LOOKUP(IF(K40="",G40,K40),{0,1,10,25,50,100,250,500,1000,2500},{0,1.05,0.737,0.6872,0.6238,0.6211,0.52448,0.49688,0.44166,0.36713}),"")</f>
        <v>0.6238</v>
      </c>
      <c r="M40" s="10" t="n">
        <f aca="false">IFERROR(IF(K40="",G40,K40)*L40,"")</f>
        <v>31.19</v>
      </c>
      <c r="N40" s="0" t="s">
        <v>26</v>
      </c>
      <c r="O40" s="11" t="s">
        <v>27</v>
      </c>
      <c r="P40" s="0" t="n">
        <v>3139</v>
      </c>
      <c r="R40" s="10" t="n">
        <f aca="false">IFERROR(LOOKUP(IF(Q40="",G40,Q40),{0,1,25,50,100,200,500,1000,2000,5000},{0,0.807,0.748,0.59,0.553,0.5,0.484,0.48,0.399,0.326}),"")</f>
        <v>0.59</v>
      </c>
      <c r="S40" s="10" t="n">
        <f aca="false">IFERROR(IF(Q40="",G40,Q40)*R40,"")</f>
        <v>29.5</v>
      </c>
      <c r="T40" s="0" t="s">
        <v>28</v>
      </c>
      <c r="U40" s="11" t="s">
        <v>27</v>
      </c>
      <c r="V40" s="0" t="n">
        <v>1845</v>
      </c>
      <c r="X40" s="10" t="n">
        <f aca="false">IFERROR(LOOKUP(IF(W40="",G40,W40),{0,1,25,50,100,200,500,1000,2000},{0,0.75,0.687,0.542,0.508,0.46,0.445,0.441,0.367}),"")</f>
        <v>0.542</v>
      </c>
      <c r="Y40" s="10" t="n">
        <f aca="false">IFERROR(IF(W40="",G40,W40)*X40,"")</f>
        <v>27.1</v>
      </c>
      <c r="Z40" s="0" t="s">
        <v>29</v>
      </c>
      <c r="AA40" s="11" t="s">
        <v>27</v>
      </c>
    </row>
    <row r="41" customFormat="false" ht="15" hidden="false" customHeight="false" outlineLevel="0" collapsed="false">
      <c r="A41" s="0" t="s">
        <v>250</v>
      </c>
      <c r="B41" s="0" t="s">
        <v>251</v>
      </c>
      <c r="C41" s="0" t="s">
        <v>252</v>
      </c>
      <c r="D41" s="0" t="s">
        <v>33</v>
      </c>
      <c r="E41" s="0" t="s">
        <v>253</v>
      </c>
      <c r="F41" s="0" t="s">
        <v>254</v>
      </c>
      <c r="G41" s="0" t="n">
        <f aca="false">BoardQty*1</f>
        <v>50</v>
      </c>
      <c r="H41" s="10" t="n">
        <f aca="true">MINA(INDIRECT(ADDRESS(ROW(),COLUMN(newark_part_data)+2)),INDIRECT(ADDRESS(ROW(),COLUMN(digikey_part_data)+2)),INDIRECT(ADDRESS(ROW(),COLUMN(mouser_part_data)+2)))</f>
        <v>0.313</v>
      </c>
      <c r="I41" s="10" t="n">
        <f aca="false">IFERROR(G41*H41,"")</f>
        <v>15.65</v>
      </c>
      <c r="J41" s="0" t="n">
        <v>108002</v>
      </c>
      <c r="L41" s="10" t="n">
        <f aca="false">IFERROR(LOOKUP(IF(K41="",G41,K41),{0,1,10,100,500,1000,3000,6000,15000,30000,75000,150000},{0,0.47,0.352,0.2195,0.15008,0.11536,0.1008,0.0952,0.0868,0.0812,0.0728,0.07}),"")</f>
        <v>0.352</v>
      </c>
      <c r="M41" s="10" t="n">
        <f aca="false">IFERROR(IF(K41="",G41,K41)*L41,"")</f>
        <v>17.6</v>
      </c>
      <c r="N41" s="0" t="s">
        <v>255</v>
      </c>
      <c r="O41" s="11" t="s">
        <v>27</v>
      </c>
      <c r="P41" s="0" t="n">
        <v>47946</v>
      </c>
      <c r="R41" s="10" t="n">
        <f aca="false">IFERROR(LOOKUP(IF(Q41="",G41,Q41),{0,1,10,100,1000,3000,9000,24000,45000,99000},{0,0.453,0.313,0.148,0.113,0.094,0.086,0.08,0.072,0.071}),"")</f>
        <v>0.313</v>
      </c>
      <c r="S41" s="10" t="n">
        <f aca="false">IFERROR(IF(Q41="",G41,Q41)*R41,"")</f>
        <v>15.65</v>
      </c>
      <c r="T41" s="0" t="s">
        <v>256</v>
      </c>
      <c r="U41" s="11" t="s">
        <v>27</v>
      </c>
    </row>
    <row r="42" customFormat="false" ht="15" hidden="false" customHeight="false" outlineLevel="0" collapsed="false">
      <c r="A42" s="0" t="s">
        <v>257</v>
      </c>
      <c r="B42" s="0" t="s">
        <v>258</v>
      </c>
      <c r="C42" s="0" t="s">
        <v>259</v>
      </c>
      <c r="D42" s="0" t="s">
        <v>260</v>
      </c>
      <c r="E42" s="0" t="s">
        <v>261</v>
      </c>
      <c r="F42" s="0" t="s">
        <v>262</v>
      </c>
      <c r="G42" s="0" t="n">
        <f aca="false">BoardQty*1</f>
        <v>50</v>
      </c>
      <c r="H42" s="10" t="n">
        <f aca="true">MINA(INDIRECT(ADDRESS(ROW(),COLUMN(newark_part_data)+2)),INDIRECT(ADDRESS(ROW(),COLUMN(digikey_part_data)+2)),INDIRECT(ADDRESS(ROW(),COLUMN(mouser_part_data)+2)))</f>
        <v>0.2832</v>
      </c>
      <c r="I42" s="10" t="n">
        <f aca="false">IFERROR(G42*H42,"")</f>
        <v>14.16</v>
      </c>
      <c r="J42" s="0" t="n">
        <v>907102</v>
      </c>
      <c r="L42" s="10" t="n">
        <f aca="false">IFERROR(LOOKUP(IF(K42="",G42,K42),{0,1,10,50,100,500,1000,3000,6000,15000},{0,0.38,0.316,0.2832,0.252,0.24,0.2016,0.18,0.174,0.168}),"")</f>
        <v>0.2832</v>
      </c>
      <c r="M42" s="10" t="n">
        <f aca="false">IFERROR(IF(K42="",G42,K42)*L42,"")</f>
        <v>14.16</v>
      </c>
      <c r="N42" s="0" t="s">
        <v>263</v>
      </c>
      <c r="O42" s="11" t="s">
        <v>27</v>
      </c>
      <c r="V42" s="0" t="n">
        <v>2128</v>
      </c>
      <c r="X42" s="10" t="n">
        <f aca="false">IFERROR(LOOKUP(IF(W42="",G42,W42),{0,1,10,50,100,500,750,3000,6000},{0,0.656,0.563,0.494,0.417,0.371,0.35,0.316,0.306}),"")</f>
        <v>0.494</v>
      </c>
      <c r="Y42" s="10" t="n">
        <f aca="false">IFERROR(IF(W42="",G42,W42)*X42,"")</f>
        <v>24.7</v>
      </c>
      <c r="Z42" s="0" t="s">
        <v>264</v>
      </c>
      <c r="AA42" s="11" t="s">
        <v>27</v>
      </c>
    </row>
    <row r="43" customFormat="false" ht="15" hidden="false" customHeight="false" outlineLevel="0" collapsed="false">
      <c r="A43" s="0" t="s">
        <v>265</v>
      </c>
      <c r="B43" s="0" t="s">
        <v>122</v>
      </c>
      <c r="C43" s="0" t="s">
        <v>123</v>
      </c>
      <c r="D43" s="0" t="s">
        <v>84</v>
      </c>
      <c r="E43" s="0" t="s">
        <v>124</v>
      </c>
      <c r="F43" s="0" t="s">
        <v>122</v>
      </c>
      <c r="G43" s="0" t="n">
        <f aca="false">BoardQty*4</f>
        <v>200</v>
      </c>
      <c r="H43" s="10" t="n">
        <f aca="true">MINA(INDIRECT(ADDRESS(ROW(),COLUMN(newark_part_data)+2)),INDIRECT(ADDRESS(ROW(),COLUMN(digikey_part_data)+2)),INDIRECT(ADDRESS(ROW(),COLUMN(mouser_part_data)+2)))</f>
        <v>0.029</v>
      </c>
      <c r="I43" s="10" t="n">
        <f aca="false">IFERROR(G43*H43,"")</f>
        <v>5.8</v>
      </c>
      <c r="J43" s="0" t="n">
        <v>236242</v>
      </c>
      <c r="L43" s="10" t="n">
        <f aca="false">IFERROR(LOOKUP(IF(K43="",G43,K43),{0,1,10,100,250,500,1000,4000,8000,12000,28000,100000},{0,0.1,0.073,0.0436,0.03168,0.02904,0.02508,0.0192,0.0174,0.0168,0.0156,0.01542}),"")</f>
        <v>0.0436</v>
      </c>
      <c r="M43" s="10" t="n">
        <f aca="false">IFERROR(IF(K43="",G43,K43)*L43,"")</f>
        <v>8.72</v>
      </c>
      <c r="N43" s="0" t="s">
        <v>125</v>
      </c>
      <c r="O43" s="11" t="s">
        <v>27</v>
      </c>
      <c r="P43" s="0" t="n">
        <v>42239</v>
      </c>
      <c r="R43" s="10" t="n">
        <f aca="false">IFERROR(LOOKUP(IF(Q43="",G43,Q43),{0,1,10,100,1000,4000,8000,24000},{0,0.099,0.072,0.029,0.026,0.02,0.016,0.015}),"")</f>
        <v>0.029</v>
      </c>
      <c r="S43" s="10" t="n">
        <f aca="false">IFERROR(IF(Q43="",G43,Q43)*R43,"")</f>
        <v>5.8</v>
      </c>
      <c r="T43" s="0" t="s">
        <v>126</v>
      </c>
      <c r="U43" s="11" t="s">
        <v>27</v>
      </c>
      <c r="V43" s="0" t="n">
        <v>8824</v>
      </c>
      <c r="X43" s="10" t="n">
        <f aca="false">IFERROR(LOOKUP(IF(W43="",G43,W43),{0,1,10,100,250,500,1000,4000,8000},{0,0.175,0.12,0.057,0.048,0.04,0.033,0.025,0.024}),"")</f>
        <v>0.057</v>
      </c>
      <c r="Y43" s="10" t="n">
        <f aca="false">IFERROR(IF(W43="",G43,W43)*X43,"")</f>
        <v>11.4</v>
      </c>
      <c r="Z43" s="0" t="s">
        <v>127</v>
      </c>
      <c r="AA43" s="11" t="s">
        <v>27</v>
      </c>
    </row>
    <row r="44" customFormat="false" ht="15" hidden="false" customHeight="false" outlineLevel="0" collapsed="false">
      <c r="A44" s="0" t="s">
        <v>266</v>
      </c>
      <c r="B44" s="0" t="s">
        <v>267</v>
      </c>
      <c r="C44" s="0" t="s">
        <v>268</v>
      </c>
      <c r="D44" s="0" t="s">
        <v>269</v>
      </c>
      <c r="E44" s="0" t="s">
        <v>270</v>
      </c>
      <c r="F44" s="0" t="s">
        <v>271</v>
      </c>
      <c r="G44" s="0" t="n">
        <f aca="false">BoardQty*1</f>
        <v>50</v>
      </c>
      <c r="H44" s="10" t="n">
        <f aca="true">MINA(INDIRECT(ADDRESS(ROW(),COLUMN(newark_part_data)+2)),INDIRECT(ADDRESS(ROW(),COLUMN(digikey_part_data)+2)),INDIRECT(ADDRESS(ROW(),COLUMN(mouser_part_data)+2)))</f>
        <v>1.012</v>
      </c>
      <c r="I44" s="10" t="n">
        <f aca="false">IFERROR(G44*H44,"")</f>
        <v>50.6</v>
      </c>
      <c r="J44" s="0" t="n">
        <v>12506</v>
      </c>
      <c r="L44" s="10" t="n">
        <f aca="false">IFERROR(LOOKUP(IF(K44="",G44,K44),{0,1,10,100,500,1000,5000,10000},{0,1.13,1.012,0.8337,0.65902,0.56573,0.5161,0.49625}),"")</f>
        <v>1.012</v>
      </c>
      <c r="M44" s="10" t="n">
        <f aca="false">IFERROR(IF(K44="",G44,K44)*L44,"")</f>
        <v>50.6</v>
      </c>
      <c r="N44" s="0" t="s">
        <v>271</v>
      </c>
      <c r="O44" s="11" t="s">
        <v>27</v>
      </c>
      <c r="P44" s="0" t="n">
        <v>10015</v>
      </c>
      <c r="R44" s="10" t="n">
        <f aca="false">IFERROR(LOOKUP(IF(Q44="",G44,Q44),{0,1,25,50,100,200,500,1000,2000,5000},{0,2.76,2.53,2.42,2.3,2.01,1.96,1.67,1.56,1.43}),"")</f>
        <v>2.42</v>
      </c>
      <c r="S44" s="10" t="n">
        <f aca="false">IFERROR(IF(Q44="",G44,Q44)*R44,"")</f>
        <v>121</v>
      </c>
      <c r="T44" s="0" t="s">
        <v>272</v>
      </c>
      <c r="U44" s="11" t="s">
        <v>27</v>
      </c>
      <c r="AA44" s="11" t="s">
        <v>27</v>
      </c>
    </row>
    <row r="45" customFormat="false" ht="15" hidden="false" customHeight="false" outlineLevel="0" collapsed="false">
      <c r="A45" s="0" t="s">
        <v>273</v>
      </c>
      <c r="B45" s="0" t="s">
        <v>274</v>
      </c>
      <c r="C45" s="0" t="s">
        <v>275</v>
      </c>
      <c r="D45" s="0" t="s">
        <v>48</v>
      </c>
      <c r="E45" s="0" t="s">
        <v>49</v>
      </c>
      <c r="F45" s="0" t="s">
        <v>276</v>
      </c>
      <c r="G45" s="0" t="n">
        <f aca="false">BoardQty*6</f>
        <v>300</v>
      </c>
      <c r="H45" s="10" t="n">
        <f aca="true">MINA(INDIRECT(ADDRESS(ROW(),COLUMN(newark_part_data)+2)),INDIRECT(ADDRESS(ROW(),COLUMN(digikey_part_data)+2)),INDIRECT(ADDRESS(ROW(),COLUMN(mouser_part_data)+2)))</f>
        <v>0.003</v>
      </c>
      <c r="I45" s="10" t="n">
        <f aca="false">IFERROR(G45*H45,"")</f>
        <v>0.9</v>
      </c>
      <c r="J45" s="0" t="n">
        <v>1864659</v>
      </c>
      <c r="L45" s="10" t="n">
        <f aca="false">IFERROR(LOOKUP(IF(K45="",G45,K45),{0,1,10,25,100,250,500,1000,2500,5000,10000,25000,50000,125000},{0,0.1,0.011,0.008,0.0044,0.00336,0.0027,0.00198,0.00172,0.00129,0.00112,0.00099,0.0009,0.00089}),"")</f>
        <v>0.00336</v>
      </c>
      <c r="M45" s="10" t="n">
        <f aca="false">IFERROR(IF(K45="",G45,K45)*L45,"")</f>
        <v>1.008</v>
      </c>
      <c r="N45" s="0" t="s">
        <v>277</v>
      </c>
      <c r="O45" s="11" t="s">
        <v>27</v>
      </c>
      <c r="P45" s="0" t="n">
        <v>55123</v>
      </c>
      <c r="R45" s="10" t="n">
        <f aca="false">IFERROR(LOOKUP(IF(Q45="",G45,Q45),{0,1,10,100,1000,5000,50000},{0,0.099,0.008,0.003,0.002,0.002,0.001}),"")</f>
        <v>0.003</v>
      </c>
      <c r="S45" s="10" t="n">
        <f aca="false">IFERROR(IF(Q45="",G45,Q45)*R45,"")</f>
        <v>0.9</v>
      </c>
      <c r="T45" s="0" t="s">
        <v>278</v>
      </c>
      <c r="U45" s="11" t="s">
        <v>27</v>
      </c>
      <c r="V45" s="0" t="n">
        <v>43161</v>
      </c>
      <c r="X45" s="10" t="n">
        <f aca="false">IFERROR(LOOKUP(IF(W45="",G45,W45),{0,1,10,25,100,250,1000},{0,0.008,0.008,0.008,0.005,0.003,0.003}),"")</f>
        <v>0.003</v>
      </c>
      <c r="Y45" s="10" t="n">
        <f aca="false">IFERROR(IF(W45="",G45,W45)*X45,"")</f>
        <v>0.9</v>
      </c>
      <c r="Z45" s="0" t="s">
        <v>279</v>
      </c>
      <c r="AA45" s="11" t="s">
        <v>27</v>
      </c>
    </row>
    <row r="46" customFormat="false" ht="15" hidden="false" customHeight="false" outlineLevel="0" collapsed="false">
      <c r="A46" s="0" t="s">
        <v>280</v>
      </c>
      <c r="B46" s="0" t="s">
        <v>281</v>
      </c>
      <c r="C46" s="0" t="s">
        <v>282</v>
      </c>
      <c r="D46" s="0" t="s">
        <v>186</v>
      </c>
      <c r="E46" s="0" t="s">
        <v>283</v>
      </c>
      <c r="F46" s="0" t="s">
        <v>284</v>
      </c>
      <c r="G46" s="0" t="n">
        <f aca="false">BoardQty*1</f>
        <v>50</v>
      </c>
      <c r="H46" s="10" t="n">
        <f aca="true">MINA(INDIRECT(ADDRESS(ROW(),COLUMN(newark_part_data)+2)),INDIRECT(ADDRESS(ROW(),COLUMN(digikey_part_data)+2)),INDIRECT(ADDRESS(ROW(),COLUMN(mouser_part_data)+2)))</f>
        <v>2.73</v>
      </c>
      <c r="I46" s="10" t="n">
        <f aca="false">IFERROR(G46*H46,"")</f>
        <v>136.5</v>
      </c>
      <c r="J46" s="0" t="n">
        <v>5271</v>
      </c>
      <c r="L46" s="10" t="n">
        <f aca="false">IFERROR(LOOKUP(IF(K46="",G46,K46),{0,1,25,100,3300},{0,2.86,2.76,2.675,2.675}),"")</f>
        <v>2.76</v>
      </c>
      <c r="M46" s="10" t="n">
        <f aca="false">IFERROR(IF(K46="",G46,K46)*L46,"")</f>
        <v>138</v>
      </c>
      <c r="N46" s="0" t="s">
        <v>285</v>
      </c>
      <c r="O46" s="11" t="s">
        <v>27</v>
      </c>
      <c r="P46" s="0" t="n">
        <v>2338</v>
      </c>
      <c r="R46" s="10" t="n">
        <f aca="false">IFERROR(LOOKUP(IF(Q46="",G46,Q46),{0,1,10,25,100},{0,3.38,2.82,2.73,2.68}),"")</f>
        <v>2.73</v>
      </c>
      <c r="S46" s="10" t="n">
        <f aca="false">IFERROR(IF(Q46="",G46,Q46)*R46,"")</f>
        <v>136.5</v>
      </c>
      <c r="T46" s="0" t="s">
        <v>286</v>
      </c>
      <c r="U46" s="11" t="s">
        <v>27</v>
      </c>
    </row>
    <row r="47" customFormat="false" ht="15" hidden="false" customHeight="false" outlineLevel="0" collapsed="false">
      <c r="A47" s="0" t="s">
        <v>287</v>
      </c>
      <c r="B47" s="0" t="s">
        <v>288</v>
      </c>
      <c r="C47" s="0" t="s">
        <v>289</v>
      </c>
      <c r="D47" s="0" t="s">
        <v>201</v>
      </c>
      <c r="E47" s="0" t="s">
        <v>34</v>
      </c>
      <c r="F47" s="0" t="s">
        <v>288</v>
      </c>
      <c r="G47" s="0" t="n">
        <f aca="false">BoardQty*1</f>
        <v>50</v>
      </c>
      <c r="H47" s="10" t="n">
        <f aca="true">MINA(INDIRECT(ADDRESS(ROW(),COLUMN(newark_part_data)+2)),INDIRECT(ADDRESS(ROW(),COLUMN(digikey_part_data)+2)),INDIRECT(ADDRESS(ROW(),COLUMN(mouser_part_data)+2)))</f>
        <v>0.158</v>
      </c>
      <c r="I47" s="10" t="n">
        <f aca="false">IFERROR(G47*H47,"")</f>
        <v>7.9</v>
      </c>
      <c r="J47" s="0" t="n">
        <v>18428</v>
      </c>
      <c r="L47" s="10" t="n">
        <f aca="false">IFERROR(LOOKUP(IF(K47="",G47,K47),{0,1,10,100,500,1000,3000,6000,15000,20000,30000,75000,150000},{0,0.23,0.192,0.1016,0.06678,0.0455,0.03979,0.0346,0.02941,0.02941,0.02768,0.02595,0.02249}),"")</f>
        <v>0.192</v>
      </c>
      <c r="M47" s="10" t="n">
        <f aca="false">IFERROR(IF(K47="",G47,K47)*L47,"")</f>
        <v>9.6</v>
      </c>
      <c r="N47" s="0" t="s">
        <v>290</v>
      </c>
      <c r="O47" s="11" t="s">
        <v>27</v>
      </c>
      <c r="P47" s="0" t="n">
        <v>24753</v>
      </c>
      <c r="R47" s="10" t="n">
        <f aca="false">IFERROR(LOOKUP(IF(Q47="",G47,Q47),{0,1,10,100,1000,3000,24000,45000,99000},{0,0.237,0.158,0.066,0.046,0.035,0.027,0.026,0.022}),"")</f>
        <v>0.158</v>
      </c>
      <c r="S47" s="10" t="n">
        <f aca="false">IFERROR(IF(Q47="",G47,Q47)*R47,"")</f>
        <v>7.9</v>
      </c>
      <c r="T47" s="0" t="s">
        <v>291</v>
      </c>
      <c r="U47" s="11" t="s">
        <v>27</v>
      </c>
      <c r="V47" s="0" t="n">
        <v>8706</v>
      </c>
      <c r="X47" s="10" t="n">
        <f aca="false">IFERROR(LOOKUP(IF(W47="",G47,W47),{0,1,10,100,1000},{0,0.24,0.16,0.067,0.046}),"")</f>
        <v>0.16</v>
      </c>
      <c r="Y47" s="10" t="n">
        <f aca="false">IFERROR(IF(W47="",G47,W47)*X47,"")</f>
        <v>8</v>
      </c>
      <c r="Z47" s="0" t="s">
        <v>292</v>
      </c>
      <c r="AA47" s="11" t="s">
        <v>27</v>
      </c>
    </row>
    <row r="48" customFormat="false" ht="15" hidden="false" customHeight="false" outlineLevel="0" collapsed="false">
      <c r="A48" s="0" t="s">
        <v>293</v>
      </c>
      <c r="B48" s="0" t="s">
        <v>294</v>
      </c>
      <c r="C48" s="0" t="s">
        <v>295</v>
      </c>
      <c r="D48" s="0" t="s">
        <v>33</v>
      </c>
      <c r="E48" s="0" t="s">
        <v>296</v>
      </c>
      <c r="F48" s="0" t="s">
        <v>297</v>
      </c>
      <c r="G48" s="0" t="n">
        <f aca="false">BoardQty*1</f>
        <v>50</v>
      </c>
      <c r="H48" s="10" t="n">
        <f aca="true">MINA(INDIRECT(ADDRESS(ROW(),COLUMN(newark_part_data)+2)),INDIRECT(ADDRESS(ROW(),COLUMN(digikey_part_data)+2)),INDIRECT(ADDRESS(ROW(),COLUMN(mouser_part_data)+2)))</f>
        <v>0.129</v>
      </c>
      <c r="I48" s="10" t="n">
        <f aca="false">IFERROR(G48*H48,"")</f>
        <v>6.45</v>
      </c>
      <c r="J48" s="0" t="n">
        <v>301563</v>
      </c>
      <c r="L48" s="10" t="n">
        <f aca="false">IFERROR(LOOKUP(IF(K48="",G48,K48),{0,1,10,100,500,1000,3000,6000,15000,30000,75000,150000},{0,0.15,0.135,0.0737,0.0453,0.0309,0.0255,0.023,0.02,0.018,0.016,0.0133}),"")</f>
        <v>0.135</v>
      </c>
      <c r="M48" s="10" t="n">
        <f aca="false">IFERROR(IF(K48="",G48,K48)*L48,"")</f>
        <v>6.75</v>
      </c>
      <c r="N48" s="0" t="s">
        <v>298</v>
      </c>
      <c r="O48" s="11" t="s">
        <v>27</v>
      </c>
      <c r="P48" s="0" t="n">
        <v>16718</v>
      </c>
      <c r="R48" s="10" t="n">
        <f aca="false">IFERROR(LOOKUP(IF(Q48="",G48,Q48),{0,1,10,100,1000,3000,9000,24000,45000,99000},{0,0.14,0.129,0.045,0.029,0.023,0.02,0.017,0.016,0.013}),"")</f>
        <v>0.129</v>
      </c>
      <c r="S48" s="10" t="n">
        <f aca="false">IFERROR(IF(Q48="",G48,Q48)*R48,"")</f>
        <v>6.45</v>
      </c>
      <c r="T48" s="0" t="s">
        <v>299</v>
      </c>
      <c r="U48" s="11" t="s">
        <v>27</v>
      </c>
    </row>
    <row r="49" customFormat="false" ht="15" hidden="false" customHeight="false" outlineLevel="0" collapsed="false">
      <c r="A49" s="0" t="s">
        <v>300</v>
      </c>
      <c r="B49" s="0" t="s">
        <v>301</v>
      </c>
      <c r="C49" s="0" t="s">
        <v>302</v>
      </c>
      <c r="D49" s="0" t="s">
        <v>186</v>
      </c>
      <c r="E49" s="0" t="s">
        <v>303</v>
      </c>
      <c r="F49" s="0" t="s">
        <v>301</v>
      </c>
      <c r="G49" s="0" t="n">
        <f aca="false">BoardQty*1</f>
        <v>50</v>
      </c>
      <c r="H49" s="10" t="n">
        <f aca="true">MINA(INDIRECT(ADDRESS(ROW(),COLUMN(newark_part_data)+2)),INDIRECT(ADDRESS(ROW(),COLUMN(digikey_part_data)+2)),INDIRECT(ADDRESS(ROW(),COLUMN(mouser_part_data)+2)))</f>
        <v>1.73</v>
      </c>
      <c r="I49" s="10" t="n">
        <f aca="false">IFERROR(G49*H49,"")</f>
        <v>86.5</v>
      </c>
      <c r="J49" s="0" t="n">
        <v>257</v>
      </c>
      <c r="L49" s="10" t="n">
        <f aca="false">IFERROR(LOOKUP(IF(K49="",G49,K49),{0,1,10,100,250,500,1000,2500},{0,1.92,1.73,1.3905,1.236,1.0815,0.79,0.79}),"")</f>
        <v>1.73</v>
      </c>
      <c r="M49" s="10" t="n">
        <f aca="false">IFERROR(IF(K49="",G49,K49)*L49,"")</f>
        <v>86.5</v>
      </c>
      <c r="N49" s="0" t="s">
        <v>304</v>
      </c>
      <c r="O49" s="11" t="s">
        <v>27</v>
      </c>
      <c r="U49" s="11" t="s">
        <v>27</v>
      </c>
      <c r="AA49" s="11" t="s">
        <v>27</v>
      </c>
    </row>
    <row r="50" customFormat="false" ht="15" hidden="false" customHeight="false" outlineLevel="0" collapsed="false">
      <c r="A50" s="0" t="s">
        <v>305</v>
      </c>
      <c r="B50" s="0" t="s">
        <v>306</v>
      </c>
      <c r="C50" s="0" t="s">
        <v>307</v>
      </c>
      <c r="D50" s="0" t="s">
        <v>308</v>
      </c>
      <c r="E50" s="0" t="s">
        <v>202</v>
      </c>
      <c r="F50" s="0" t="s">
        <v>309</v>
      </c>
      <c r="G50" s="0" t="n">
        <f aca="false">BoardQty*4</f>
        <v>200</v>
      </c>
      <c r="H50" s="10" t="n">
        <f aca="true">MINA(INDIRECT(ADDRESS(ROW(),COLUMN(newark_part_data)+2)),INDIRECT(ADDRESS(ROW(),COLUMN(digikey_part_data)+2)),INDIRECT(ADDRESS(ROW(),COLUMN(mouser_part_data)+2)))</f>
        <v>0.325</v>
      </c>
      <c r="I50" s="10" t="n">
        <f aca="false">IFERROR(G50*H50,"")</f>
        <v>65</v>
      </c>
      <c r="J50" s="0" t="n">
        <v>2709</v>
      </c>
      <c r="L50" s="10" t="n">
        <f aca="false">IFERROR(LOOKUP(IF(K50="",G50,K50),{0,1,10,100,500,1000,4000,8000,12000,28000,100000,200000},{0,0.67,0.573,0.4277,0.33596,0.259,0.2294,0.2146,0.1998,0.18944,0.18204,0.1776}),"")</f>
        <v>0.4277</v>
      </c>
      <c r="M50" s="10" t="n">
        <f aca="false">IFERROR(IF(K50="",G50,K50)*L50,"")</f>
        <v>85.54</v>
      </c>
      <c r="N50" s="0" t="s">
        <v>310</v>
      </c>
      <c r="O50" s="11" t="s">
        <v>27</v>
      </c>
      <c r="P50" s="0" t="n">
        <v>6646</v>
      </c>
      <c r="R50" s="10" t="n">
        <f aca="false">IFERROR(LOOKUP(IF(Q50="",G50,Q50),{0,1,10,100,1000,4000,8000,24000,48000},{0,0.638,0.532,0.325,0.251,0.215,0.198,0.189,0.185}),"")</f>
        <v>0.325</v>
      </c>
      <c r="S50" s="10" t="n">
        <f aca="false">IFERROR(IF(Q50="",G50,Q50)*R50,"")</f>
        <v>65</v>
      </c>
      <c r="T50" s="0" t="s">
        <v>311</v>
      </c>
      <c r="U50" s="11" t="s">
        <v>27</v>
      </c>
      <c r="V50" s="0" t="n">
        <v>4259</v>
      </c>
      <c r="X50" s="10" t="n">
        <f aca="false">IFERROR(LOOKUP(IF(W50="",G50,W50),{0,1,250,500,1000,5000},{0,0.606,0.457,0.408,0.368,0.334}),"")</f>
        <v>0.606</v>
      </c>
      <c r="Y50" s="10" t="n">
        <f aca="false">IFERROR(IF(W50="",G50,W50)*X50,"")</f>
        <v>121.2</v>
      </c>
      <c r="Z50" s="0" t="s">
        <v>312</v>
      </c>
      <c r="AA50" s="11" t="s">
        <v>27</v>
      </c>
    </row>
    <row r="51" customFormat="false" ht="15" hidden="false" customHeight="false" outlineLevel="0" collapsed="false">
      <c r="A51" s="0" t="s">
        <v>313</v>
      </c>
      <c r="B51" s="0" t="s">
        <v>314</v>
      </c>
      <c r="C51" s="0" t="s">
        <v>315</v>
      </c>
      <c r="D51" s="0" t="s">
        <v>48</v>
      </c>
      <c r="E51" s="0" t="s">
        <v>49</v>
      </c>
      <c r="F51" s="0" t="s">
        <v>316</v>
      </c>
      <c r="G51" s="0" t="n">
        <f aca="false">BoardQty*4</f>
        <v>200</v>
      </c>
      <c r="H51" s="10" t="n">
        <f aca="true">MINA(INDIRECT(ADDRESS(ROW(),COLUMN(newark_part_data)+2)),INDIRECT(ADDRESS(ROW(),COLUMN(digikey_part_data)+2)),INDIRECT(ADDRESS(ROW(),COLUMN(mouser_part_data)+2)))</f>
        <v>0.003</v>
      </c>
      <c r="I51" s="10" t="n">
        <f aca="false">IFERROR(G51*H51,"")</f>
        <v>0.6</v>
      </c>
      <c r="J51" s="0" t="n">
        <v>1742672</v>
      </c>
      <c r="L51" s="10" t="n">
        <f aca="false">IFERROR(LOOKUP(IF(K51="",G51,K51),{0,1,10,25,100,250,500,1000,2500,5000,10000,25000,50000,125000},{0,0.1,0.011,0.008,0.0044,0.00336,0.0027,0.00198,0.00172,0.00129,0.00112,0.00099,0.0009,0.00089}),"")</f>
        <v>0.0044</v>
      </c>
      <c r="M51" s="10" t="n">
        <f aca="false">IFERROR(IF(K51="",G51,K51)*L51,"")</f>
        <v>0.88</v>
      </c>
      <c r="N51" s="0" t="s">
        <v>317</v>
      </c>
      <c r="O51" s="11" t="s">
        <v>27</v>
      </c>
      <c r="P51" s="0" t="n">
        <v>172576</v>
      </c>
      <c r="R51" s="10" t="n">
        <f aca="false">IFERROR(LOOKUP(IF(Q51="",G51,Q51),{0,1,10,100,1000,5000,50000},{0,0.099,0.008,0.003,0.002,0.002,0.001}),"")</f>
        <v>0.003</v>
      </c>
      <c r="S51" s="10" t="n">
        <f aca="false">IFERROR(IF(Q51="",G51,Q51)*R51,"")</f>
        <v>0.6</v>
      </c>
      <c r="T51" s="0" t="s">
        <v>318</v>
      </c>
      <c r="U51" s="11" t="s">
        <v>27</v>
      </c>
      <c r="V51" s="0" t="n">
        <v>20126</v>
      </c>
      <c r="X51" s="10" t="n">
        <f aca="false">IFERROR(LOOKUP(IF(W51="",G51,W51),{0,1,10,25,100,250,1000},{0,0.06,0.01,0.007,0.004,0.003,0.002}),"")</f>
        <v>0.004</v>
      </c>
      <c r="Y51" s="10" t="n">
        <f aca="false">IFERROR(IF(W51="",G51,W51)*X51,"")</f>
        <v>0.8</v>
      </c>
      <c r="Z51" s="0" t="s">
        <v>319</v>
      </c>
      <c r="AA51" s="11" t="s">
        <v>27</v>
      </c>
    </row>
    <row r="52" customFormat="false" ht="15" hidden="false" customHeight="false" outlineLevel="0" collapsed="false">
      <c r="A52" s="0" t="s">
        <v>320</v>
      </c>
      <c r="B52" s="0" t="s">
        <v>168</v>
      </c>
      <c r="C52" s="0" t="s">
        <v>321</v>
      </c>
      <c r="D52" s="0" t="s">
        <v>48</v>
      </c>
      <c r="E52" s="0" t="s">
        <v>49</v>
      </c>
      <c r="F52" s="0" t="s">
        <v>170</v>
      </c>
      <c r="G52" s="0" t="n">
        <f aca="false">BoardQty*4</f>
        <v>200</v>
      </c>
      <c r="H52" s="10" t="n">
        <f aca="true">MINA(INDIRECT(ADDRESS(ROW(),COLUMN(newark_part_data)+2)),INDIRECT(ADDRESS(ROW(),COLUMN(digikey_part_data)+2)),INDIRECT(ADDRESS(ROW(),COLUMN(mouser_part_data)+2)))</f>
        <v>0.003</v>
      </c>
      <c r="I52" s="10" t="n">
        <f aca="false">IFERROR(G52*H52,"")</f>
        <v>0.6</v>
      </c>
      <c r="J52" s="0" t="n">
        <v>3086200</v>
      </c>
      <c r="L52" s="10" t="n">
        <f aca="false">IFERROR(LOOKUP(IF(K52="",G52,K52),{0,1,10,25,100,250,500,1000,2500,5000,10000,25000,50000,125000},{0,0.1,0.011,0.008,0.0044,0.00336,0.0027,0.00198,0.00172,0.00129,0.00112,0.00099,0.0009,0.00089}),"")</f>
        <v>0.0044</v>
      </c>
      <c r="M52" s="10" t="n">
        <f aca="false">IFERROR(IF(K52="",G52,K52)*L52,"")</f>
        <v>0.88</v>
      </c>
      <c r="N52" s="0" t="s">
        <v>171</v>
      </c>
      <c r="O52" s="11" t="s">
        <v>27</v>
      </c>
      <c r="P52" s="0" t="n">
        <v>284684</v>
      </c>
      <c r="R52" s="10" t="n">
        <f aca="false">IFERROR(LOOKUP(IF(Q52="",G52,Q52),{0,1,10,100,1000,5000,50000},{0,0.099,0.008,0.003,0.002,0.002,0.001}),"")</f>
        <v>0.003</v>
      </c>
      <c r="S52" s="10" t="n">
        <f aca="false">IFERROR(IF(Q52="",G52,Q52)*R52,"")</f>
        <v>0.6</v>
      </c>
      <c r="T52" s="0" t="s">
        <v>172</v>
      </c>
      <c r="U52" s="11" t="s">
        <v>27</v>
      </c>
      <c r="V52" s="0" t="n">
        <v>4389</v>
      </c>
      <c r="X52" s="10" t="n">
        <f aca="false">IFERROR(LOOKUP(IF(W52="",G52,W52),{0,1,10,25,100,250,1000,5000,10000},{0,0.06,0.01,0.007,0.004,0.003,0.002,0.002,0.001}),"")</f>
        <v>0.004</v>
      </c>
      <c r="Y52" s="10" t="n">
        <f aca="false">IFERROR(IF(W52="",G52,W52)*X52,"")</f>
        <v>0.8</v>
      </c>
      <c r="Z52" s="0" t="s">
        <v>173</v>
      </c>
      <c r="AA52" s="11" t="s">
        <v>27</v>
      </c>
    </row>
    <row r="53" customFormat="false" ht="15" hidden="false" customHeight="false" outlineLevel="0" collapsed="false">
      <c r="A53" s="0" t="s">
        <v>322</v>
      </c>
      <c r="B53" s="0" t="s">
        <v>323</v>
      </c>
      <c r="C53" s="0" t="s">
        <v>324</v>
      </c>
      <c r="D53" s="0" t="s">
        <v>323</v>
      </c>
      <c r="E53" s="0" t="s">
        <v>325</v>
      </c>
      <c r="F53" s="0" t="s">
        <v>326</v>
      </c>
      <c r="G53" s="0" t="n">
        <f aca="false">BoardQty*1</f>
        <v>50</v>
      </c>
      <c r="H53" s="10" t="n">
        <f aca="true">MINA(INDIRECT(ADDRESS(ROW(),COLUMN(newark_part_data)+2)),INDIRECT(ADDRESS(ROW(),COLUMN(digikey_part_data)+2)),INDIRECT(ADDRESS(ROW(),COLUMN(mouser_part_data)+2)))</f>
        <v>0.5004</v>
      </c>
      <c r="I53" s="10" t="n">
        <f aca="false">IFERROR(G53*H53,"")</f>
        <v>25.02</v>
      </c>
      <c r="J53" s="0" t="n">
        <v>2563</v>
      </c>
      <c r="L53" s="10" t="n">
        <f aca="false">IFERROR(LOOKUP(IF(K53="",G53,K53),{0,1,10,25,50,100,250,500,1000,2000,4000,6000,10000},{0,0.63,0.594,0.5472,0.5004,0.4158,0.378,0.3204,0.2826,0.252,0.2475,0.243,0.234}),"")</f>
        <v>0.5004</v>
      </c>
      <c r="M53" s="10" t="n">
        <f aca="false">IFERROR(IF(K53="",G53,K53)*L53,"")</f>
        <v>25.02</v>
      </c>
      <c r="N53" s="0" t="s">
        <v>327</v>
      </c>
      <c r="O53" s="11" t="s">
        <v>27</v>
      </c>
      <c r="P53" s="0" t="n">
        <v>1145</v>
      </c>
      <c r="R53" s="10" t="n">
        <f aca="false">IFERROR(LOOKUP(IF(Q53="",G53,Q53),{0,1,10,100,250,500,1000,2000,4000,10000},{0,0.651,0.517,0.429,0.39,0.331,0.292,0.261,0.251,0.242}),"")</f>
        <v>0.517</v>
      </c>
      <c r="S53" s="10" t="n">
        <f aca="false">IFERROR(IF(Q53="",G53,Q53)*R53,"")</f>
        <v>25.85</v>
      </c>
      <c r="T53" s="0" t="s">
        <v>328</v>
      </c>
      <c r="U53" s="11" t="s">
        <v>27</v>
      </c>
      <c r="V53" s="0" t="n">
        <v>46</v>
      </c>
      <c r="X53" s="10" t="n">
        <f aca="false">IFERROR(LOOKUP(IF(W53="",G53,W53),{0,1,10,100,250,500,1000},{0,0.609,0.501,0.432,0.411,0.375,0.301}),"")</f>
        <v>0.501</v>
      </c>
      <c r="Y53" s="10" t="n">
        <f aca="false">IFERROR(IF(W53="",G53,W53)*X53,"")</f>
        <v>25.05</v>
      </c>
      <c r="Z53" s="0" t="s">
        <v>329</v>
      </c>
      <c r="AA53" s="11" t="s">
        <v>27</v>
      </c>
    </row>
    <row r="54" customFormat="false" ht="15" hidden="false" customHeight="false" outlineLevel="0" collapsed="false">
      <c r="A54" s="0" t="s">
        <v>330</v>
      </c>
      <c r="B54" s="0" t="s">
        <v>331</v>
      </c>
      <c r="C54" s="0" t="s">
        <v>332</v>
      </c>
      <c r="D54" s="0" t="s">
        <v>48</v>
      </c>
      <c r="E54" s="0" t="s">
        <v>49</v>
      </c>
      <c r="F54" s="0" t="s">
        <v>333</v>
      </c>
      <c r="G54" s="0" t="n">
        <f aca="false">BoardQty*2</f>
        <v>100</v>
      </c>
      <c r="H54" s="10" t="n">
        <f aca="true">MINA(INDIRECT(ADDRESS(ROW(),COLUMN(newark_part_data)+2)),INDIRECT(ADDRESS(ROW(),COLUMN(digikey_part_data)+2)),INDIRECT(ADDRESS(ROW(),COLUMN(mouser_part_data)+2)))</f>
        <v>0.003</v>
      </c>
      <c r="I54" s="10" t="n">
        <f aca="false">IFERROR(G54*H54,"")</f>
        <v>0.3</v>
      </c>
      <c r="J54" s="0" t="n">
        <v>496536</v>
      </c>
      <c r="L54" s="10" t="n">
        <f aca="false">IFERROR(LOOKUP(IF(K54="",G54,K54),{0,1,10,25,100,250,500,1000,2500,5000,10000,25000,50000,125000},{0,0.1,0.011,0.008,0.0044,0.00336,0.0027,0.00198,0.00172,0.00129,0.00112,0.00099,0.0009,0.00089}),"")</f>
        <v>0.0044</v>
      </c>
      <c r="M54" s="10" t="n">
        <f aca="false">IFERROR(IF(K54="",G54,K54)*L54,"")</f>
        <v>0.44</v>
      </c>
      <c r="N54" s="0" t="s">
        <v>334</v>
      </c>
      <c r="O54" s="11" t="s">
        <v>27</v>
      </c>
      <c r="P54" s="0" t="n">
        <v>69329</v>
      </c>
      <c r="R54" s="10" t="n">
        <f aca="false">IFERROR(LOOKUP(IF(Q54="",G54,Q54),{0,1,10,100,1000,5000,50000},{0,0.099,0.008,0.003,0.002,0.002,0.001}),"")</f>
        <v>0.003</v>
      </c>
      <c r="S54" s="10" t="n">
        <f aca="false">IFERROR(IF(Q54="",G54,Q54)*R54,"")</f>
        <v>0.3</v>
      </c>
      <c r="T54" s="0" t="s">
        <v>335</v>
      </c>
      <c r="U54" s="11" t="s">
        <v>27</v>
      </c>
      <c r="V54" s="0" t="n">
        <v>1152</v>
      </c>
      <c r="X54" s="10" t="n">
        <f aca="false">IFERROR(LOOKUP(IF(W54="",G54,W54),{0,1,10,25,100,250,1000,5000,10000},{0,0.06,0.01,0.007,0.004,0.003,0.002,0.002,0.001}),"")</f>
        <v>0.004</v>
      </c>
      <c r="Y54" s="10" t="n">
        <f aca="false">IFERROR(IF(W54="",G54,W54)*X54,"")</f>
        <v>0.4</v>
      </c>
      <c r="Z54" s="0" t="s">
        <v>336</v>
      </c>
      <c r="AA54" s="11" t="s">
        <v>27</v>
      </c>
    </row>
    <row r="55" customFormat="false" ht="15" hidden="false" customHeight="false" outlineLevel="0" collapsed="false">
      <c r="A55" s="0" t="s">
        <v>337</v>
      </c>
      <c r="B55" s="0" t="s">
        <v>338</v>
      </c>
      <c r="C55" s="0" t="s">
        <v>339</v>
      </c>
      <c r="D55" s="0" t="s">
        <v>340</v>
      </c>
      <c r="E55" s="0" t="s">
        <v>341</v>
      </c>
      <c r="F55" s="0" t="s">
        <v>342</v>
      </c>
      <c r="G55" s="0" t="n">
        <f aca="false">BoardQty*1</f>
        <v>50</v>
      </c>
      <c r="H55" s="10" t="n">
        <f aca="true">MINA(INDIRECT(ADDRESS(ROW(),COLUMN(newark_part_data)+2)),INDIRECT(ADDRESS(ROW(),COLUMN(digikey_part_data)+2)),INDIRECT(ADDRESS(ROW(),COLUMN(mouser_part_data)+2)))</f>
        <v>0.722</v>
      </c>
      <c r="I55" s="10" t="n">
        <f aca="false">IFERROR(G55*H55,"")</f>
        <v>36.1</v>
      </c>
      <c r="J55" s="0" t="n">
        <v>38163</v>
      </c>
      <c r="L55" s="10" t="n">
        <f aca="false">IFERROR(LOOKUP(IF(K55="",G55,K55),{0,1,10,25,50,100,400,800,1200,2000,4000,10000,20000,40000},{0,1.07,0.895,0.7712,0.7236,0.5712,0.39985,0.31416,0.29512,0.27608,0.2618,0.25228,0.24809,0.24276}),"")</f>
        <v>0.7236</v>
      </c>
      <c r="M55" s="10" t="n">
        <f aca="false">IFERROR(IF(K55="",G55,K55)*L55,"")</f>
        <v>36.18</v>
      </c>
      <c r="N55" s="0" t="s">
        <v>343</v>
      </c>
      <c r="O55" s="11" t="s">
        <v>27</v>
      </c>
      <c r="P55" s="0" t="n">
        <v>5217</v>
      </c>
      <c r="R55" s="10" t="n">
        <f aca="false">IFERROR(LOOKUP(IF(Q55="",G55,Q55),{0,1,10,100,400,800,2400,10000,24800},{0,1.07,0.722,0.399,0.399,0.276,0.262,0.249,0.246}),"")</f>
        <v>0.722</v>
      </c>
      <c r="S55" s="10" t="n">
        <f aca="false">IFERROR(IF(Q55="",G55,Q55)*R55,"")</f>
        <v>36.1</v>
      </c>
      <c r="T55" s="0" t="s">
        <v>344</v>
      </c>
      <c r="U55" s="11" t="s">
        <v>27</v>
      </c>
      <c r="V55" s="0" t="n">
        <v>2719</v>
      </c>
      <c r="X55" s="10" t="n">
        <f aca="false">IFERROR(LOOKUP(IF(W55="",G55,W55),{0,1,10,25,50,100,250,400,800},{0,1.32,1.11,0.952,0.893,0.705,0.543,0.4,0.376}),"")</f>
        <v>0.893</v>
      </c>
      <c r="Y55" s="10" t="n">
        <f aca="false">IFERROR(IF(W55="",G55,W55)*X55,"")</f>
        <v>44.65</v>
      </c>
      <c r="Z55" s="0" t="s">
        <v>345</v>
      </c>
      <c r="AA55" s="11" t="s">
        <v>27</v>
      </c>
    </row>
    <row r="56" customFormat="false" ht="15" hidden="false" customHeight="false" outlineLevel="0" collapsed="false">
      <c r="A56" s="0" t="s">
        <v>346</v>
      </c>
      <c r="B56" s="0" t="s">
        <v>70</v>
      </c>
      <c r="C56" s="0" t="s">
        <v>71</v>
      </c>
      <c r="D56" s="0" t="s">
        <v>72</v>
      </c>
      <c r="E56" s="0" t="s">
        <v>270</v>
      </c>
      <c r="F56" s="0" t="s">
        <v>347</v>
      </c>
      <c r="G56" s="0" t="n">
        <f aca="false">BoardQty*6</f>
        <v>300</v>
      </c>
      <c r="H56" s="10" t="n">
        <f aca="true">MINA(INDIRECT(ADDRESS(ROW(),COLUMN(newark_part_data)+2)),INDIRECT(ADDRESS(ROW(),COLUMN(digikey_part_data)+2)),INDIRECT(ADDRESS(ROW(),COLUMN(mouser_part_data)+2)))</f>
        <v>0.4704</v>
      </c>
      <c r="I56" s="10" t="n">
        <f aca="false">IFERROR(G56*H56,"")</f>
        <v>141.12</v>
      </c>
      <c r="J56" s="0" t="n">
        <v>4951</v>
      </c>
      <c r="L56" s="10" t="n">
        <f aca="false">IFERROR(LOOKUP(IF(K56="",G56,K56),{0,1,10,100,500,1000,5000,10000},{0,0.64,0.571,0.4704,0.37184,0.3192,0.2912,0.28}),"")</f>
        <v>0.4704</v>
      </c>
      <c r="M56" s="10" t="n">
        <f aca="false">IFERROR(IF(K56="",G56,K56)*L56,"")</f>
        <v>141.12</v>
      </c>
      <c r="N56" s="0" t="s">
        <v>348</v>
      </c>
      <c r="O56" s="11" t="s">
        <v>27</v>
      </c>
      <c r="P56" s="0" t="n">
        <v>920</v>
      </c>
      <c r="R56" s="10" t="n">
        <f aca="false">IFERROR(LOOKUP(IF(Q56="",G56,Q56),{0,1,10,50,100},{0,17.94,16.8,16.42,15.55}),"")</f>
        <v>15.55</v>
      </c>
      <c r="S56" s="10" t="n">
        <f aca="false">IFERROR(IF(Q56="",G56,Q56)*R56,"")</f>
        <v>4665</v>
      </c>
      <c r="T56" s="0" t="s">
        <v>349</v>
      </c>
      <c r="U56" s="11" t="s">
        <v>27</v>
      </c>
      <c r="AA56" s="11" t="s">
        <v>27</v>
      </c>
    </row>
    <row r="57" customFormat="false" ht="15" hidden="false" customHeight="false" outlineLevel="0" collapsed="false">
      <c r="A57" s="0" t="s">
        <v>350</v>
      </c>
      <c r="B57" s="0" t="s">
        <v>168</v>
      </c>
      <c r="C57" s="0" t="s">
        <v>351</v>
      </c>
      <c r="D57" s="0" t="s">
        <v>48</v>
      </c>
      <c r="E57" s="0" t="s">
        <v>49</v>
      </c>
      <c r="F57" s="0" t="s">
        <v>170</v>
      </c>
      <c r="G57" s="0" t="n">
        <f aca="false">BoardQty*1</f>
        <v>50</v>
      </c>
      <c r="H57" s="10" t="n">
        <f aca="true">MINA(INDIRECT(ADDRESS(ROW(),COLUMN(newark_part_data)+2)),INDIRECT(ADDRESS(ROW(),COLUMN(digikey_part_data)+2)),INDIRECT(ADDRESS(ROW(),COLUMN(mouser_part_data)+2)))</f>
        <v>0.007</v>
      </c>
      <c r="I57" s="10" t="n">
        <f aca="false">IFERROR(G57*H57,"")</f>
        <v>0.35</v>
      </c>
      <c r="J57" s="0" t="n">
        <v>3086200</v>
      </c>
      <c r="L57" s="10" t="n">
        <f aca="false">IFERROR(LOOKUP(IF(K57="",G57,K57),{0,1,10,25,100,250,500,1000,2500,5000,10000,25000,50000,125000},{0,0.1,0.011,0.008,0.0044,0.00336,0.0027,0.00198,0.00172,0.00129,0.00112,0.00099,0.0009,0.00089}),"")</f>
        <v>0.008</v>
      </c>
      <c r="M57" s="10" t="n">
        <f aca="false">IFERROR(IF(K57="",G57,K57)*L57,"")</f>
        <v>0.4</v>
      </c>
      <c r="N57" s="0" t="s">
        <v>171</v>
      </c>
      <c r="O57" s="11" t="s">
        <v>27</v>
      </c>
      <c r="P57" s="0" t="n">
        <v>284684</v>
      </c>
      <c r="R57" s="10" t="n">
        <f aca="false">IFERROR(LOOKUP(IF(Q57="",G57,Q57),{0,1,10,100,1000,5000,50000},{0,0.099,0.008,0.003,0.002,0.002,0.001}),"")</f>
        <v>0.008</v>
      </c>
      <c r="S57" s="10" t="n">
        <f aca="false">IFERROR(IF(Q57="",G57,Q57)*R57,"")</f>
        <v>0.4</v>
      </c>
      <c r="T57" s="0" t="s">
        <v>172</v>
      </c>
      <c r="U57" s="11" t="s">
        <v>27</v>
      </c>
      <c r="V57" s="0" t="n">
        <v>4389</v>
      </c>
      <c r="X57" s="10" t="n">
        <f aca="false">IFERROR(LOOKUP(IF(W57="",G57,W57),{0,1,10,25,100,250,1000,5000,10000},{0,0.06,0.01,0.007,0.004,0.003,0.002,0.002,0.001}),"")</f>
        <v>0.007</v>
      </c>
      <c r="Y57" s="10" t="n">
        <f aca="false">IFERROR(IF(W57="",G57,W57)*X57,"")</f>
        <v>0.35</v>
      </c>
      <c r="Z57" s="0" t="s">
        <v>173</v>
      </c>
      <c r="AA57" s="11" t="s">
        <v>27</v>
      </c>
    </row>
    <row r="58" customFormat="false" ht="15" hidden="false" customHeight="false" outlineLevel="0" collapsed="false">
      <c r="A58" s="0" t="s">
        <v>352</v>
      </c>
      <c r="B58" s="0" t="s">
        <v>353</v>
      </c>
      <c r="C58" s="0" t="s">
        <v>354</v>
      </c>
      <c r="D58" s="0" t="s">
        <v>48</v>
      </c>
      <c r="E58" s="0" t="s">
        <v>49</v>
      </c>
      <c r="F58" s="0" t="s">
        <v>355</v>
      </c>
      <c r="G58" s="0" t="n">
        <f aca="false">BoardQty*1</f>
        <v>50</v>
      </c>
      <c r="H58" s="10" t="n">
        <f aca="true">MINA(INDIRECT(ADDRESS(ROW(),COLUMN(newark_part_data)+2)),INDIRECT(ADDRESS(ROW(),COLUMN(digikey_part_data)+2)),INDIRECT(ADDRESS(ROW(),COLUMN(mouser_part_data)+2)))</f>
        <v>0.01</v>
      </c>
      <c r="I58" s="10" t="n">
        <f aca="false">IFERROR(G58*H58,"")</f>
        <v>0.5</v>
      </c>
      <c r="J58" s="0" t="n">
        <v>223464</v>
      </c>
      <c r="L58" s="10" t="n">
        <f aca="false">IFERROR(LOOKUP(IF(K58="",G58,K58),{0,1,10,25,100,250,500,1000,2500,5000,10000,25000,50000,125000},{0,0.1,0.014,0.01,0.0057,0.00436,0.00348,0.00257,0.00223,0.00167,0.00145,0.00128,0.00117,0.00115}),"")</f>
        <v>0.01</v>
      </c>
      <c r="M58" s="10" t="n">
        <f aca="false">IFERROR(IF(K58="",G58,K58)*L58,"")</f>
        <v>0.5</v>
      </c>
      <c r="N58" s="0" t="s">
        <v>356</v>
      </c>
      <c r="O58" s="11" t="s">
        <v>27</v>
      </c>
      <c r="P58" s="0" t="n">
        <v>63235</v>
      </c>
      <c r="R58" s="10" t="n">
        <f aca="false">IFERROR(LOOKUP(IF(Q58="",G58,Q58),{0,1,10,100,1000,5000,10000},{0,0.099,0.01,0.003,0.002,0.002,0.001}),"")</f>
        <v>0.01</v>
      </c>
      <c r="S58" s="10" t="n">
        <f aca="false">IFERROR(IF(Q58="",G58,Q58)*R58,"")</f>
        <v>0.5</v>
      </c>
      <c r="T58" s="0" t="s">
        <v>357</v>
      </c>
      <c r="U58" s="11" t="s">
        <v>27</v>
      </c>
      <c r="V58" s="0" t="n">
        <v>759</v>
      </c>
      <c r="X58" s="10" t="n">
        <f aca="false">IFERROR(LOOKUP(IF(W58="",G58,W58),{0,1,10,25,100,250,1000,5000,10000},{0,0.08,0.014,0.01,0.006,0.004,0.003,0.002,0.001}),"")</f>
        <v>0.01</v>
      </c>
      <c r="Y58" s="10" t="n">
        <f aca="false">IFERROR(IF(W58="",G58,W58)*X58,"")</f>
        <v>0.5</v>
      </c>
      <c r="Z58" s="0" t="s">
        <v>358</v>
      </c>
      <c r="AA58" s="11" t="s">
        <v>27</v>
      </c>
    </row>
    <row r="59" customFormat="false" ht="15" hidden="false" customHeight="false" outlineLevel="0" collapsed="false">
      <c r="A59" s="0" t="s">
        <v>359</v>
      </c>
      <c r="B59" s="0" t="s">
        <v>360</v>
      </c>
      <c r="C59" s="0" t="s">
        <v>361</v>
      </c>
      <c r="D59" s="0" t="s">
        <v>362</v>
      </c>
      <c r="E59" s="0" t="s">
        <v>283</v>
      </c>
      <c r="F59" s="0" t="s">
        <v>363</v>
      </c>
      <c r="G59" s="0" t="n">
        <f aca="false">BoardQty*1</f>
        <v>50</v>
      </c>
      <c r="H59" s="10" t="n">
        <f aca="true">MINA(INDIRECT(ADDRESS(ROW(),COLUMN(newark_part_data)+2)),INDIRECT(ADDRESS(ROW(),COLUMN(digikey_part_data)+2)),INDIRECT(ADDRESS(ROW(),COLUMN(mouser_part_data)+2)))</f>
        <v>1.57</v>
      </c>
      <c r="I59" s="10" t="n">
        <f aca="false">IFERROR(G59*H59,"")</f>
        <v>78.5</v>
      </c>
      <c r="J59" s="0" t="n">
        <v>5678</v>
      </c>
      <c r="L59" s="10" t="n">
        <f aca="false">IFERROR(LOOKUP(IF(K59="",G59,K59),{0,1,25,100,2500},{0,1.91,1.59,1.44,1.44}),"")</f>
        <v>1.59</v>
      </c>
      <c r="M59" s="10" t="n">
        <f aca="false">IFERROR(IF(K59="",G59,K59)*L59,"")</f>
        <v>79.5</v>
      </c>
      <c r="N59" s="0" t="s">
        <v>364</v>
      </c>
      <c r="O59" s="11" t="s">
        <v>27</v>
      </c>
      <c r="P59" s="0" t="n">
        <v>2698</v>
      </c>
      <c r="R59" s="10" t="n">
        <f aca="false">IFERROR(LOOKUP(IF(Q59="",G59,Q59),{0,1,10,25,100},{0,2.05,1.89,1.57,1.42}),"")</f>
        <v>1.57</v>
      </c>
      <c r="S59" s="10" t="n">
        <f aca="false">IFERROR(IF(Q59="",G59,Q59)*R59,"")</f>
        <v>78.5</v>
      </c>
      <c r="T59" s="0" t="s">
        <v>365</v>
      </c>
      <c r="U59" s="11" t="s">
        <v>27</v>
      </c>
    </row>
    <row r="60" customFormat="false" ht="15" hidden="false" customHeight="false" outlineLevel="0" collapsed="false">
      <c r="A60" s="0" t="s">
        <v>366</v>
      </c>
      <c r="B60" s="0" t="s">
        <v>367</v>
      </c>
      <c r="C60" s="0" t="s">
        <v>368</v>
      </c>
      <c r="D60" s="0" t="s">
        <v>48</v>
      </c>
      <c r="E60" s="0" t="s">
        <v>49</v>
      </c>
      <c r="F60" s="0" t="s">
        <v>369</v>
      </c>
      <c r="G60" s="0" t="n">
        <f aca="false">BoardQty*2</f>
        <v>100</v>
      </c>
      <c r="H60" s="10" t="n">
        <f aca="true">MINA(INDIRECT(ADDRESS(ROW(),COLUMN(newark_part_data)+2)),INDIRECT(ADDRESS(ROW(),COLUMN(digikey_part_data)+2)),INDIRECT(ADDRESS(ROW(),COLUMN(mouser_part_data)+2)))</f>
        <v>0.003</v>
      </c>
      <c r="I60" s="10" t="n">
        <f aca="false">IFERROR(G60*H60,"")</f>
        <v>0.3</v>
      </c>
      <c r="J60" s="0" t="n">
        <v>110228</v>
      </c>
      <c r="L60" s="10" t="n">
        <f aca="false">IFERROR(LOOKUP(IF(K60="",G60,K60),{0,1,10,25,100,250,500,1000,2500,5000,10000,25000,50000,125000},{0,0.1,0.014,0.01,0.0057,0.00436,0.00348,0.00257,0.00223,0.00167,0.00145,0.00128,0.00117,0.00115}),"")</f>
        <v>0.0057</v>
      </c>
      <c r="M60" s="10" t="n">
        <f aca="false">IFERROR(IF(K60="",G60,K60)*L60,"")</f>
        <v>0.57</v>
      </c>
      <c r="N60" s="0" t="s">
        <v>370</v>
      </c>
      <c r="O60" s="11" t="s">
        <v>27</v>
      </c>
      <c r="P60" s="0" t="n">
        <v>10918</v>
      </c>
      <c r="R60" s="10" t="n">
        <f aca="false">IFERROR(LOOKUP(IF(Q60="",G60,Q60),{0,1,10,100,1000,5000,10000},{0,0.099,0.01,0.003,0.002,0.002,0.001}),"")</f>
        <v>0.003</v>
      </c>
      <c r="S60" s="10" t="n">
        <f aca="false">IFERROR(IF(Q60="",G60,Q60)*R60,"")</f>
        <v>0.3</v>
      </c>
      <c r="T60" s="0" t="s">
        <v>371</v>
      </c>
      <c r="U60" s="11" t="s">
        <v>27</v>
      </c>
    </row>
    <row r="61" customFormat="false" ht="15" hidden="false" customHeight="false" outlineLevel="0" collapsed="false">
      <c r="A61" s="0" t="s">
        <v>372</v>
      </c>
      <c r="B61" s="0" t="s">
        <v>373</v>
      </c>
      <c r="C61" s="0" t="s">
        <v>374</v>
      </c>
      <c r="D61" s="0" t="s">
        <v>48</v>
      </c>
      <c r="E61" s="0" t="s">
        <v>375</v>
      </c>
      <c r="F61" s="0" t="s">
        <v>376</v>
      </c>
      <c r="G61" s="0" t="n">
        <f aca="false">BoardQty*1</f>
        <v>50</v>
      </c>
      <c r="H61" s="10" t="n">
        <f aca="true">MINA(INDIRECT(ADDRESS(ROW(),COLUMN(newark_part_data)+2)),INDIRECT(ADDRESS(ROW(),COLUMN(digikey_part_data)+2)),INDIRECT(ADDRESS(ROW(),COLUMN(mouser_part_data)+2)))</f>
        <v>0.181</v>
      </c>
      <c r="I61" s="10" t="n">
        <f aca="false">IFERROR(G61*H61,"")</f>
        <v>9.05</v>
      </c>
      <c r="J61" s="0" t="n">
        <v>21850</v>
      </c>
      <c r="L61" s="10" t="n">
        <f aca="false">IFERROR(LOOKUP(IF(K61="",G61,K61),{0,1,10,25,50,100,250,500,1000,5000,10000,25000,50000,125000},{0,0.46,0.332,0.2456,0.181,0.1328,0.10972,0.09048,0.06545,0.04988,0.0476,0.04561,0.04463,0.04375}),"")</f>
        <v>0.181</v>
      </c>
      <c r="M61" s="10" t="n">
        <f aca="false">IFERROR(IF(K61="",G61,K61)*L61,"")</f>
        <v>9.05</v>
      </c>
      <c r="N61" s="0" t="s">
        <v>377</v>
      </c>
      <c r="O61" s="11" t="s">
        <v>27</v>
      </c>
      <c r="P61" s="0" t="n">
        <v>6956</v>
      </c>
      <c r="R61" s="10" t="n">
        <f aca="false">IFERROR(LOOKUP(IF(Q61="",G61,Q61),{0,1,10,100,1000,2000,5000,10000,25000,50000,100000},{0,0.529,0.205,0.102,0.074,0.056,0.056,0.053,0.051,0.05,0.049}),"")</f>
        <v>0.205</v>
      </c>
      <c r="S61" s="10" t="n">
        <f aca="false">IFERROR(IF(Q61="",G61,Q61)*R61,"")</f>
        <v>10.25</v>
      </c>
      <c r="T61" s="0" t="s">
        <v>378</v>
      </c>
      <c r="U61" s="11" t="s">
        <v>27</v>
      </c>
      <c r="AA61" s="11" t="s">
        <v>27</v>
      </c>
    </row>
    <row r="62" customFormat="false" ht="15" hidden="false" customHeight="false" outlineLevel="0" collapsed="false">
      <c r="A62" s="0" t="s">
        <v>379</v>
      </c>
      <c r="B62" s="0" t="s">
        <v>380</v>
      </c>
      <c r="C62" s="0" t="s">
        <v>381</v>
      </c>
      <c r="D62" s="0" t="s">
        <v>382</v>
      </c>
      <c r="E62" s="0" t="s">
        <v>383</v>
      </c>
      <c r="F62" s="0" t="s">
        <v>380</v>
      </c>
      <c r="G62" s="0" t="n">
        <f aca="false">BoardQty*6</f>
        <v>300</v>
      </c>
      <c r="H62" s="10" t="n">
        <f aca="true">MINA(INDIRECT(ADDRESS(ROW(),COLUMN(newark_part_data)+2)),INDIRECT(ADDRESS(ROW(),COLUMN(digikey_part_data)+2)),INDIRECT(ADDRESS(ROW(),COLUMN(mouser_part_data)+2)))</f>
        <v>0.33812</v>
      </c>
      <c r="I62" s="10" t="n">
        <f aca="false">IFERROR(G62*H62,"")</f>
        <v>101.436</v>
      </c>
      <c r="J62" s="0" t="n">
        <v>53741</v>
      </c>
      <c r="L62" s="10" t="n">
        <f aca="false">IFERROR(LOOKUP(IF(K62="",G62,K62),{0,1,10,25,50,100,250,500,1000,2000,3000,5000,10000},{0,0.57,0.531,0.4896,0.4476,0.3719,0.33812,0.28658,0.2415,0.2254,0.22138,0.21735,0.2093}),"")</f>
        <v>0.33812</v>
      </c>
      <c r="M62" s="10" t="n">
        <f aca="false">IFERROR(IF(K62="",G62,K62)*L62,"")</f>
        <v>101.436</v>
      </c>
      <c r="N62" s="0" t="s">
        <v>384</v>
      </c>
      <c r="O62" s="11" t="s">
        <v>27</v>
      </c>
      <c r="U62" s="11" t="s">
        <v>27</v>
      </c>
      <c r="V62" s="0" t="n">
        <v>1380</v>
      </c>
      <c r="X62" s="10" t="n">
        <f aca="false">IFERROR(LOOKUP(IF(W62="",G62,W62),{0,1,10,25,50,100,250,1000,2000},{0,0.567,0.532,0.49,0.448,0.372,0.339,0.242,0.226}),"")</f>
        <v>0.339</v>
      </c>
      <c r="Y62" s="10" t="n">
        <f aca="false">IFERROR(IF(W62="",G62,W62)*X62,"")</f>
        <v>101.7</v>
      </c>
      <c r="Z62" s="0" t="s">
        <v>385</v>
      </c>
      <c r="AA62" s="11" t="s">
        <v>27</v>
      </c>
    </row>
    <row r="63" customFormat="false" ht="15" hidden="false" customHeight="false" outlineLevel="0" collapsed="false">
      <c r="A63" s="0" t="s">
        <v>386</v>
      </c>
      <c r="B63" s="0" t="s">
        <v>242</v>
      </c>
      <c r="C63" s="0" t="s">
        <v>243</v>
      </c>
      <c r="D63" s="0" t="s">
        <v>244</v>
      </c>
      <c r="E63" s="0" t="s">
        <v>114</v>
      </c>
      <c r="F63" s="0" t="s">
        <v>245</v>
      </c>
      <c r="G63" s="0" t="n">
        <f aca="false">BoardQty*1</f>
        <v>50</v>
      </c>
      <c r="H63" s="10" t="n">
        <f aca="true">MINA(INDIRECT(ADDRESS(ROW(),COLUMN(newark_part_data)+2)),INDIRECT(ADDRESS(ROW(),COLUMN(digikey_part_data)+2)),INDIRECT(ADDRESS(ROW(),COLUMN(mouser_part_data)+2)))</f>
        <v>0.204</v>
      </c>
      <c r="I63" s="10" t="n">
        <f aca="false">IFERROR(G63*H63,"")</f>
        <v>10.2</v>
      </c>
      <c r="P63" s="0" t="n">
        <v>17233</v>
      </c>
      <c r="R63" s="10" t="n">
        <f aca="false">IFERROR(LOOKUP(IF(Q63="",G63,Q63),{0,1,10,100,500,1000,5000,9000,45000},{0,0.346,0.204,0.134,0.099,0.081,0.072,0.059,0.056}),"")</f>
        <v>0.204</v>
      </c>
      <c r="S63" s="10" t="n">
        <f aca="false">IFERROR(IF(Q63="",G63,Q63)*R63,"")</f>
        <v>10.2</v>
      </c>
      <c r="T63" s="0" t="s">
        <v>246</v>
      </c>
      <c r="U63" s="11" t="s">
        <v>27</v>
      </c>
      <c r="AA63" s="11" t="s">
        <v>27</v>
      </c>
    </row>
    <row r="64" customFormat="false" ht="15" hidden="false" customHeight="false" outlineLevel="0" collapsed="false">
      <c r="A64" s="0" t="s">
        <v>387</v>
      </c>
      <c r="B64" s="0" t="s">
        <v>388</v>
      </c>
      <c r="C64" s="0" t="s">
        <v>389</v>
      </c>
      <c r="D64" s="0" t="s">
        <v>390</v>
      </c>
      <c r="E64" s="0" t="s">
        <v>270</v>
      </c>
      <c r="F64" s="0" t="s">
        <v>347</v>
      </c>
      <c r="G64" s="0" t="n">
        <f aca="false">BoardQty*1</f>
        <v>50</v>
      </c>
      <c r="H64" s="10" t="n">
        <f aca="true">MINA(INDIRECT(ADDRESS(ROW(),COLUMN(newark_part_data)+2)),INDIRECT(ADDRESS(ROW(),COLUMN(digikey_part_data)+2)),INDIRECT(ADDRESS(ROW(),COLUMN(mouser_part_data)+2)))</f>
        <v>0.571</v>
      </c>
      <c r="I64" s="10" t="n">
        <f aca="false">IFERROR(G64*H64,"")</f>
        <v>28.55</v>
      </c>
      <c r="J64" s="0" t="n">
        <v>4951</v>
      </c>
      <c r="L64" s="10" t="n">
        <f aca="false">IFERROR(LOOKUP(IF(K64="",G64,K64),{0,1,10,100,500,1000,5000,10000},{0,0.64,0.571,0.4704,0.37184,0.3192,0.2912,0.28}),"")</f>
        <v>0.571</v>
      </c>
      <c r="M64" s="10" t="n">
        <f aca="false">IFERROR(IF(K64="",G64,K64)*L64,"")</f>
        <v>28.55</v>
      </c>
      <c r="N64" s="0" t="s">
        <v>348</v>
      </c>
      <c r="O64" s="11" t="s">
        <v>27</v>
      </c>
      <c r="P64" s="0" t="n">
        <v>920</v>
      </c>
      <c r="R64" s="10" t="n">
        <f aca="false">IFERROR(LOOKUP(IF(Q64="",G64,Q64),{0,1,10,50,100},{0,17.94,16.8,16.42,15.55}),"")</f>
        <v>16.42</v>
      </c>
      <c r="S64" s="10" t="n">
        <f aca="false">IFERROR(IF(Q64="",G64,Q64)*R64,"")</f>
        <v>821</v>
      </c>
      <c r="T64" s="0" t="s">
        <v>349</v>
      </c>
      <c r="U64" s="11" t="s">
        <v>27</v>
      </c>
      <c r="AA64" s="11" t="s">
        <v>27</v>
      </c>
    </row>
    <row r="65" customFormat="false" ht="15" hidden="false" customHeight="false" outlineLevel="0" collapsed="false">
      <c r="A65" s="0" t="s">
        <v>391</v>
      </c>
      <c r="B65" s="0" t="s">
        <v>392</v>
      </c>
      <c r="C65" s="0" t="s">
        <v>393</v>
      </c>
      <c r="D65" s="0" t="s">
        <v>394</v>
      </c>
      <c r="E65" s="0" t="s">
        <v>395</v>
      </c>
      <c r="F65" s="0" t="s">
        <v>396</v>
      </c>
      <c r="G65" s="0" t="n">
        <f aca="false">BoardQty*1</f>
        <v>50</v>
      </c>
      <c r="H65" s="10" t="n">
        <f aca="true">MINA(INDIRECT(ADDRESS(ROW(),COLUMN(newark_part_data)+2)),INDIRECT(ADDRESS(ROW(),COLUMN(digikey_part_data)+2)),INDIRECT(ADDRESS(ROW(),COLUMN(mouser_part_data)+2)))</f>
        <v>3.72</v>
      </c>
      <c r="I65" s="10" t="n">
        <f aca="false">IFERROR(G65*H65,"")</f>
        <v>186</v>
      </c>
      <c r="J65" s="0" t="n">
        <v>1624</v>
      </c>
      <c r="L65" s="10" t="n">
        <f aca="false">IFERROR(LOOKUP(IF(K65="",G65,K65),{0,1,10,100,500,1000,2500,5000,12500},{0,4.91,4.41,3.618,2.988,2.52,2.394,2.304,2.25}),"")</f>
        <v>4.41</v>
      </c>
      <c r="M65" s="10" t="n">
        <f aca="false">IFERROR(IF(K65="",G65,K65)*L65,"")</f>
        <v>220.5</v>
      </c>
      <c r="N65" s="0" t="s">
        <v>397</v>
      </c>
      <c r="O65" s="11" t="s">
        <v>27</v>
      </c>
      <c r="P65" s="0" t="n">
        <v>2514</v>
      </c>
      <c r="R65" s="10" t="n">
        <f aca="false">IFERROR(LOOKUP(IF(Q65="",G65,Q65),{0,1,10,25,50,100,250,500,1500},{0,4.7,4.22,3.93,3.72,3.47,3.28,2.94,2.26}),"")</f>
        <v>3.72</v>
      </c>
      <c r="S65" s="10" t="n">
        <f aca="false">IFERROR(IF(Q65="",G65,Q65)*R65,"")</f>
        <v>186</v>
      </c>
      <c r="T65" s="0" t="s">
        <v>398</v>
      </c>
      <c r="U65" s="11" t="s">
        <v>27</v>
      </c>
      <c r="V65" s="0" t="n">
        <v>988</v>
      </c>
      <c r="X65" s="10" t="n">
        <f aca="false">IFERROR(LOOKUP(IF(W65="",G65,W65),{0,1,10,25,50,100,250},{0,4.77,4.29,3.98,3.78,3.51,3.33}),"")</f>
        <v>3.78</v>
      </c>
      <c r="Y65" s="10" t="n">
        <f aca="false">IFERROR(IF(W65="",G65,W65)*X65,"")</f>
        <v>189</v>
      </c>
      <c r="Z65" s="0" t="s">
        <v>399</v>
      </c>
      <c r="AA65" s="11" t="s">
        <v>27</v>
      </c>
    </row>
    <row r="66" customFormat="false" ht="15" hidden="false" customHeight="false" outlineLevel="0" collapsed="false">
      <c r="A66" s="0" t="s">
        <v>400</v>
      </c>
      <c r="B66" s="0" t="s">
        <v>401</v>
      </c>
      <c r="C66" s="0" t="s">
        <v>402</v>
      </c>
      <c r="D66" s="0" t="s">
        <v>84</v>
      </c>
      <c r="E66" s="0" t="s">
        <v>403</v>
      </c>
      <c r="F66" s="0" t="s">
        <v>401</v>
      </c>
      <c r="G66" s="0" t="n">
        <f aca="false">BoardQty*6</f>
        <v>300</v>
      </c>
      <c r="H66" s="10" t="n">
        <f aca="true">MINA(INDIRECT(ADDRESS(ROW(),COLUMN(newark_part_data)+2)),INDIRECT(ADDRESS(ROW(),COLUMN(digikey_part_data)+2)),INDIRECT(ADDRESS(ROW(),COLUMN(mouser_part_data)+2)))</f>
        <v>0.026</v>
      </c>
      <c r="I66" s="10" t="n">
        <f aca="false">IFERROR(G66*H66,"")</f>
        <v>7.8</v>
      </c>
      <c r="J66" s="0" t="n">
        <v>5</v>
      </c>
      <c r="L66" s="10" t="n">
        <f aca="false">IFERROR(LOOKUP(IF(K66="",G66,K66),{0,1,10,50,100,250,500,1000,4000,8000,12000,28000,100000},{0,0.1,0.075,0.0614,0.045,0.03272,0.03,0.02592,0.01984,0.01798,0.01736,0.01612,0.01593}),"")</f>
        <v>0.03272</v>
      </c>
      <c r="M66" s="10" t="n">
        <f aca="false">IFERROR(IF(K66="",G66,K66)*L66,"")</f>
        <v>9.816</v>
      </c>
      <c r="N66" s="0" t="s">
        <v>404</v>
      </c>
      <c r="O66" s="11" t="s">
        <v>27</v>
      </c>
      <c r="P66" s="0" t="n">
        <v>15557</v>
      </c>
      <c r="R66" s="10" t="n">
        <f aca="false">IFERROR(LOOKUP(IF(Q66="",G66,Q66),{0,1,10,100,1000,4000,8000,24000},{0,0.099,0.071,0.035,0.031,0.024,0.021,0.019}),"")</f>
        <v>0.035</v>
      </c>
      <c r="S66" s="10" t="n">
        <f aca="false">IFERROR(IF(Q66="",G66,Q66)*R66,"")</f>
        <v>10.5</v>
      </c>
      <c r="T66" s="0" t="s">
        <v>405</v>
      </c>
      <c r="U66" s="11" t="s">
        <v>27</v>
      </c>
      <c r="V66" s="0" t="n">
        <v>18509</v>
      </c>
      <c r="X66" s="10" t="n">
        <f aca="false">IFERROR(LOOKUP(IF(W66="",G66,W66),{0,1,50,100,500,1000,2500,5000,10000},{0,0.036,0.031,0.026,0.023,0.021,0.017,0.016,0.015}),"")</f>
        <v>0.026</v>
      </c>
      <c r="Y66" s="10" t="n">
        <f aca="false">IFERROR(IF(W66="",G66,W66)*X66,"")</f>
        <v>7.8</v>
      </c>
      <c r="Z66" s="0" t="s">
        <v>406</v>
      </c>
      <c r="AA66" s="11" t="s">
        <v>27</v>
      </c>
    </row>
    <row r="67" customFormat="false" ht="15" hidden="false" customHeight="false" outlineLevel="0" collapsed="false">
      <c r="A67" s="0" t="s">
        <v>407</v>
      </c>
      <c r="B67" s="0" t="s">
        <v>408</v>
      </c>
      <c r="C67" s="0" t="s">
        <v>409</v>
      </c>
      <c r="D67" s="0" t="s">
        <v>244</v>
      </c>
      <c r="E67" s="0" t="s">
        <v>114</v>
      </c>
      <c r="F67" s="0" t="s">
        <v>410</v>
      </c>
      <c r="G67" s="0" t="n">
        <f aca="false">BoardQty*3</f>
        <v>150</v>
      </c>
      <c r="H67" s="10" t="n">
        <f aca="true">MINA(INDIRECT(ADDRESS(ROW(),COLUMN(newark_part_data)+2)),INDIRECT(ADDRESS(ROW(),COLUMN(digikey_part_data)+2)),INDIRECT(ADDRESS(ROW(),COLUMN(mouser_part_data)+2)))</f>
        <v>0.107</v>
      </c>
      <c r="I67" s="10" t="n">
        <f aca="false">IFERROR(G67*H67,"")</f>
        <v>16.05</v>
      </c>
      <c r="J67" s="0" t="n">
        <v>6071</v>
      </c>
      <c r="L67" s="10" t="n">
        <f aca="false">IFERROR(LOOKUP(IF(K67="",G67,K67),{0,1,10,50,100,250,500,1000,2000,4000,10000,14000,50000,100000},{0,0.34,0.294,0.1786,0.147,0.1176,0.1071,0.0966,0.0756,0.0714,0.0672,0.0651,0.0588,0.0546}),"")</f>
        <v>0.147</v>
      </c>
      <c r="M67" s="10" t="n">
        <f aca="false">IFERROR(IF(K67="",G67,K67)*L67,"")</f>
        <v>22.05</v>
      </c>
      <c r="N67" s="0" t="s">
        <v>411</v>
      </c>
      <c r="O67" s="11" t="s">
        <v>27</v>
      </c>
      <c r="P67" s="0" t="n">
        <v>4611</v>
      </c>
      <c r="R67" s="10" t="n">
        <f aca="false">IFERROR(LOOKUP(IF(Q67="",G67,Q67),{0,1,10,100,1000,2000,10000,24000,50000,100000},{0,0.336,0.177,0.107,0.096,0.075,0.065,0.061,0.058,0.055}),"")</f>
        <v>0.107</v>
      </c>
      <c r="S67" s="10" t="n">
        <f aca="false">IFERROR(IF(Q67="",G67,Q67)*R67,"")</f>
        <v>16.05</v>
      </c>
      <c r="T67" s="0" t="s">
        <v>412</v>
      </c>
      <c r="U67" s="11" t="s">
        <v>27</v>
      </c>
      <c r="V67" s="0" t="n">
        <v>2245</v>
      </c>
      <c r="X67" s="10" t="n">
        <f aca="false">IFERROR(LOOKUP(IF(W67="",G67,W67),{0,1,10,25,50,100,250,2000,4000},{0,0.348,0.303,0.214,0.182,0.15,0.12,0.079,0.074}),"")</f>
        <v>0.15</v>
      </c>
      <c r="Y67" s="10" t="n">
        <f aca="false">IFERROR(IF(W67="",G67,W67)*X67,"")</f>
        <v>22.5</v>
      </c>
      <c r="Z67" s="0" t="s">
        <v>413</v>
      </c>
      <c r="AA67" s="11" t="s">
        <v>27</v>
      </c>
    </row>
    <row r="68" customFormat="false" ht="15" hidden="false" customHeight="false" outlineLevel="0" collapsed="false">
      <c r="A68" s="0" t="s">
        <v>414</v>
      </c>
      <c r="B68" s="0" t="s">
        <v>154</v>
      </c>
      <c r="C68" s="0" t="s">
        <v>155</v>
      </c>
      <c r="D68" s="0" t="s">
        <v>156</v>
      </c>
      <c r="E68" s="0" t="s">
        <v>415</v>
      </c>
      <c r="F68" s="0" t="s">
        <v>416</v>
      </c>
      <c r="G68" s="0" t="n">
        <f aca="false">BoardQty*1</f>
        <v>50</v>
      </c>
      <c r="H68" s="10" t="n">
        <f aca="true">MINA(INDIRECT(ADDRESS(ROW(),COLUMN(newark_part_data)+2)),INDIRECT(ADDRESS(ROW(),COLUMN(digikey_part_data)+2)),INDIRECT(ADDRESS(ROW(),COLUMN(mouser_part_data)+2)))</f>
        <v>0.368</v>
      </c>
      <c r="I68" s="10" t="n">
        <f aca="false">IFERROR(G68*H68,"")</f>
        <v>18.4</v>
      </c>
      <c r="J68" s="0" t="n">
        <v>3878</v>
      </c>
      <c r="L68" s="10" t="n">
        <f aca="false">IFERROR(LOOKUP(IF(K68="",G68,K68),{0,1,10,100,500,1000,3000,6000,15000,30000,75000,150000},{0,0.47,0.401,0.2991,0.23494,0.18113,0.16043,0.15008,0.13973,0.13248,0.12938,0.1242}),"")</f>
        <v>0.401</v>
      </c>
      <c r="M68" s="10" t="n">
        <f aca="false">IFERROR(IF(K68="",G68,K68)*L68,"")</f>
        <v>20.05</v>
      </c>
      <c r="N68" s="0" t="s">
        <v>417</v>
      </c>
      <c r="O68" s="11" t="s">
        <v>27</v>
      </c>
      <c r="P68" s="0" t="n">
        <v>0</v>
      </c>
      <c r="R68" s="10" t="n">
        <f aca="false">IFERROR(LOOKUP(IF(Q68="",G68,Q68),{0,1,10,100,1000,3000,9000,24000},{0,0.494,0.368,0.232,0.173,0.148,0.138,0.131}),"")</f>
        <v>0.368</v>
      </c>
      <c r="S68" s="10" t="n">
        <f aca="false">IFERROR(IF(Q68="",G68,Q68)*R68,"")</f>
        <v>18.4</v>
      </c>
      <c r="T68" s="0" t="s">
        <v>418</v>
      </c>
      <c r="U68" s="11" t="s">
        <v>27</v>
      </c>
      <c r="AA68" s="11" t="s">
        <v>27</v>
      </c>
    </row>
    <row r="69" customFormat="false" ht="15" hidden="false" customHeight="false" outlineLevel="0" collapsed="false">
      <c r="A69" s="0" t="s">
        <v>419</v>
      </c>
      <c r="B69" s="0" t="s">
        <v>420</v>
      </c>
      <c r="C69" s="0" t="s">
        <v>421</v>
      </c>
      <c r="D69" s="0" t="s">
        <v>308</v>
      </c>
      <c r="E69" s="0" t="s">
        <v>34</v>
      </c>
      <c r="F69" s="0" t="s">
        <v>420</v>
      </c>
      <c r="G69" s="0" t="n">
        <f aca="false">BoardQty*1</f>
        <v>50</v>
      </c>
      <c r="H69" s="10" t="n">
        <f aca="true">MINA(INDIRECT(ADDRESS(ROW(),COLUMN(newark_part_data)+2)),INDIRECT(ADDRESS(ROW(),COLUMN(digikey_part_data)+2)),INDIRECT(ADDRESS(ROW(),COLUMN(mouser_part_data)+2)))</f>
        <v>0.36</v>
      </c>
      <c r="I69" s="10" t="n">
        <f aca="false">IFERROR(G69*H69,"")</f>
        <v>18</v>
      </c>
      <c r="J69" s="0" t="n">
        <v>13549</v>
      </c>
      <c r="L69" s="10" t="n">
        <f aca="false">IFERROR(LOOKUP(IF(K69="",G69,K69),{0,1,10,100,500,1000,4000,8000,12000,28000,100000,200000},{0,0.46,0.392,0.2925,0.22972,0.1771,0.15686,0.14674,0.13662,0.12954,0.12448,0.12144}),"")</f>
        <v>0.392</v>
      </c>
      <c r="M69" s="10" t="n">
        <f aca="false">IFERROR(IF(K69="",G69,K69)*L69,"")</f>
        <v>19.6</v>
      </c>
      <c r="N69" s="0" t="s">
        <v>422</v>
      </c>
      <c r="O69" s="11" t="s">
        <v>27</v>
      </c>
      <c r="P69" s="0" t="n">
        <v>30166</v>
      </c>
      <c r="R69" s="10" t="n">
        <f aca="false">IFERROR(LOOKUP(IF(Q69="",G69,Q69),{0,1,10,100,1000,4000,8000,24000,48000},{0,0.434,0.36,0.22,0.17,0.145,0.134,0.128,0.126}),"")</f>
        <v>0.36</v>
      </c>
      <c r="S69" s="10" t="n">
        <f aca="false">IFERROR(IF(Q69="",G69,Q69)*R69,"")</f>
        <v>18</v>
      </c>
      <c r="T69" s="0" t="s">
        <v>423</v>
      </c>
      <c r="U69" s="11" t="s">
        <v>27</v>
      </c>
      <c r="V69" s="0" t="n">
        <v>1898</v>
      </c>
      <c r="X69" s="10" t="n">
        <f aca="false">IFERROR(LOOKUP(IF(W69="",G69,W69),{0,1,10,100,1000,4000,24000,48000},{0,0.484,0.366,0.23,0.172,0.147,0.13,0.127}),"")</f>
        <v>0.366</v>
      </c>
      <c r="Y69" s="10" t="n">
        <f aca="false">IFERROR(IF(W69="",G69,W69)*X69,"")</f>
        <v>18.3</v>
      </c>
      <c r="Z69" s="0" t="s">
        <v>424</v>
      </c>
      <c r="AA69" s="11" t="s">
        <v>27</v>
      </c>
    </row>
    <row r="70" customFormat="false" ht="15" hidden="false" customHeight="false" outlineLevel="0" collapsed="false">
      <c r="A70" s="0" t="s">
        <v>425</v>
      </c>
      <c r="B70" s="0" t="s">
        <v>426</v>
      </c>
      <c r="C70" s="0" t="s">
        <v>427</v>
      </c>
      <c r="D70" s="0" t="s">
        <v>113</v>
      </c>
      <c r="E70" s="0" t="s">
        <v>114</v>
      </c>
      <c r="F70" s="0" t="s">
        <v>428</v>
      </c>
      <c r="G70" s="0" t="n">
        <f aca="false">BoardQty*8</f>
        <v>400</v>
      </c>
      <c r="H70" s="10" t="n">
        <f aca="true">MINA(INDIRECT(ADDRESS(ROW(),COLUMN(newark_part_data)+2)),INDIRECT(ADDRESS(ROW(),COLUMN(digikey_part_data)+2)),INDIRECT(ADDRESS(ROW(),COLUMN(mouser_part_data)+2)))</f>
        <v>0.012</v>
      </c>
      <c r="I70" s="10" t="n">
        <f aca="false">IFERROR(G70*H70,"")</f>
        <v>4.8</v>
      </c>
      <c r="J70" s="0" t="n">
        <v>84492</v>
      </c>
      <c r="L70" s="10" t="n">
        <f aca="false">IFERROR(LOOKUP(IF(K70="",G70,K70),{0,1,10,50,100,250,500,1000,4000,8000,12000,28000,100000},{0,0.1,0.035,0.0188,0.016,0.01304,0.01116,0.0087,0.00667,0.00609,0.0058,0.00551,0.00399}),"")</f>
        <v>0.01304</v>
      </c>
      <c r="M70" s="10" t="n">
        <f aca="false">IFERROR(IF(K70="",G70,K70)*L70,"")</f>
        <v>5.216</v>
      </c>
      <c r="N70" s="0" t="s">
        <v>429</v>
      </c>
      <c r="O70" s="11" t="s">
        <v>27</v>
      </c>
      <c r="P70" s="0" t="n">
        <v>28897</v>
      </c>
      <c r="R70" s="10" t="n">
        <f aca="false">IFERROR(LOOKUP(IF(Q70="",G70,Q70),{0,1,10,100,1000,4000,8000},{0,0.099,0.019,0.012,0.009,0.007,0.005}),"")</f>
        <v>0.012</v>
      </c>
      <c r="S70" s="10" t="n">
        <f aca="false">IFERROR(IF(Q70="",G70,Q70)*R70,"")</f>
        <v>4.8</v>
      </c>
      <c r="T70" s="0" t="s">
        <v>430</v>
      </c>
      <c r="U70" s="11" t="s">
        <v>27</v>
      </c>
      <c r="V70" s="0" t="n">
        <v>3250</v>
      </c>
      <c r="X70" s="10" t="n">
        <f aca="false">IFERROR(LOOKUP(IF(W70="",G70,W70),{0,1,10,50,100,250,500,4000,8000},{0,0.106,0.033,0.019,0.016,0.013,0.011,0.006,0.004}),"")</f>
        <v>0.013</v>
      </c>
      <c r="Y70" s="10" t="n">
        <f aca="false">IFERROR(IF(W70="",G70,W70)*X70,"")</f>
        <v>5.2</v>
      </c>
      <c r="Z70" s="0" t="s">
        <v>431</v>
      </c>
      <c r="AA70" s="11" t="s">
        <v>27</v>
      </c>
    </row>
    <row r="71" customFormat="false" ht="15" hidden="false" customHeight="false" outlineLevel="0" collapsed="false">
      <c r="A71" s="0" t="s">
        <v>432</v>
      </c>
      <c r="B71" s="0" t="s">
        <v>433</v>
      </c>
      <c r="D71" s="0" t="s">
        <v>433</v>
      </c>
      <c r="G71" s="0" t="n">
        <f aca="false">BoardQty*2</f>
        <v>100</v>
      </c>
      <c r="H71" s="10" t="n">
        <f aca="true">MINA(INDIRECT(ADDRESS(ROW(),COLUMN(newark_part_data)+2)),INDIRECT(ADDRESS(ROW(),COLUMN(digikey_part_data)+2)),INDIRECT(ADDRESS(ROW(),COLUMN(mouser_part_data)+2)))</f>
        <v>0</v>
      </c>
      <c r="I71" s="10" t="n">
        <f aca="false">IFERROR(G71*H71,"")</f>
        <v>0</v>
      </c>
    </row>
    <row r="72" customFormat="false" ht="15" hidden="false" customHeight="false" outlineLevel="0" collapsed="false">
      <c r="A72" s="0" t="s">
        <v>434</v>
      </c>
      <c r="B72" s="0" t="s">
        <v>199</v>
      </c>
      <c r="C72" s="0" t="s">
        <v>435</v>
      </c>
      <c r="D72" s="0" t="s">
        <v>201</v>
      </c>
      <c r="E72" s="0" t="s">
        <v>202</v>
      </c>
      <c r="F72" s="0" t="s">
        <v>199</v>
      </c>
      <c r="G72" s="0" t="n">
        <f aca="false">BoardQty*4</f>
        <v>200</v>
      </c>
      <c r="H72" s="10" t="n">
        <f aca="true">MINA(INDIRECT(ADDRESS(ROW(),COLUMN(newark_part_data)+2)),INDIRECT(ADDRESS(ROW(),COLUMN(digikey_part_data)+2)),INDIRECT(ADDRESS(ROW(),COLUMN(mouser_part_data)+2)))</f>
        <v>0.025</v>
      </c>
      <c r="I72" s="10" t="n">
        <f aca="false">IFERROR(G72*H72,"")</f>
        <v>5</v>
      </c>
      <c r="J72" s="0" t="n">
        <v>491932</v>
      </c>
      <c r="L72" s="10" t="n">
        <f aca="false">IFERROR(LOOKUP(IF(K72="",G72,K72),{0,1,10,100,500,1000,2500,5000,12500,25000,62500,125000},{0,0.1,0.077,0.042,0.02582,0.01761,0.01454,0.01311,0.0114,0.01026,0.00912,0.00758}),"")</f>
        <v>0.042</v>
      </c>
      <c r="M72" s="10" t="n">
        <f aca="false">IFERROR(IF(K72="",G72,K72)*L72,"")</f>
        <v>8.4</v>
      </c>
      <c r="N72" s="0" t="s">
        <v>203</v>
      </c>
      <c r="O72" s="11" t="s">
        <v>27</v>
      </c>
      <c r="P72" s="0" t="n">
        <v>137780</v>
      </c>
      <c r="R72" s="10" t="n">
        <f aca="false">IFERROR(LOOKUP(IF(Q72="",G72,Q72),{0,1,10,100,1000,2500,10000,25000,50000,100000},{0,0.099,0.073,0.026,0.017,0.013,0.011,0.01,0.009,0.008}),"")</f>
        <v>0.026</v>
      </c>
      <c r="S72" s="10" t="n">
        <f aca="false">IFERROR(IF(Q72="",G72,Q72)*R72,"")</f>
        <v>5.2</v>
      </c>
      <c r="T72" s="0" t="s">
        <v>204</v>
      </c>
      <c r="U72" s="11" t="s">
        <v>27</v>
      </c>
      <c r="V72" s="0" t="n">
        <v>2572</v>
      </c>
      <c r="X72" s="10" t="n">
        <f aca="false">IFERROR(LOOKUP(IF(W72="",G72,W72),{0,1,10,100,1000,2500,10000,25000,50000},{0,0.088,0.072,0.025,0.017,0.009,0.008,0.008,0.008}),"")</f>
        <v>0.025</v>
      </c>
      <c r="Y72" s="10" t="n">
        <f aca="false">IFERROR(IF(W72="",G72,W72)*X72,"")</f>
        <v>5</v>
      </c>
      <c r="Z72" s="0" t="s">
        <v>205</v>
      </c>
      <c r="AA72" s="11" t="s">
        <v>27</v>
      </c>
    </row>
    <row r="73" customFormat="false" ht="15" hidden="false" customHeight="false" outlineLevel="0" collapsed="false">
      <c r="A73" s="0" t="s">
        <v>436</v>
      </c>
      <c r="B73" s="0" t="s">
        <v>437</v>
      </c>
      <c r="C73" s="0" t="s">
        <v>438</v>
      </c>
      <c r="D73" s="0" t="s">
        <v>437</v>
      </c>
      <c r="G73" s="0" t="n">
        <f aca="false">BoardQty*4</f>
        <v>200</v>
      </c>
      <c r="H73" s="10" t="n">
        <f aca="true">MINA(INDIRECT(ADDRESS(ROW(),COLUMN(newark_part_data)+2)),INDIRECT(ADDRESS(ROW(),COLUMN(digikey_part_data)+2)),INDIRECT(ADDRESS(ROW(),COLUMN(mouser_part_data)+2)))</f>
        <v>0</v>
      </c>
      <c r="I73" s="10" t="n">
        <f aca="false">IFERROR(G73*H73,"")</f>
        <v>0</v>
      </c>
    </row>
    <row r="74" customFormat="false" ht="15" hidden="false" customHeight="false" outlineLevel="0" collapsed="false">
      <c r="A74" s="0" t="s">
        <v>439</v>
      </c>
      <c r="B74" s="0" t="s">
        <v>440</v>
      </c>
      <c r="C74" s="0" t="s">
        <v>441</v>
      </c>
      <c r="D74" s="0" t="s">
        <v>440</v>
      </c>
      <c r="E74" s="0" t="s">
        <v>24</v>
      </c>
      <c r="F74" s="0" t="s">
        <v>440</v>
      </c>
      <c r="G74" s="0" t="n">
        <f aca="false">BoardQty*4</f>
        <v>200</v>
      </c>
      <c r="H74" s="10" t="n">
        <f aca="true">MINA(INDIRECT(ADDRESS(ROW(),COLUMN(newark_part_data)+2)),INDIRECT(ADDRESS(ROW(),COLUMN(digikey_part_data)+2)),INDIRECT(ADDRESS(ROW(),COLUMN(mouser_part_data)+2)))</f>
        <v>1.09</v>
      </c>
      <c r="I74" s="10" t="n">
        <f aca="false">IFERROR(G74*H74,"")</f>
        <v>218</v>
      </c>
      <c r="J74" s="0" t="n">
        <v>5185</v>
      </c>
      <c r="L74" s="10" t="n">
        <f aca="false">IFERROR(LOOKUP(IF(K74="",G74,K74),{0,1,10,25,50,100,200,500},{0,1.9,1.77,1.65,1.48,1.21,1.09,1.0125}),"")</f>
        <v>1.09</v>
      </c>
      <c r="M74" s="10" t="n">
        <f aca="false">IFERROR(IF(K74="",G74,K74)*L74,"")</f>
        <v>218</v>
      </c>
      <c r="N74" s="0" t="s">
        <v>442</v>
      </c>
      <c r="O74" s="11" t="s">
        <v>27</v>
      </c>
      <c r="P74" s="0" t="n">
        <v>1934</v>
      </c>
      <c r="R74" s="10" t="n">
        <f aca="false">IFERROR(LOOKUP(IF(Q74="",G74,Q74),{0,1,10,25,50,100,200,500},{0,1.97,1.83,1.71,1.54,1.25,1.13,1.03}),"")</f>
        <v>1.13</v>
      </c>
      <c r="S74" s="10" t="n">
        <f aca="false">IFERROR(IF(Q74="",G74,Q74)*R74,"")</f>
        <v>226</v>
      </c>
      <c r="T74" s="0" t="s">
        <v>443</v>
      </c>
      <c r="U74" s="11" t="s">
        <v>27</v>
      </c>
      <c r="AA74" s="11" t="s">
        <v>27</v>
      </c>
    </row>
    <row r="75" customFormat="false" ht="15" hidden="false" customHeight="false" outlineLevel="0" collapsed="false">
      <c r="A75" s="0" t="s">
        <v>444</v>
      </c>
      <c r="B75" s="0" t="s">
        <v>388</v>
      </c>
      <c r="C75" s="0" t="s">
        <v>389</v>
      </c>
      <c r="D75" s="0" t="s">
        <v>390</v>
      </c>
      <c r="G75" s="0" t="n">
        <f aca="false">BoardQty*4</f>
        <v>200</v>
      </c>
      <c r="H75" s="10" t="n">
        <f aca="true">MINA(INDIRECT(ADDRESS(ROW(),COLUMN(newark_part_data)+2)),INDIRECT(ADDRESS(ROW(),COLUMN(digikey_part_data)+2)),INDIRECT(ADDRESS(ROW(),COLUMN(mouser_part_data)+2)))</f>
        <v>0</v>
      </c>
      <c r="I75" s="10" t="n">
        <f aca="false">IFERROR(G75*H75,"")</f>
        <v>0</v>
      </c>
    </row>
    <row r="76" customFormat="false" ht="15" hidden="false" customHeight="false" outlineLevel="0" collapsed="false">
      <c r="A76" s="0" t="s">
        <v>445</v>
      </c>
      <c r="B76" s="0" t="s">
        <v>446</v>
      </c>
      <c r="C76" s="0" t="s">
        <v>447</v>
      </c>
      <c r="D76" s="0" t="s">
        <v>76</v>
      </c>
      <c r="E76" s="0" t="s">
        <v>34</v>
      </c>
      <c r="F76" s="0" t="s">
        <v>446</v>
      </c>
      <c r="G76" s="0" t="n">
        <f aca="false">BoardQty*3</f>
        <v>150</v>
      </c>
      <c r="H76" s="10" t="n">
        <f aca="true">MINA(INDIRECT(ADDRESS(ROW(),COLUMN(newark_part_data)+2)),INDIRECT(ADDRESS(ROW(),COLUMN(digikey_part_data)+2)),INDIRECT(ADDRESS(ROW(),COLUMN(mouser_part_data)+2)))</f>
        <v>0.183</v>
      </c>
      <c r="I76" s="10" t="n">
        <f aca="false">IFERROR(G76*H76,"")</f>
        <v>27.45</v>
      </c>
      <c r="J76" s="0" t="n">
        <v>5546</v>
      </c>
      <c r="L76" s="10" t="n">
        <f aca="false">IFERROR(LOOKUP(IF(K76="",G76,K76),{0,1,10,100,500,1000,2500,5000,12500,25000,62500,125000},{0,0.46,0.374,0.2551,0.19094,0.14301,0.12754,0.11982,0.11208,0.10281,0.09894,0.09508}),"")</f>
        <v>0.2551</v>
      </c>
      <c r="M76" s="10" t="n">
        <f aca="false">IFERROR(IF(K76="",G76,K76)*L76,"")</f>
        <v>38.265</v>
      </c>
      <c r="N76" s="0" t="s">
        <v>448</v>
      </c>
      <c r="O76" s="11" t="s">
        <v>27</v>
      </c>
      <c r="P76" s="0" t="n">
        <v>5119</v>
      </c>
      <c r="R76" s="10" t="n">
        <f aca="false">IFERROR(LOOKUP(IF(Q76="",G76,Q76),{0,1,10,100,1000,2500,10000,25000,50000,100000},{0,0.434,0.338,0.183,0.137,0.119,0.11,0.101,0.098,0.096}),"")</f>
        <v>0.183</v>
      </c>
      <c r="S76" s="10" t="n">
        <f aca="false">IFERROR(IF(Q76="",G76,Q76)*R76,"")</f>
        <v>27.45</v>
      </c>
      <c r="T76" s="0" t="s">
        <v>449</v>
      </c>
      <c r="U76" s="11" t="s">
        <v>27</v>
      </c>
      <c r="V76" s="0" t="n">
        <v>4891</v>
      </c>
      <c r="X76" s="10" t="n">
        <f aca="false">IFERROR(LOOKUP(IF(W76="",G76,W76),{0,1,10,100,1000},{0,0.511,0.343,0.191,0.14}),"")</f>
        <v>0.191</v>
      </c>
      <c r="Y76" s="10" t="n">
        <f aca="false">IFERROR(IF(W76="",G76,W76)*X76,"")</f>
        <v>28.65</v>
      </c>
      <c r="Z76" s="0" t="s">
        <v>450</v>
      </c>
      <c r="AA76" s="11" t="s">
        <v>27</v>
      </c>
    </row>
    <row r="77" customFormat="false" ht="15" hidden="false" customHeight="false" outlineLevel="0" collapsed="false">
      <c r="A77" s="0" t="s">
        <v>451</v>
      </c>
      <c r="B77" s="0" t="s">
        <v>452</v>
      </c>
      <c r="C77" s="0" t="s">
        <v>453</v>
      </c>
      <c r="D77" s="0" t="s">
        <v>33</v>
      </c>
      <c r="E77" s="0" t="s">
        <v>202</v>
      </c>
      <c r="F77" s="0" t="s">
        <v>452</v>
      </c>
      <c r="G77" s="0" t="n">
        <f aca="false">BoardQty*4</f>
        <v>200</v>
      </c>
      <c r="H77" s="10" t="n">
        <f aca="true">MINA(INDIRECT(ADDRESS(ROW(),COLUMN(newark_part_data)+2)),INDIRECT(ADDRESS(ROW(),COLUMN(digikey_part_data)+2)),INDIRECT(ADDRESS(ROW(),COLUMN(mouser_part_data)+2)))</f>
        <v>0.111</v>
      </c>
      <c r="I77" s="10" t="n">
        <f aca="false">IFERROR(G77*H77,"")</f>
        <v>22.2</v>
      </c>
      <c r="J77" s="0" t="n">
        <v>562717</v>
      </c>
      <c r="L77" s="10" t="n">
        <f aca="false">IFERROR(LOOKUP(IF(K77="",G77,K77),{0,1,10,100,500,1000,3000,6000,15000,30000,75000,150000},{0,0.4,0.331,0.1755,0.11542,0.07864,0.06877,0.0598,0.05083,0.04784,0.04485,0.03887}),"")</f>
        <v>0.1755</v>
      </c>
      <c r="M77" s="10" t="n">
        <f aca="false">IFERROR(IF(K77="",G77,K77)*L77,"")</f>
        <v>35.1</v>
      </c>
      <c r="N77" s="0" t="s">
        <v>454</v>
      </c>
      <c r="O77" s="11" t="s">
        <v>27</v>
      </c>
      <c r="P77" s="0" t="n">
        <v>30387</v>
      </c>
      <c r="R77" s="10" t="n">
        <f aca="false">IFERROR(LOOKUP(IF(Q77="",G77,Q77),{0,1,10,100,1000,3000,9000,24000,45000,99000},{0,0.389,0.268,0.111,0.076,0.06,0.051,0.048,0.045,0.039}),"")</f>
        <v>0.111</v>
      </c>
      <c r="S77" s="10" t="n">
        <f aca="false">IFERROR(IF(Q77="",G77,Q77)*R77,"")</f>
        <v>22.2</v>
      </c>
      <c r="T77" s="0" t="s">
        <v>455</v>
      </c>
      <c r="U77" s="11" t="s">
        <v>27</v>
      </c>
      <c r="V77" s="0" t="n">
        <v>2500</v>
      </c>
      <c r="X77" s="10" t="n">
        <f aca="false">IFERROR(LOOKUP(IF(W77="",G77,W77),{0,1,10,100,1000,3000,9000,24000,45000},{0,0.415,0.277,0.115,0.078,0.06,0.051,0.048,0.045}),"")</f>
        <v>0.115</v>
      </c>
      <c r="Y77" s="10" t="n">
        <f aca="false">IFERROR(IF(W77="",G77,W77)*X77,"")</f>
        <v>23</v>
      </c>
      <c r="Z77" s="0" t="s">
        <v>456</v>
      </c>
      <c r="AA77" s="11" t="s">
        <v>27</v>
      </c>
    </row>
    <row r="78" customFormat="false" ht="15" hidden="false" customHeight="false" outlineLevel="0" collapsed="false">
      <c r="A78" s="0" t="s">
        <v>457</v>
      </c>
      <c r="B78" s="0" t="s">
        <v>458</v>
      </c>
      <c r="C78" s="0" t="s">
        <v>459</v>
      </c>
      <c r="D78" s="0" t="s">
        <v>48</v>
      </c>
      <c r="E78" s="0" t="s">
        <v>49</v>
      </c>
      <c r="F78" s="0" t="s">
        <v>460</v>
      </c>
      <c r="G78" s="0" t="n">
        <f aca="false">BoardQty*2</f>
        <v>100</v>
      </c>
      <c r="H78" s="10" t="n">
        <f aca="true">MINA(INDIRECT(ADDRESS(ROW(),COLUMN(newark_part_data)+2)),INDIRECT(ADDRESS(ROW(),COLUMN(digikey_part_data)+2)),INDIRECT(ADDRESS(ROW(),COLUMN(mouser_part_data)+2)))</f>
        <v>0.003</v>
      </c>
      <c r="I78" s="10" t="n">
        <f aca="false">IFERROR(G78*H78,"")</f>
        <v>0.3</v>
      </c>
      <c r="J78" s="0" t="n">
        <v>649681</v>
      </c>
      <c r="L78" s="10" t="n">
        <f aca="false">IFERROR(LOOKUP(IF(K78="",G78,K78),{0,1,10,25,100,250,500,1000,2500,5000,10000,25000,50000,125000},{0,0.1,0.011,0.008,0.0044,0.00336,0.0027,0.00198,0.00172,0.00129,0.00112,0.00099,0.0009,0.00089}),"")</f>
        <v>0.0044</v>
      </c>
      <c r="M78" s="10" t="n">
        <f aca="false">IFERROR(IF(K78="",G78,K78)*L78,"")</f>
        <v>0.44</v>
      </c>
      <c r="N78" s="0" t="s">
        <v>461</v>
      </c>
      <c r="O78" s="11" t="s">
        <v>27</v>
      </c>
      <c r="P78" s="0" t="n">
        <v>38819</v>
      </c>
      <c r="R78" s="10" t="n">
        <f aca="false">IFERROR(LOOKUP(IF(Q78="",G78,Q78),{0,1,10,100,1000,5000,50000},{0,0.099,0.008,0.003,0.002,0.002,0.001}),"")</f>
        <v>0.003</v>
      </c>
      <c r="S78" s="10" t="n">
        <f aca="false">IFERROR(IF(Q78="",G78,Q78)*R78,"")</f>
        <v>0.3</v>
      </c>
      <c r="T78" s="0" t="s">
        <v>462</v>
      </c>
      <c r="U78" s="11" t="s">
        <v>27</v>
      </c>
      <c r="V78" s="0" t="n">
        <v>9139</v>
      </c>
      <c r="X78" s="10" t="n">
        <f aca="false">IFERROR(LOOKUP(IF(W78="",G78,W78),{0,1,10,25,100,250,1000,5000,10000},{0,0.06,0.01,0.007,0.004,0.003,0.002,0.002,0.001}),"")</f>
        <v>0.004</v>
      </c>
      <c r="Y78" s="10" t="n">
        <f aca="false">IFERROR(IF(W78="",G78,W78)*X78,"")</f>
        <v>0.4</v>
      </c>
      <c r="Z78" s="0" t="s">
        <v>463</v>
      </c>
      <c r="AA78" s="11" t="s">
        <v>27</v>
      </c>
    </row>
    <row r="79" customFormat="false" ht="15" hidden="false" customHeight="false" outlineLevel="0" collapsed="false">
      <c r="A79" s="0" t="s">
        <v>464</v>
      </c>
      <c r="B79" s="0" t="s">
        <v>465</v>
      </c>
      <c r="C79" s="0" t="s">
        <v>56</v>
      </c>
      <c r="D79" s="0" t="s">
        <v>57</v>
      </c>
      <c r="E79" s="0" t="s">
        <v>24</v>
      </c>
      <c r="F79" s="0" t="s">
        <v>58</v>
      </c>
      <c r="G79" s="0" t="n">
        <f aca="false">BoardQty*1</f>
        <v>50</v>
      </c>
      <c r="H79" s="10" t="n">
        <f aca="true">MINA(INDIRECT(ADDRESS(ROW(),COLUMN(newark_part_data)+2)),INDIRECT(ADDRESS(ROW(),COLUMN(digikey_part_data)+2)),INDIRECT(ADDRESS(ROW(),COLUMN(mouser_part_data)+2)))</f>
        <v>0.88</v>
      </c>
      <c r="I79" s="10" t="n">
        <f aca="false">IFERROR(G79*H79,"")</f>
        <v>44</v>
      </c>
      <c r="J79" s="0" t="n">
        <v>644</v>
      </c>
      <c r="L79" s="10" t="n">
        <f aca="false">IFERROR(LOOKUP(IF(K79="",G79,K79),{0,1,10,25,50,100,250,500,1000,2500},{0,1.72,1.304,1.2084,1.0866,1.06,0.92752,0.848,0.7685,0.689}),"")</f>
        <v>1.0866</v>
      </c>
      <c r="M79" s="10" t="n">
        <f aca="false">IFERROR(IF(K79="",G79,K79)*L79,"")</f>
        <v>54.33</v>
      </c>
      <c r="N79" s="0" t="s">
        <v>59</v>
      </c>
      <c r="O79" s="11" t="s">
        <v>27</v>
      </c>
      <c r="P79" s="0" t="n">
        <v>2159</v>
      </c>
      <c r="R79" s="10" t="n">
        <f aca="false">IFERROR(LOOKUP(IF(Q79="",G79,Q79),{0,1,25,50,100,200,500,1000,2000,5000},{0,1.25,1.12,1.07,1.01,0.952,0.907,0.88,0.789,0.711}),"")</f>
        <v>1.07</v>
      </c>
      <c r="S79" s="10" t="n">
        <f aca="false">IFERROR(IF(Q79="",G79,Q79)*R79,"")</f>
        <v>53.5</v>
      </c>
      <c r="T79" s="0" t="s">
        <v>60</v>
      </c>
      <c r="U79" s="11" t="s">
        <v>27</v>
      </c>
      <c r="V79" s="0" t="n">
        <v>496</v>
      </c>
      <c r="X79" s="10" t="n">
        <f aca="false">IFERROR(LOOKUP(IF(W79="",G79,W79),{0,1,50,100,250,500},{0,1.1,0.88,0.81,0.77,0.73}),"")</f>
        <v>0.88</v>
      </c>
      <c r="Y79" s="10" t="n">
        <f aca="false">IFERROR(IF(W79="",G79,W79)*X79,"")</f>
        <v>44</v>
      </c>
      <c r="Z79" s="0" t="s">
        <v>61</v>
      </c>
      <c r="AA79" s="11" t="s">
        <v>27</v>
      </c>
    </row>
    <row r="80" customFormat="false" ht="15" hidden="false" customHeight="false" outlineLevel="0" collapsed="false">
      <c r="A80" s="0" t="s">
        <v>466</v>
      </c>
      <c r="B80" s="0" t="s">
        <v>467</v>
      </c>
      <c r="C80" s="0" t="s">
        <v>467</v>
      </c>
      <c r="D80" s="0" t="s">
        <v>468</v>
      </c>
      <c r="G80" s="0" t="n">
        <f aca="false">BoardQty*6</f>
        <v>300</v>
      </c>
      <c r="H80" s="10" t="n">
        <f aca="true">MINA(INDIRECT(ADDRESS(ROW(),COLUMN(newark_part_data)+2)),INDIRECT(ADDRESS(ROW(),COLUMN(digikey_part_data)+2)),INDIRECT(ADDRESS(ROW(),COLUMN(mouser_part_data)+2)))</f>
        <v>0</v>
      </c>
      <c r="I80" s="10" t="n">
        <f aca="false">IFERROR(G80*H80,"")</f>
        <v>0</v>
      </c>
    </row>
    <row r="81" customFormat="false" ht="15" hidden="false" customHeight="false" outlineLevel="0" collapsed="false">
      <c r="A81" s="0" t="s">
        <v>469</v>
      </c>
      <c r="B81" s="0" t="s">
        <v>470</v>
      </c>
      <c r="C81" s="0" t="s">
        <v>56</v>
      </c>
      <c r="D81" s="0" t="s">
        <v>57</v>
      </c>
      <c r="E81" s="0" t="s">
        <v>24</v>
      </c>
      <c r="F81" s="0" t="s">
        <v>58</v>
      </c>
      <c r="G81" s="0" t="n">
        <f aca="false">BoardQty*1</f>
        <v>50</v>
      </c>
      <c r="H81" s="10" t="n">
        <f aca="true">MINA(INDIRECT(ADDRESS(ROW(),COLUMN(newark_part_data)+2)),INDIRECT(ADDRESS(ROW(),COLUMN(digikey_part_data)+2)),INDIRECT(ADDRESS(ROW(),COLUMN(mouser_part_data)+2)))</f>
        <v>0.88</v>
      </c>
      <c r="I81" s="10" t="n">
        <f aca="false">IFERROR(G81*H81,"")</f>
        <v>44</v>
      </c>
      <c r="J81" s="0" t="n">
        <v>644</v>
      </c>
      <c r="L81" s="10" t="n">
        <f aca="false">IFERROR(LOOKUP(IF(K81="",G81,K81),{0,1,10,25,50,100,250,500,1000,2500},{0,1.72,1.304,1.2084,1.0866,1.06,0.92752,0.848,0.7685,0.689}),"")</f>
        <v>1.0866</v>
      </c>
      <c r="M81" s="10" t="n">
        <f aca="false">IFERROR(IF(K81="",G81,K81)*L81,"")</f>
        <v>54.33</v>
      </c>
      <c r="N81" s="0" t="s">
        <v>59</v>
      </c>
      <c r="O81" s="11" t="s">
        <v>27</v>
      </c>
      <c r="P81" s="0" t="n">
        <v>2159</v>
      </c>
      <c r="R81" s="10" t="n">
        <f aca="false">IFERROR(LOOKUP(IF(Q81="",G81,Q81),{0,1,25,50,100,200,500,1000,2000,5000},{0,1.25,1.12,1.07,1.01,0.952,0.907,0.88,0.789,0.711}),"")</f>
        <v>1.07</v>
      </c>
      <c r="S81" s="10" t="n">
        <f aca="false">IFERROR(IF(Q81="",G81,Q81)*R81,"")</f>
        <v>53.5</v>
      </c>
      <c r="T81" s="0" t="s">
        <v>60</v>
      </c>
      <c r="U81" s="11" t="s">
        <v>27</v>
      </c>
      <c r="V81" s="0" t="n">
        <v>496</v>
      </c>
      <c r="X81" s="10" t="n">
        <f aca="false">IFERROR(LOOKUP(IF(W81="",G81,W81),{0,1,50,100,250,500},{0,1.1,0.88,0.81,0.77,0.73}),"")</f>
        <v>0.88</v>
      </c>
      <c r="Y81" s="10" t="n">
        <f aca="false">IFERROR(IF(W81="",G81,W81)*X81,"")</f>
        <v>44</v>
      </c>
      <c r="Z81" s="0" t="s">
        <v>61</v>
      </c>
      <c r="AA81" s="11" t="s">
        <v>27</v>
      </c>
    </row>
    <row r="82" customFormat="false" ht="15" hidden="false" customHeight="false" outlineLevel="0" collapsed="false">
      <c r="A82" s="0" t="s">
        <v>471</v>
      </c>
      <c r="B82" s="0" t="s">
        <v>472</v>
      </c>
      <c r="C82" s="0" t="s">
        <v>473</v>
      </c>
      <c r="D82" s="0" t="s">
        <v>48</v>
      </c>
      <c r="E82" s="0" t="s">
        <v>49</v>
      </c>
      <c r="F82" s="0" t="s">
        <v>474</v>
      </c>
      <c r="G82" s="0" t="n">
        <f aca="false">BoardQty*1</f>
        <v>50</v>
      </c>
      <c r="H82" s="10" t="n">
        <f aca="true">MINA(INDIRECT(ADDRESS(ROW(),COLUMN(newark_part_data)+2)),INDIRECT(ADDRESS(ROW(),COLUMN(digikey_part_data)+2)),INDIRECT(ADDRESS(ROW(),COLUMN(mouser_part_data)+2)))</f>
        <v>0.007</v>
      </c>
      <c r="I82" s="10" t="n">
        <f aca="false">IFERROR(G82*H82,"")</f>
        <v>0.35</v>
      </c>
      <c r="J82" s="0" t="n">
        <v>1972025</v>
      </c>
      <c r="L82" s="10" t="n">
        <f aca="false">IFERROR(LOOKUP(IF(K82="",G82,K82),{0,1,10,25,100,250,500,1000,2500,5000,10000,25000,50000,125000},{0,0.1,0.011,0.008,0.0044,0.00336,0.0027,0.00198,0.00172,0.00129,0.00112,0.00099,0.0009,0.00089}),"")</f>
        <v>0.008</v>
      </c>
      <c r="M82" s="10" t="n">
        <f aca="false">IFERROR(IF(K82="",G82,K82)*L82,"")</f>
        <v>0.4</v>
      </c>
      <c r="N82" s="0" t="s">
        <v>475</v>
      </c>
      <c r="O82" s="11" t="s">
        <v>27</v>
      </c>
      <c r="P82" s="0" t="n">
        <v>118645</v>
      </c>
      <c r="R82" s="10" t="n">
        <f aca="false">IFERROR(LOOKUP(IF(Q82="",G82,Q82),{0,1,10,100,1000,5000,50000},{0,0.099,0.008,0.003,0.002,0.002,0.001}),"")</f>
        <v>0.008</v>
      </c>
      <c r="S82" s="10" t="n">
        <f aca="false">IFERROR(IF(Q82="",G82,Q82)*R82,"")</f>
        <v>0.4</v>
      </c>
      <c r="T82" s="0" t="s">
        <v>476</v>
      </c>
      <c r="U82" s="11" t="s">
        <v>27</v>
      </c>
      <c r="V82" s="0" t="n">
        <v>2570</v>
      </c>
      <c r="X82" s="10" t="n">
        <f aca="false">IFERROR(LOOKUP(IF(W82="",G82,W82),{0,1,10,25,100,250,1000,5000,10000},{0,0.06,0.01,0.007,0.004,0.003,0.002,0.002,0.001}),"")</f>
        <v>0.007</v>
      </c>
      <c r="Y82" s="10" t="n">
        <f aca="false">IFERROR(IF(W82="",G82,W82)*X82,"")</f>
        <v>0.35</v>
      </c>
      <c r="Z82" s="0" t="s">
        <v>477</v>
      </c>
      <c r="AA82" s="11" t="s">
        <v>27</v>
      </c>
    </row>
    <row r="83" customFormat="false" ht="15" hidden="false" customHeight="false" outlineLevel="0" collapsed="false">
      <c r="A83" s="0" t="s">
        <v>478</v>
      </c>
      <c r="B83" s="0" t="s">
        <v>479</v>
      </c>
      <c r="C83" s="0" t="s">
        <v>480</v>
      </c>
      <c r="D83" s="0" t="s">
        <v>84</v>
      </c>
      <c r="E83" s="0" t="s">
        <v>261</v>
      </c>
      <c r="F83" s="0" t="s">
        <v>481</v>
      </c>
      <c r="G83" s="0" t="n">
        <f aca="false">BoardQty*2</f>
        <v>100</v>
      </c>
      <c r="H83" s="10" t="n">
        <f aca="true">MINA(INDIRECT(ADDRESS(ROW(),COLUMN(newark_part_data)+2)),INDIRECT(ADDRESS(ROW(),COLUMN(digikey_part_data)+2)),INDIRECT(ADDRESS(ROW(),COLUMN(mouser_part_data)+2)))</f>
        <v>0.0436</v>
      </c>
      <c r="I83" s="10" t="n">
        <f aca="false">IFERROR(G83*H83,"")</f>
        <v>4.36</v>
      </c>
      <c r="J83" s="0" t="n">
        <v>10589</v>
      </c>
      <c r="L83" s="10" t="n">
        <f aca="false">IFERROR(LOOKUP(IF(K83="",G83,K83),{0,1,10,25,50,100,250,500,1000,4000,8000,12000,28000,100000},{0,0.1,0.073,0.066,0.0594,0.0436,0.03168,0.02904,0.02508,0.0192,0.0174,0.0168,0.0156,0.01542}),"")</f>
        <v>0.0436</v>
      </c>
      <c r="M83" s="10" t="n">
        <f aca="false">IFERROR(IF(K83="",G83,K83)*L83,"")</f>
        <v>4.36</v>
      </c>
      <c r="N83" s="0" t="s">
        <v>482</v>
      </c>
      <c r="O83" s="11" t="s">
        <v>27</v>
      </c>
    </row>
    <row r="84" customFormat="false" ht="15" hidden="false" customHeight="false" outlineLevel="0" collapsed="false">
      <c r="A84" s="0" t="s">
        <v>483</v>
      </c>
      <c r="B84" s="0" t="s">
        <v>274</v>
      </c>
      <c r="C84" s="0" t="s">
        <v>484</v>
      </c>
      <c r="D84" s="0" t="s">
        <v>485</v>
      </c>
      <c r="E84" s="0" t="s">
        <v>325</v>
      </c>
      <c r="F84" s="0" t="s">
        <v>486</v>
      </c>
      <c r="G84" s="0" t="n">
        <f aca="false">BoardQty*1</f>
        <v>50</v>
      </c>
      <c r="H84" s="10" t="n">
        <f aca="true">MINA(INDIRECT(ADDRESS(ROW(),COLUMN(newark_part_data)+2)),INDIRECT(ADDRESS(ROW(),COLUMN(digikey_part_data)+2)),INDIRECT(ADDRESS(ROW(),COLUMN(mouser_part_data)+2)))</f>
        <v>0.1854</v>
      </c>
      <c r="I84" s="10" t="n">
        <f aca="false">IFERROR(G84*H84,"")</f>
        <v>9.27</v>
      </c>
      <c r="J84" s="0" t="n">
        <v>5489</v>
      </c>
      <c r="L84" s="10" t="n">
        <f aca="false">IFERROR(LOOKUP(IF(K84="",G84,K84),{0,1,10,25,50,100,250,500,1000,4000,8000,12000,28000,100000},{0,0.43,0.328,0.2496,0.1854,0.1378,0.11644,0.0998,0.07603,0.072,0.0648,0.06336,0.0612,0.05942}),"")</f>
        <v>0.1854</v>
      </c>
      <c r="M84" s="10" t="n">
        <f aca="false">IFERROR(IF(K84="",G84,K84)*L84,"")</f>
        <v>9.27</v>
      </c>
      <c r="N84" s="0" t="s">
        <v>487</v>
      </c>
      <c r="O84" s="11" t="s">
        <v>27</v>
      </c>
      <c r="P84" s="0" t="n">
        <v>2870</v>
      </c>
      <c r="R84" s="10" t="n">
        <f aca="false">IFERROR(LOOKUP(IF(Q84="",G84,Q84),{0,1,10,100,1000,4000,8000,24000,48000,100000},{0,0.444,0.192,0.104,0.08,0.074,0.066,0.064,0.063,0.062}),"")</f>
        <v>0.192</v>
      </c>
      <c r="S84" s="10" t="n">
        <f aca="false">IFERROR(IF(Q84="",G84,Q84)*R84,"")</f>
        <v>9.6</v>
      </c>
      <c r="T84" s="0" t="s">
        <v>488</v>
      </c>
      <c r="U84" s="11" t="s">
        <v>27</v>
      </c>
      <c r="AA84" s="11" t="s">
        <v>27</v>
      </c>
    </row>
    <row r="85" customFormat="false" ht="15" hidden="false" customHeight="false" outlineLevel="0" collapsed="false">
      <c r="A85" s="0" t="s">
        <v>489</v>
      </c>
      <c r="B85" s="0" t="s">
        <v>490</v>
      </c>
      <c r="C85" s="0" t="s">
        <v>491</v>
      </c>
      <c r="D85" s="0" t="s">
        <v>48</v>
      </c>
      <c r="E85" s="0" t="s">
        <v>49</v>
      </c>
      <c r="F85" s="0" t="s">
        <v>492</v>
      </c>
      <c r="G85" s="0" t="n">
        <f aca="false">BoardQty*3</f>
        <v>150</v>
      </c>
      <c r="H85" s="10" t="n">
        <f aca="true">MINA(INDIRECT(ADDRESS(ROW(),COLUMN(newark_part_data)+2)),INDIRECT(ADDRESS(ROW(),COLUMN(digikey_part_data)+2)),INDIRECT(ADDRESS(ROW(),COLUMN(mouser_part_data)+2)))</f>
        <v>0.003</v>
      </c>
      <c r="I85" s="10" t="n">
        <f aca="false">IFERROR(G85*H85,"")</f>
        <v>0.45</v>
      </c>
      <c r="J85" s="0" t="n">
        <v>48300</v>
      </c>
      <c r="L85" s="10" t="n">
        <f aca="false">IFERROR(LOOKUP(IF(K85="",G85,K85),{0,1,10,25,100,250,500,1000,2500,5000,10000,25000,50000,125000},{0,0.1,0.011,0.008,0.0044,0.00336,0.0027,0.00198,0.00172,0.00129,0.00112,0.00099,0.0009,0.00089}),"")</f>
        <v>0.0044</v>
      </c>
      <c r="M85" s="10" t="n">
        <f aca="false">IFERROR(IF(K85="",G85,K85)*L85,"")</f>
        <v>0.66</v>
      </c>
      <c r="N85" s="0" t="s">
        <v>493</v>
      </c>
      <c r="O85" s="11" t="s">
        <v>27</v>
      </c>
      <c r="P85" s="0" t="n">
        <v>35902</v>
      </c>
      <c r="R85" s="10" t="n">
        <f aca="false">IFERROR(LOOKUP(IF(Q85="",G85,Q85),{0,1,10,100,1000,5000,50000},{0,0.099,0.008,0.003,0.002,0.002,0.001}),"")</f>
        <v>0.003</v>
      </c>
      <c r="S85" s="10" t="n">
        <f aca="false">IFERROR(IF(Q85="",G85,Q85)*R85,"")</f>
        <v>0.45</v>
      </c>
      <c r="T85" s="0" t="s">
        <v>494</v>
      </c>
      <c r="U85" s="11" t="s">
        <v>27</v>
      </c>
      <c r="V85" s="0" t="n">
        <v>7807</v>
      </c>
      <c r="X85" s="10" t="n">
        <f aca="false">IFERROR(LOOKUP(IF(W85="",G85,W85),{0,1,10,25,100,250,1000,5000,10000},{0,0.06,0.01,0.007,0.004,0.003,0.002,0.002,0.001}),"")</f>
        <v>0.004</v>
      </c>
      <c r="Y85" s="10" t="n">
        <f aca="false">IFERROR(IF(W85="",G85,W85)*X85,"")</f>
        <v>0.6</v>
      </c>
      <c r="Z85" s="0" t="s">
        <v>495</v>
      </c>
      <c r="AA85" s="11" t="s">
        <v>27</v>
      </c>
    </row>
    <row r="86" customFormat="false" ht="15" hidden="false" customHeight="false" outlineLevel="0" collapsed="false">
      <c r="A86" s="0" t="s">
        <v>496</v>
      </c>
      <c r="B86" s="0" t="s">
        <v>497</v>
      </c>
      <c r="C86" s="0" t="s">
        <v>498</v>
      </c>
      <c r="D86" s="0" t="s">
        <v>499</v>
      </c>
      <c r="E86" s="0" t="s">
        <v>500</v>
      </c>
      <c r="F86" s="0" t="s">
        <v>501</v>
      </c>
      <c r="G86" s="0" t="n">
        <f aca="false">BoardQty*1</f>
        <v>50</v>
      </c>
      <c r="H86" s="10" t="n">
        <f aca="true">MINA(INDIRECT(ADDRESS(ROW(),COLUMN(newark_part_data)+2)),INDIRECT(ADDRESS(ROW(),COLUMN(digikey_part_data)+2)),INDIRECT(ADDRESS(ROW(),COLUMN(mouser_part_data)+2)))</f>
        <v>0</v>
      </c>
      <c r="I86" s="10" t="n">
        <f aca="false">IFERROR(G86*H86,"")</f>
        <v>0</v>
      </c>
      <c r="O86" s="11" t="s">
        <v>27</v>
      </c>
    </row>
    <row r="87" customFormat="false" ht="15" hidden="false" customHeight="false" outlineLevel="0" collapsed="false">
      <c r="A87" s="0" t="s">
        <v>502</v>
      </c>
      <c r="B87" s="0" t="s">
        <v>503</v>
      </c>
      <c r="C87" s="0" t="s">
        <v>504</v>
      </c>
      <c r="D87" s="0" t="s">
        <v>505</v>
      </c>
      <c r="E87" s="0" t="s">
        <v>325</v>
      </c>
      <c r="F87" s="0" t="s">
        <v>503</v>
      </c>
      <c r="G87" s="0" t="n">
        <f aca="false">BoardQty*1</f>
        <v>50</v>
      </c>
      <c r="H87" s="10" t="n">
        <f aca="true">MINA(INDIRECT(ADDRESS(ROW(),COLUMN(newark_part_data)+2)),INDIRECT(ADDRESS(ROW(),COLUMN(digikey_part_data)+2)),INDIRECT(ADDRESS(ROW(),COLUMN(mouser_part_data)+2)))</f>
        <v>0.2432</v>
      </c>
      <c r="I87" s="10" t="n">
        <f aca="false">IFERROR(G87*H87,"")</f>
        <v>12.16</v>
      </c>
      <c r="J87" s="0" t="n">
        <v>6007</v>
      </c>
      <c r="L87" s="10" t="n">
        <f aca="false">IFERROR(LOOKUP(IF(K87="",G87,K87),{0,1,10,25,50,100,250,500,1000,3000,6000,15000},{0,0.29,0.273,0.252,0.2432,0.2264,0.2016,0.168,0.1592,0.128,0.12,0.112}),"")</f>
        <v>0.2432</v>
      </c>
      <c r="M87" s="10" t="n">
        <f aca="false">IFERROR(IF(K87="",G87,K87)*L87,"")</f>
        <v>12.16</v>
      </c>
      <c r="N87" s="0" t="s">
        <v>506</v>
      </c>
      <c r="O87" s="11" t="s">
        <v>27</v>
      </c>
      <c r="P87" s="0" t="n">
        <v>8956</v>
      </c>
      <c r="R87" s="10" t="n">
        <f aca="false">IFERROR(LOOKUP(IF(Q87="",G87,Q87),{0,1,10,100,250,500,1000,3000,6000,9000},{0,0.3,0.252,0.234,0.208,0.173,0.166,0.132,0.124,0.116}),"")</f>
        <v>0.252</v>
      </c>
      <c r="S87" s="10" t="n">
        <f aca="false">IFERROR(IF(Q87="",G87,Q87)*R87,"")</f>
        <v>12.6</v>
      </c>
      <c r="T87" s="0" t="s">
        <v>507</v>
      </c>
      <c r="U87" s="11" t="s">
        <v>27</v>
      </c>
      <c r="AA87" s="11" t="s">
        <v>27</v>
      </c>
    </row>
    <row r="88" customFormat="false" ht="15" hidden="false" customHeight="false" outlineLevel="0" collapsed="false">
      <c r="A88" s="0" t="s">
        <v>508</v>
      </c>
      <c r="B88" s="0" t="s">
        <v>509</v>
      </c>
      <c r="C88" s="0" t="s">
        <v>510</v>
      </c>
      <c r="D88" s="0" t="s">
        <v>48</v>
      </c>
      <c r="E88" s="0" t="s">
        <v>375</v>
      </c>
      <c r="F88" s="0" t="s">
        <v>511</v>
      </c>
      <c r="G88" s="0" t="n">
        <f aca="false">BoardQty*1</f>
        <v>50</v>
      </c>
      <c r="H88" s="10" t="n">
        <f aca="true">MINA(INDIRECT(ADDRESS(ROW(),COLUMN(newark_part_data)+2)),INDIRECT(ADDRESS(ROW(),COLUMN(digikey_part_data)+2)),INDIRECT(ADDRESS(ROW(),COLUMN(mouser_part_data)+2)))</f>
        <v>0.1712</v>
      </c>
      <c r="I88" s="10" t="n">
        <f aca="false">IFERROR(G88*H88,"")</f>
        <v>8.56</v>
      </c>
      <c r="J88" s="0" t="n">
        <v>26256</v>
      </c>
      <c r="L88" s="10" t="n">
        <f aca="false">IFERROR(LOOKUP(IF(K88="",G88,K88),{0,1,10,25,50,100,250,500,1000,5000,10000,25000,50000,125000},{0,0.4,0.303,0.2304,0.1712,0.1273,0.10752,0.09216,0.07022,0.05686,0.05426,0.05199,0.05087,0.04988}),"")</f>
        <v>0.1712</v>
      </c>
      <c r="M88" s="10" t="n">
        <f aca="false">IFERROR(IF(K88="",G88,K88)*L88,"")</f>
        <v>8.56</v>
      </c>
      <c r="N88" s="0" t="s">
        <v>512</v>
      </c>
      <c r="O88" s="11" t="s">
        <v>27</v>
      </c>
      <c r="P88" s="0" t="n">
        <v>7507</v>
      </c>
      <c r="R88" s="10" t="n">
        <f aca="false">IFERROR(LOOKUP(IF(Q88="",G88,Q88),{0,1,10,100,1000,2000,5000,10000,25000,50000,100000},{0,0.529,0.205,0.102,0.074,0.056,0.056,0.053,0.051,0.05,0.049}),"")</f>
        <v>0.205</v>
      </c>
      <c r="S88" s="10" t="n">
        <f aca="false">IFERROR(IF(Q88="",G88,Q88)*R88,"")</f>
        <v>10.25</v>
      </c>
      <c r="T88" s="0" t="s">
        <v>513</v>
      </c>
      <c r="U88" s="11" t="s">
        <v>27</v>
      </c>
      <c r="AA88" s="11" t="s">
        <v>27</v>
      </c>
    </row>
    <row r="89" customFormat="false" ht="15" hidden="false" customHeight="false" outlineLevel="0" collapsed="false">
      <c r="A89" s="0" t="s">
        <v>514</v>
      </c>
      <c r="B89" s="0" t="s">
        <v>515</v>
      </c>
      <c r="C89" s="0" t="s">
        <v>516</v>
      </c>
      <c r="D89" s="0" t="s">
        <v>517</v>
      </c>
      <c r="E89" s="0" t="s">
        <v>325</v>
      </c>
      <c r="F89" s="0" t="s">
        <v>518</v>
      </c>
      <c r="G89" s="0" t="n">
        <f aca="false">BoardQty*1</f>
        <v>50</v>
      </c>
      <c r="H89" s="10" t="n">
        <f aca="true">MINA(INDIRECT(ADDRESS(ROW(),COLUMN(newark_part_data)+2)),INDIRECT(ADDRESS(ROW(),COLUMN(digikey_part_data)+2)),INDIRECT(ADDRESS(ROW(),COLUMN(mouser_part_data)+2)))</f>
        <v>0.52</v>
      </c>
      <c r="I89" s="10" t="n">
        <f aca="false">IFERROR(G89*H89,"")</f>
        <v>26</v>
      </c>
      <c r="J89" s="0" t="n">
        <v>1677</v>
      </c>
      <c r="L89" s="10" t="n">
        <f aca="false">IFERROR(LOOKUP(IF(K89="",G89,K89),{0,1,10,25,50,100,250,600,1200,3000},{0,0.72,0.64,0.6,0.52,0.48,0.456,0.336,0.272,0.266}),"")</f>
        <v>0.52</v>
      </c>
      <c r="M89" s="10" t="n">
        <f aca="false">IFERROR(IF(K89="",G89,K89)*L89,"")</f>
        <v>26</v>
      </c>
      <c r="N89" s="0" t="s">
        <v>519</v>
      </c>
      <c r="O89" s="11" t="s">
        <v>27</v>
      </c>
      <c r="P89" s="0" t="n">
        <v>1464</v>
      </c>
      <c r="R89" s="10" t="n">
        <f aca="false">IFERROR(LOOKUP(IF(Q89="",G89,Q89),{0,1,10,100,250,600,1200,2400,4800},{0,0.743,0.536,0.496,0.471,0.347,0.281,0.275,0.27}),"")</f>
        <v>0.536</v>
      </c>
      <c r="S89" s="10" t="n">
        <f aca="false">IFERROR(IF(Q89="",G89,Q89)*R89,"")</f>
        <v>26.8</v>
      </c>
      <c r="T89" s="0" t="s">
        <v>520</v>
      </c>
      <c r="U89" s="11" t="s">
        <v>27</v>
      </c>
      <c r="V89" s="0" t="n">
        <v>82</v>
      </c>
      <c r="X89" s="10" t="n">
        <f aca="false">IFERROR(LOOKUP(IF(W89="",G89,W89),{0,1,10,100,250,500,1000},{0,0.674,0.556,0.48,0.456,0.356,0.314}),"")</f>
        <v>0.556</v>
      </c>
      <c r="Y89" s="10" t="n">
        <f aca="false">IFERROR(IF(W89="",G89,W89)*X89,"")</f>
        <v>27.8</v>
      </c>
      <c r="Z89" s="0" t="s">
        <v>521</v>
      </c>
      <c r="AA89" s="11" t="s">
        <v>27</v>
      </c>
    </row>
    <row r="90" customFormat="false" ht="15" hidden="false" customHeight="false" outlineLevel="0" collapsed="false">
      <c r="A90" s="0" t="s">
        <v>522</v>
      </c>
      <c r="B90" s="0" t="s">
        <v>111</v>
      </c>
      <c r="C90" s="0" t="s">
        <v>523</v>
      </c>
      <c r="D90" s="0" t="s">
        <v>113</v>
      </c>
      <c r="E90" s="0" t="s">
        <v>114</v>
      </c>
      <c r="F90" s="0" t="s">
        <v>115</v>
      </c>
      <c r="G90" s="0" t="n">
        <f aca="false">BoardQty*8</f>
        <v>400</v>
      </c>
      <c r="H90" s="10" t="n">
        <f aca="true">MINA(INDIRECT(ADDRESS(ROW(),COLUMN(newark_part_data)+2)),INDIRECT(ADDRESS(ROW(),COLUMN(digikey_part_data)+2)),INDIRECT(ADDRESS(ROW(),COLUMN(mouser_part_data)+2)))</f>
        <v>0.007</v>
      </c>
      <c r="I90" s="10" t="n">
        <f aca="false">IFERROR(G90*H90,"")</f>
        <v>2.8</v>
      </c>
      <c r="J90" s="0" t="n">
        <v>835271</v>
      </c>
      <c r="L90" s="10" t="n">
        <f aca="false">IFERROR(LOOKUP(IF(K90="",G90,K90),{0,1,10,50,100,250,500,1000,4000,8000,12000,28000,100000},{0,0.1,0.022,0.0118,0.0099,0.00812,0.00694,0.0054,0.00414,0.00378,0.0036,0.00342,0.00248}),"")</f>
        <v>0.00812</v>
      </c>
      <c r="M90" s="10" t="n">
        <f aca="false">IFERROR(IF(K90="",G90,K90)*L90,"")</f>
        <v>3.248</v>
      </c>
      <c r="N90" s="0" t="s">
        <v>116</v>
      </c>
      <c r="O90" s="11" t="s">
        <v>27</v>
      </c>
      <c r="P90" s="0" t="n">
        <v>454139</v>
      </c>
      <c r="R90" s="10" t="n">
        <f aca="false">IFERROR(LOOKUP(IF(Q90="",G90,Q90),{0,1,10,100,1000,4000,8000,48000},{0,0.099,0.012,0.007,0.005,0.005,0.004,0.003}),"")</f>
        <v>0.007</v>
      </c>
      <c r="S90" s="10" t="n">
        <f aca="false">IFERROR(IF(Q90="",G90,Q90)*R90,"")</f>
        <v>2.8</v>
      </c>
      <c r="T90" s="0" t="s">
        <v>117</v>
      </c>
      <c r="U90" s="11" t="s">
        <v>27</v>
      </c>
      <c r="V90" s="0" t="n">
        <v>4547</v>
      </c>
      <c r="X90" s="10" t="n">
        <f aca="false">IFERROR(LOOKUP(IF(W90="",G90,W90),{0,1,10,25,50,100,250,4000,8000},{0,0.094,0.023,0.014,0.012,0.01,0.008,0.004,0.003}),"")</f>
        <v>0.008</v>
      </c>
      <c r="Y90" s="10" t="n">
        <f aca="false">IFERROR(IF(W90="",G90,W90)*X90,"")</f>
        <v>3.2</v>
      </c>
      <c r="Z90" s="0" t="s">
        <v>118</v>
      </c>
      <c r="AA90" s="11" t="s">
        <v>27</v>
      </c>
    </row>
    <row r="91" customFormat="false" ht="15" hidden="false" customHeight="false" outlineLevel="0" collapsed="false">
      <c r="A91" s="0" t="s">
        <v>524</v>
      </c>
      <c r="B91" s="0" t="s">
        <v>525</v>
      </c>
      <c r="C91" s="0" t="s">
        <v>526</v>
      </c>
      <c r="D91" s="0" t="s">
        <v>76</v>
      </c>
      <c r="E91" s="0" t="s">
        <v>34</v>
      </c>
      <c r="F91" s="0" t="s">
        <v>525</v>
      </c>
      <c r="G91" s="0" t="n">
        <f aca="false">BoardQty*4</f>
        <v>200</v>
      </c>
      <c r="H91" s="10" t="n">
        <f aca="true">MINA(INDIRECT(ADDRESS(ROW(),COLUMN(newark_part_data)+2)),INDIRECT(ADDRESS(ROW(),COLUMN(digikey_part_data)+2)),INDIRECT(ADDRESS(ROW(),COLUMN(mouser_part_data)+2)))</f>
        <v>0.19</v>
      </c>
      <c r="I91" s="10" t="n">
        <f aca="false">IFERROR(G91*H91,"")</f>
        <v>38</v>
      </c>
      <c r="J91" s="0" t="n">
        <v>8390</v>
      </c>
      <c r="L91" s="10" t="n">
        <f aca="false">IFERROR(LOOKUP(IF(K91="",G91,K91),{0,1,10,100,500,1000,2500,5000,12500,25000,62500,125000},{0,0.48,0.388,0.2647,0.1981,0.14837,0.13233,0.12431,0.11629,0.10667,0.10266,0.09865}),"")</f>
        <v>0.2647</v>
      </c>
      <c r="M91" s="10" t="n">
        <f aca="false">IFERROR(IF(K91="",G91,K91)*L91,"")</f>
        <v>52.94</v>
      </c>
      <c r="N91" s="0" t="s">
        <v>527</v>
      </c>
      <c r="O91" s="11" t="s">
        <v>27</v>
      </c>
      <c r="P91" s="0" t="n">
        <v>14864</v>
      </c>
      <c r="R91" s="10" t="n">
        <f aca="false">IFERROR(LOOKUP(IF(Q91="",G91,Q91),{0,1,10,100,1000,2500,10000,25000,50000,100000},{0,0.453,0.35,0.19,0.142,0.122,0.114,0.106,0.101,0.1}),"")</f>
        <v>0.19</v>
      </c>
      <c r="S91" s="10" t="n">
        <f aca="false">IFERROR(IF(Q91="",G91,Q91)*R91,"")</f>
        <v>38</v>
      </c>
      <c r="T91" s="0" t="s">
        <v>528</v>
      </c>
      <c r="U91" s="11" t="s">
        <v>27</v>
      </c>
      <c r="AA91" s="11" t="s">
        <v>27</v>
      </c>
    </row>
    <row r="92" customFormat="false" ht="15" hidden="false" customHeight="false" outlineLevel="0" collapsed="false">
      <c r="A92" s="0" t="s">
        <v>529</v>
      </c>
      <c r="B92" s="0" t="s">
        <v>530</v>
      </c>
      <c r="C92" s="0" t="s">
        <v>56</v>
      </c>
      <c r="D92" s="0" t="s">
        <v>57</v>
      </c>
      <c r="E92" s="0" t="s">
        <v>24</v>
      </c>
      <c r="F92" s="0" t="s">
        <v>58</v>
      </c>
      <c r="G92" s="0" t="n">
        <f aca="false">BoardQty*1</f>
        <v>50</v>
      </c>
      <c r="H92" s="10" t="n">
        <f aca="true">MINA(INDIRECT(ADDRESS(ROW(),COLUMN(newark_part_data)+2)),INDIRECT(ADDRESS(ROW(),COLUMN(digikey_part_data)+2)),INDIRECT(ADDRESS(ROW(),COLUMN(mouser_part_data)+2)))</f>
        <v>0.88</v>
      </c>
      <c r="I92" s="10" t="n">
        <f aca="false">IFERROR(G92*H92,"")</f>
        <v>44</v>
      </c>
      <c r="J92" s="0" t="n">
        <v>644</v>
      </c>
      <c r="L92" s="10" t="n">
        <f aca="false">IFERROR(LOOKUP(IF(K92="",G92,K92),{0,1,10,25,50,100,250,500,1000,2500},{0,1.72,1.304,1.2084,1.0866,1.06,0.92752,0.848,0.7685,0.689}),"")</f>
        <v>1.0866</v>
      </c>
      <c r="M92" s="10" t="n">
        <f aca="false">IFERROR(IF(K92="",G92,K92)*L92,"")</f>
        <v>54.33</v>
      </c>
      <c r="N92" s="0" t="s">
        <v>59</v>
      </c>
      <c r="O92" s="11" t="s">
        <v>27</v>
      </c>
      <c r="P92" s="0" t="n">
        <v>2159</v>
      </c>
      <c r="R92" s="10" t="n">
        <f aca="false">IFERROR(LOOKUP(IF(Q92="",G92,Q92),{0,1,25,50,100,200,500,1000,2000,5000},{0,1.25,1.12,1.07,1.01,0.952,0.907,0.88,0.789,0.711}),"")</f>
        <v>1.07</v>
      </c>
      <c r="S92" s="10" t="n">
        <f aca="false">IFERROR(IF(Q92="",G92,Q92)*R92,"")</f>
        <v>53.5</v>
      </c>
      <c r="T92" s="0" t="s">
        <v>60</v>
      </c>
      <c r="U92" s="11" t="s">
        <v>27</v>
      </c>
      <c r="V92" s="0" t="n">
        <v>496</v>
      </c>
      <c r="X92" s="10" t="n">
        <f aca="false">IFERROR(LOOKUP(IF(W92="",G92,W92),{0,1,50,100,250,500},{0,1.1,0.88,0.81,0.77,0.73}),"")</f>
        <v>0.88</v>
      </c>
      <c r="Y92" s="10" t="n">
        <f aca="false">IFERROR(IF(W92="",G92,W92)*X92,"")</f>
        <v>44</v>
      </c>
      <c r="Z92" s="0" t="s">
        <v>61</v>
      </c>
      <c r="AA92" s="11" t="s">
        <v>27</v>
      </c>
    </row>
    <row r="93" customFormat="false" ht="15" hidden="false" customHeight="false" outlineLevel="0" collapsed="false">
      <c r="A93" s="0" t="s">
        <v>531</v>
      </c>
      <c r="B93" s="0" t="s">
        <v>532</v>
      </c>
      <c r="C93" s="0" t="s">
        <v>533</v>
      </c>
      <c r="D93" s="0" t="s">
        <v>186</v>
      </c>
      <c r="E93" s="0" t="s">
        <v>283</v>
      </c>
      <c r="F93" s="0" t="s">
        <v>534</v>
      </c>
      <c r="G93" s="0" t="n">
        <f aca="false">BoardQty*1</f>
        <v>50</v>
      </c>
      <c r="H93" s="10" t="n">
        <f aca="true">MINA(INDIRECT(ADDRESS(ROW(),COLUMN(newark_part_data)+2)),INDIRECT(ADDRESS(ROW(),COLUMN(digikey_part_data)+2)),INDIRECT(ADDRESS(ROW(),COLUMN(mouser_part_data)+2)))</f>
        <v>0.266</v>
      </c>
      <c r="I93" s="10" t="n">
        <f aca="false">IFERROR(G93*H93,"")</f>
        <v>13.3</v>
      </c>
      <c r="J93" s="0" t="n">
        <v>7701</v>
      </c>
      <c r="L93" s="10" t="n">
        <f aca="false">IFERROR(LOOKUP(IF(K93="",G93,K93),{0,1,25,100,3300},{0,0.28,0.27,0.26,0.26}),"")</f>
        <v>0.27</v>
      </c>
      <c r="M93" s="10" t="n">
        <f aca="false">IFERROR(IF(K93="",G93,K93)*L93,"")</f>
        <v>13.5</v>
      </c>
      <c r="N93" s="0" t="s">
        <v>535</v>
      </c>
      <c r="O93" s="11" t="s">
        <v>27</v>
      </c>
      <c r="P93" s="0" t="n">
        <v>8967</v>
      </c>
      <c r="R93" s="10" t="n">
        <f aca="false">IFERROR(LOOKUP(IF(Q93="",G93,Q93),{0,1,10,25,100},{0,0.336,0.276,0.266,0.256}),"")</f>
        <v>0.266</v>
      </c>
      <c r="S93" s="10" t="n">
        <f aca="false">IFERROR(IF(Q93="",G93,Q93)*R93,"")</f>
        <v>13.3</v>
      </c>
      <c r="T93" s="0" t="s">
        <v>536</v>
      </c>
      <c r="U93" s="11" t="s">
        <v>27</v>
      </c>
      <c r="V93" s="0" t="n">
        <v>52</v>
      </c>
      <c r="X93" s="10" t="n">
        <f aca="false">IFERROR(LOOKUP(IF(W93="",G93,W93),{0,1},{0,0.276}),"")</f>
        <v>0.276</v>
      </c>
      <c r="Y93" s="10" t="n">
        <f aca="false">IFERROR(IF(W93="",G93,W93)*X93,"")</f>
        <v>13.8</v>
      </c>
      <c r="Z93" s="0" t="s">
        <v>537</v>
      </c>
      <c r="AA93" s="11" t="s">
        <v>27</v>
      </c>
    </row>
    <row r="94" customFormat="false" ht="15" hidden="false" customHeight="false" outlineLevel="0" collapsed="false">
      <c r="A94" s="0" t="s">
        <v>538</v>
      </c>
      <c r="B94" s="0" t="s">
        <v>539</v>
      </c>
      <c r="C94" s="0" t="s">
        <v>540</v>
      </c>
      <c r="D94" s="0" t="s">
        <v>48</v>
      </c>
      <c r="E94" s="0" t="s">
        <v>375</v>
      </c>
      <c r="F94" s="0" t="s">
        <v>541</v>
      </c>
      <c r="G94" s="0" t="n">
        <f aca="false">BoardQty*13</f>
        <v>650</v>
      </c>
      <c r="H94" s="10" t="n">
        <f aca="true">MINA(INDIRECT(ADDRESS(ROW(),COLUMN(newark_part_data)+2)),INDIRECT(ADDRESS(ROW(),COLUMN(digikey_part_data)+2)),INDIRECT(ADDRESS(ROW(),COLUMN(mouser_part_data)+2)))</f>
        <v>0.0879</v>
      </c>
      <c r="I94" s="10" t="n">
        <f aca="false">IFERROR(G94*H94,"")</f>
        <v>57.135</v>
      </c>
      <c r="J94" s="0" t="n">
        <v>13868</v>
      </c>
      <c r="L94" s="10" t="n">
        <f aca="false">IFERROR(LOOKUP(IF(K94="",G94,K94),{0,1,10,25,50,100,250,500,1000,5000,10000,25000,50000,125000},{0,0.45,0.323,0.2384,0.1758,0.129,0.1066,0.0879,0.06358,0.04845,0.04624,0.0443,0.04335,0.0425}),"")</f>
        <v>0.0879</v>
      </c>
      <c r="M94" s="10" t="n">
        <f aca="false">IFERROR(IF(K94="",G94,K94)*L94,"")</f>
        <v>57.135</v>
      </c>
      <c r="N94" s="0" t="s">
        <v>542</v>
      </c>
      <c r="O94" s="11" t="s">
        <v>27</v>
      </c>
      <c r="P94" s="0" t="n">
        <v>6719</v>
      </c>
      <c r="R94" s="10" t="n">
        <f aca="false">IFERROR(LOOKUP(IF(Q94="",G94,Q94),{0,1,10,100,1000,2000,5000,10000,25000,50000,100000},{0,0.529,0.205,0.102,0.074,0.056,0.056,0.053,0.051,0.05,0.049}),"")</f>
        <v>0.102</v>
      </c>
      <c r="S94" s="10" t="n">
        <f aca="false">IFERROR(IF(Q94="",G94,Q94)*R94,"")</f>
        <v>66.3</v>
      </c>
      <c r="T94" s="0" t="s">
        <v>543</v>
      </c>
      <c r="U94" s="11" t="s">
        <v>27</v>
      </c>
      <c r="AA94" s="11" t="s">
        <v>27</v>
      </c>
    </row>
    <row r="95" customFormat="false" ht="15" hidden="false" customHeight="false" outlineLevel="0" collapsed="false">
      <c r="A95" s="0" t="s">
        <v>544</v>
      </c>
      <c r="B95" s="0" t="s">
        <v>545</v>
      </c>
      <c r="C95" s="0" t="s">
        <v>56</v>
      </c>
      <c r="D95" s="0" t="s">
        <v>57</v>
      </c>
      <c r="E95" s="0" t="s">
        <v>24</v>
      </c>
      <c r="F95" s="0" t="s">
        <v>58</v>
      </c>
      <c r="G95" s="0" t="n">
        <f aca="false">BoardQty*1</f>
        <v>50</v>
      </c>
      <c r="H95" s="10" t="n">
        <f aca="true">MINA(INDIRECT(ADDRESS(ROW(),COLUMN(newark_part_data)+2)),INDIRECT(ADDRESS(ROW(),COLUMN(digikey_part_data)+2)),INDIRECT(ADDRESS(ROW(),COLUMN(mouser_part_data)+2)))</f>
        <v>0.88</v>
      </c>
      <c r="I95" s="10" t="n">
        <f aca="false">IFERROR(G95*H95,"")</f>
        <v>44</v>
      </c>
      <c r="J95" s="0" t="n">
        <v>644</v>
      </c>
      <c r="L95" s="10" t="n">
        <f aca="false">IFERROR(LOOKUP(IF(K95="",G95,K95),{0,1,10,25,50,100,250,500,1000,2500},{0,1.72,1.304,1.2084,1.0866,1.06,0.92752,0.848,0.7685,0.689}),"")</f>
        <v>1.0866</v>
      </c>
      <c r="M95" s="10" t="n">
        <f aca="false">IFERROR(IF(K95="",G95,K95)*L95,"")</f>
        <v>54.33</v>
      </c>
      <c r="N95" s="0" t="s">
        <v>59</v>
      </c>
      <c r="O95" s="11" t="s">
        <v>27</v>
      </c>
      <c r="P95" s="0" t="n">
        <v>2159</v>
      </c>
      <c r="R95" s="10" t="n">
        <f aca="false">IFERROR(LOOKUP(IF(Q95="",G95,Q95),{0,1,25,50,100,200,500,1000,2000,5000},{0,1.25,1.12,1.07,1.01,0.952,0.907,0.88,0.789,0.711}),"")</f>
        <v>1.07</v>
      </c>
      <c r="S95" s="10" t="n">
        <f aca="false">IFERROR(IF(Q95="",G95,Q95)*R95,"")</f>
        <v>53.5</v>
      </c>
      <c r="T95" s="0" t="s">
        <v>60</v>
      </c>
      <c r="U95" s="11" t="s">
        <v>27</v>
      </c>
      <c r="V95" s="0" t="n">
        <v>496</v>
      </c>
      <c r="X95" s="10" t="n">
        <f aca="false">IFERROR(LOOKUP(IF(W95="",G95,W95),{0,1,50,100,250,500},{0,1.1,0.88,0.81,0.77,0.73}),"")</f>
        <v>0.88</v>
      </c>
      <c r="Y95" s="10" t="n">
        <f aca="false">IFERROR(IF(W95="",G95,W95)*X95,"")</f>
        <v>44</v>
      </c>
      <c r="Z95" s="0" t="s">
        <v>61</v>
      </c>
      <c r="AA95" s="11" t="s">
        <v>27</v>
      </c>
    </row>
    <row r="96" customFormat="false" ht="15" hidden="false" customHeight="false" outlineLevel="0" collapsed="false">
      <c r="A96" s="0" t="s">
        <v>546</v>
      </c>
      <c r="B96" s="0" t="s">
        <v>547</v>
      </c>
      <c r="C96" s="0" t="s">
        <v>548</v>
      </c>
      <c r="D96" s="0" t="s">
        <v>549</v>
      </c>
      <c r="E96" s="0" t="s">
        <v>325</v>
      </c>
      <c r="F96" s="0" t="s">
        <v>547</v>
      </c>
      <c r="G96" s="0" t="n">
        <f aca="false">BoardQty*1</f>
        <v>50</v>
      </c>
      <c r="H96" s="10" t="n">
        <f aca="true">MINA(INDIRECT(ADDRESS(ROW(),COLUMN(newark_part_data)+2)),INDIRECT(ADDRESS(ROW(),COLUMN(digikey_part_data)+2)),INDIRECT(ADDRESS(ROW(),COLUMN(mouser_part_data)+2)))</f>
        <v>0.287</v>
      </c>
      <c r="I96" s="10" t="n">
        <f aca="false">IFERROR(G96*H96,"")</f>
        <v>14.35</v>
      </c>
      <c r="J96" s="0" t="n">
        <v>3570</v>
      </c>
      <c r="L96" s="10" t="n">
        <f aca="false">IFERROR(LOOKUP(IF(K96="",G96,K96),{0,1,10,25,100,250,500,1000,2500,5000,10000,25000},{0,0.53,0.377,0.3096,0.2473,0.1802,0.14632,0.11248,0.10101,0.09282,0.08463,0.07917}),"")</f>
        <v>0.3096</v>
      </c>
      <c r="M96" s="10" t="n">
        <f aca="false">IFERROR(IF(K96="",G96,K96)*L96,"")</f>
        <v>15.48</v>
      </c>
      <c r="N96" s="0" t="s">
        <v>550</v>
      </c>
      <c r="O96" s="11" t="s">
        <v>27</v>
      </c>
      <c r="P96" s="0" t="n">
        <v>20141</v>
      </c>
      <c r="R96" s="10" t="n">
        <f aca="false">IFERROR(LOOKUP(IF(Q96="",G96,Q96),{0,1,10,100,1000,4000,8000,24000,48000,100000},{0,0.485,0.287,0.135,0.105,0.086,0.078,0.073,0.066,0.063}),"")</f>
        <v>0.287</v>
      </c>
      <c r="S96" s="10" t="n">
        <f aca="false">IFERROR(IF(Q96="",G96,Q96)*R96,"")</f>
        <v>14.35</v>
      </c>
      <c r="T96" s="0" t="s">
        <v>551</v>
      </c>
      <c r="U96" s="11" t="s">
        <v>27</v>
      </c>
      <c r="V96" s="0" t="n">
        <v>9808</v>
      </c>
      <c r="X96" s="10" t="n">
        <f aca="false">IFERROR(LOOKUP(IF(W96="",G96,W96),{0,1,10,100,1000,2500,5000,10000,15000},{0,0.53,0.31,0.148,0.113,0.1,0.093,0.086,0.081}),"")</f>
        <v>0.31</v>
      </c>
      <c r="Y96" s="10" t="n">
        <f aca="false">IFERROR(IF(W96="",G96,W96)*X96,"")</f>
        <v>15.5</v>
      </c>
      <c r="Z96" s="0" t="s">
        <v>552</v>
      </c>
      <c r="AA96" s="11" t="s">
        <v>27</v>
      </c>
    </row>
    <row r="97" customFormat="false" ht="15" hidden="false" customHeight="false" outlineLevel="0" collapsed="false">
      <c r="A97" s="0" t="s">
        <v>553</v>
      </c>
      <c r="B97" s="0" t="s">
        <v>554</v>
      </c>
      <c r="C97" s="0" t="s">
        <v>555</v>
      </c>
      <c r="D97" s="0" t="s">
        <v>48</v>
      </c>
      <c r="E97" s="0" t="s">
        <v>325</v>
      </c>
      <c r="F97" s="0" t="s">
        <v>556</v>
      </c>
      <c r="G97" s="0" t="n">
        <f aca="false">BoardQty*6</f>
        <v>300</v>
      </c>
      <c r="H97" s="10" t="n">
        <f aca="true">MINA(INDIRECT(ADDRESS(ROW(),COLUMN(newark_part_data)+2)),INDIRECT(ADDRESS(ROW(),COLUMN(digikey_part_data)+2)),INDIRECT(ADDRESS(ROW(),COLUMN(mouser_part_data)+2)))</f>
        <v>0.007</v>
      </c>
      <c r="I97" s="10" t="n">
        <f aca="false">IFERROR(G97*H97,"")</f>
        <v>2.1</v>
      </c>
      <c r="J97" s="0" t="n">
        <v>37413</v>
      </c>
      <c r="L97" s="10" t="n">
        <f aca="false">IFERROR(LOOKUP(IF(K97="",G97,K97),{0,1,10,25,50,100,250,500,1000,2500,5000,10000,25000,30000,50000,100000,125000},{0,0.1,0.029,0.0208,0.0158,0.0117,0.00892,0.00712,0.00525,0.00456,0.0038,0.0033,0.0029,0.0029,0.00266,0.00261,0.00261}),"")</f>
        <v>0.00892</v>
      </c>
      <c r="M97" s="10" t="n">
        <f aca="false">IFERROR(IF(K97="",G97,K97)*L97,"")</f>
        <v>2.676</v>
      </c>
      <c r="N97" s="0" t="s">
        <v>557</v>
      </c>
      <c r="O97" s="11" t="s">
        <v>27</v>
      </c>
      <c r="P97" s="0" t="n">
        <v>27300</v>
      </c>
      <c r="R97" s="10" t="n">
        <f aca="false">IFERROR(LOOKUP(IF(Q97="",G97,Q97),{0,1,10,100,1000,2500,10000,20000},{0,0.104,0.016,0.009,0.007,0.005,0.004,0.003}),"")</f>
        <v>0.009</v>
      </c>
      <c r="S97" s="10" t="n">
        <f aca="false">IFERROR(IF(Q97="",G97,Q97)*R97,"")</f>
        <v>2.7</v>
      </c>
      <c r="T97" s="0" t="s">
        <v>558</v>
      </c>
      <c r="U97" s="11" t="s">
        <v>27</v>
      </c>
      <c r="V97" s="0" t="n">
        <v>10101</v>
      </c>
      <c r="X97" s="10" t="n">
        <f aca="false">IFERROR(LOOKUP(IF(W97="",G97,W97),{0,1,250,500,1000,5000},{0,0.009,0.007,0.006,0.006,0.005}),"")</f>
        <v>0.007</v>
      </c>
      <c r="Y97" s="10" t="n">
        <f aca="false">IFERROR(IF(W97="",G97,W97)*X97,"")</f>
        <v>2.1</v>
      </c>
      <c r="Z97" s="0" t="s">
        <v>559</v>
      </c>
      <c r="AA97" s="11" t="s">
        <v>27</v>
      </c>
    </row>
    <row r="98" customFormat="false" ht="15" hidden="false" customHeight="false" outlineLevel="0" collapsed="false">
      <c r="A98" s="0" t="s">
        <v>560</v>
      </c>
      <c r="B98" s="0" t="s">
        <v>561</v>
      </c>
      <c r="C98" s="0" t="s">
        <v>562</v>
      </c>
      <c r="D98" s="0" t="s">
        <v>563</v>
      </c>
      <c r="E98" s="0" t="s">
        <v>564</v>
      </c>
      <c r="F98" s="0" t="s">
        <v>561</v>
      </c>
      <c r="G98" s="0" t="n">
        <f aca="false">BoardQty*1</f>
        <v>50</v>
      </c>
      <c r="H98" s="10" t="n">
        <f aca="true">MINA(INDIRECT(ADDRESS(ROW(),COLUMN(newark_part_data)+2)),INDIRECT(ADDRESS(ROW(),COLUMN(digikey_part_data)+2)),INDIRECT(ADDRESS(ROW(),COLUMN(mouser_part_data)+2)))</f>
        <v>0.8792</v>
      </c>
      <c r="I98" s="10" t="n">
        <f aca="false">IFERROR(G98*H98,"")</f>
        <v>43.96</v>
      </c>
      <c r="J98" s="0" t="n">
        <v>10144</v>
      </c>
      <c r="L98" s="10" t="n">
        <f aca="false">IFERROR(LOOKUP(IF(K98="",G98,K98),{0,1,10,50,100,500,1000,3000,5000,10000},{0,1.06,0.941,0.8792,0.778,0.73522,0.5835,0.56405,0.5446,0.52515}),"")</f>
        <v>0.8792</v>
      </c>
      <c r="M98" s="10" t="n">
        <f aca="false">IFERROR(IF(K98="",G98,K98)*L98,"")</f>
        <v>43.96</v>
      </c>
      <c r="N98" s="0" t="s">
        <v>565</v>
      </c>
      <c r="O98" s="11" t="s">
        <v>27</v>
      </c>
      <c r="AA98" s="11" t="s">
        <v>27</v>
      </c>
    </row>
    <row r="99" customFormat="false" ht="15" hidden="false" customHeight="false" outlineLevel="0" collapsed="false">
      <c r="A99" s="0" t="s">
        <v>566</v>
      </c>
      <c r="B99" s="0" t="s">
        <v>567</v>
      </c>
      <c r="C99" s="0" t="s">
        <v>568</v>
      </c>
      <c r="D99" s="0" t="s">
        <v>113</v>
      </c>
      <c r="E99" s="0" t="s">
        <v>114</v>
      </c>
      <c r="F99" s="0" t="s">
        <v>569</v>
      </c>
      <c r="G99" s="0" t="n">
        <f aca="false">BoardQty*2</f>
        <v>100</v>
      </c>
      <c r="H99" s="10" t="n">
        <f aca="true">MINA(INDIRECT(ADDRESS(ROW(),COLUMN(newark_part_data)+2)),INDIRECT(ADDRESS(ROW(),COLUMN(digikey_part_data)+2)),INDIRECT(ADDRESS(ROW(),COLUMN(mouser_part_data)+2)))</f>
        <v>0.011</v>
      </c>
      <c r="I99" s="10" t="n">
        <f aca="false">IFERROR(G99*H99,"")</f>
        <v>1.1</v>
      </c>
      <c r="J99" s="0" t="n">
        <v>456825</v>
      </c>
      <c r="L99" s="10" t="n">
        <f aca="false">IFERROR(LOOKUP(IF(K99="",G99,K99),{0,1,10,50,100,250,500,1000,4000,8000,12000,28000,100000},{0,0.1,0.034,0.0182,0.0154,0.0126,0.01078,0.0084,0.00644,0.00588,0.0056,0.00532,0.00385}),"")</f>
        <v>0.0154</v>
      </c>
      <c r="M99" s="10" t="n">
        <f aca="false">IFERROR(IF(K99="",G99,K99)*L99,"")</f>
        <v>1.54</v>
      </c>
      <c r="N99" s="0" t="s">
        <v>570</v>
      </c>
      <c r="O99" s="11" t="s">
        <v>27</v>
      </c>
      <c r="P99" s="0" t="n">
        <v>142491</v>
      </c>
      <c r="R99" s="10" t="n">
        <f aca="false">IFERROR(LOOKUP(IF(Q99="",G99,Q99),{0,1,10,100,1000,4000,8000,100000},{0,0.099,0.019,0.011,0.009,0.007,0.005,0.004}),"")</f>
        <v>0.011</v>
      </c>
      <c r="S99" s="10" t="n">
        <f aca="false">IFERROR(IF(Q99="",G99,Q99)*R99,"")</f>
        <v>1.1</v>
      </c>
      <c r="T99" s="0" t="s">
        <v>571</v>
      </c>
      <c r="U99" s="11" t="s">
        <v>27</v>
      </c>
      <c r="V99" s="0" t="n">
        <v>1817</v>
      </c>
      <c r="X99" s="10" t="n">
        <f aca="false">IFERROR(LOOKUP(IF(W99="",G99,W99),{0,1,10,50,100,250,500,4000,8000},{0,0.1,0.031,0.018,0.015,0.012,0.01,0.006,0.004}),"")</f>
        <v>0.015</v>
      </c>
      <c r="Y99" s="10" t="n">
        <f aca="false">IFERROR(IF(W99="",G99,W99)*X99,"")</f>
        <v>1.5</v>
      </c>
      <c r="Z99" s="0" t="s">
        <v>572</v>
      </c>
      <c r="AA99" s="11" t="s">
        <v>27</v>
      </c>
    </row>
    <row r="100" customFormat="false" ht="15" hidden="false" customHeight="false" outlineLevel="0" collapsed="false">
      <c r="A100" s="0" t="s">
        <v>573</v>
      </c>
      <c r="B100" s="0" t="s">
        <v>574</v>
      </c>
      <c r="C100" s="0" t="s">
        <v>575</v>
      </c>
      <c r="D100" s="0" t="s">
        <v>48</v>
      </c>
      <c r="E100" s="0" t="s">
        <v>49</v>
      </c>
      <c r="F100" s="0" t="s">
        <v>576</v>
      </c>
      <c r="G100" s="0" t="n">
        <f aca="false">BoardQty*4</f>
        <v>200</v>
      </c>
      <c r="H100" s="10" t="n">
        <f aca="true">MINA(INDIRECT(ADDRESS(ROW(),COLUMN(newark_part_data)+2)),INDIRECT(ADDRESS(ROW(),COLUMN(digikey_part_data)+2)),INDIRECT(ADDRESS(ROW(),COLUMN(mouser_part_data)+2)))</f>
        <v>0.003</v>
      </c>
      <c r="I100" s="10" t="n">
        <f aca="false">IFERROR(G100*H100,"")</f>
        <v>0.6</v>
      </c>
      <c r="J100" s="0" t="n">
        <v>2536604</v>
      </c>
      <c r="L100" s="10" t="n">
        <f aca="false">IFERROR(LOOKUP(IF(K100="",G100,K100),{0,1,10,25,100,250,500,1000,2500,5000,10000,25000,50000,125000},{0,0.1,0.014,0.01,0.0057,0.00436,0.00348,0.00257,0.00223,0.00167,0.00145,0.00128,0.00117,0.00115}),"")</f>
        <v>0.0057</v>
      </c>
      <c r="M100" s="10" t="n">
        <f aca="false">IFERROR(IF(K100="",G100,K100)*L100,"")</f>
        <v>1.14</v>
      </c>
      <c r="N100" s="0" t="s">
        <v>577</v>
      </c>
      <c r="O100" s="11" t="s">
        <v>27</v>
      </c>
      <c r="P100" s="0" t="n">
        <v>237817</v>
      </c>
      <c r="R100" s="10" t="n">
        <f aca="false">IFERROR(LOOKUP(IF(Q100="",G100,Q100),{0,1,10,100,1000,5000,10000},{0,0.099,0.01,0.003,0.002,0.002,0.001}),"")</f>
        <v>0.003</v>
      </c>
      <c r="S100" s="10" t="n">
        <f aca="false">IFERROR(IF(Q100="",G100,Q100)*R100,"")</f>
        <v>0.6</v>
      </c>
      <c r="T100" s="0" t="s">
        <v>578</v>
      </c>
      <c r="U100" s="11" t="s">
        <v>27</v>
      </c>
      <c r="V100" s="0" t="n">
        <v>3280</v>
      </c>
      <c r="X100" s="10" t="n">
        <f aca="false">IFERROR(LOOKUP(IF(W100="",G100,W100),{0,1,10,25,100,250,1000,5000,10000},{0,0.08,0.014,0.01,0.006,0.004,0.003,0.002,0.001}),"")</f>
        <v>0.006</v>
      </c>
      <c r="Y100" s="10" t="n">
        <f aca="false">IFERROR(IF(W100="",G100,W100)*X100,"")</f>
        <v>1.2</v>
      </c>
      <c r="Z100" s="0" t="s">
        <v>579</v>
      </c>
      <c r="AA100" s="11" t="s">
        <v>27</v>
      </c>
    </row>
    <row r="101" customFormat="false" ht="15" hidden="false" customHeight="false" outlineLevel="0" collapsed="false">
      <c r="A101" s="0" t="s">
        <v>580</v>
      </c>
      <c r="B101" s="0" t="s">
        <v>581</v>
      </c>
      <c r="C101" s="0" t="s">
        <v>582</v>
      </c>
      <c r="D101" s="0" t="s">
        <v>76</v>
      </c>
      <c r="E101" s="0" t="s">
        <v>34</v>
      </c>
      <c r="F101" s="0" t="s">
        <v>581</v>
      </c>
      <c r="G101" s="0" t="n">
        <f aca="false">BoardQty*2</f>
        <v>100</v>
      </c>
      <c r="H101" s="10" t="n">
        <f aca="true">MINA(INDIRECT(ADDRESS(ROW(),COLUMN(newark_part_data)+2)),INDIRECT(ADDRESS(ROW(),COLUMN(digikey_part_data)+2)),INDIRECT(ADDRESS(ROW(),COLUMN(mouser_part_data)+2)))</f>
        <v>0.133</v>
      </c>
      <c r="I101" s="10" t="n">
        <f aca="false">IFERROR(G101*H101,"")</f>
        <v>13.3</v>
      </c>
      <c r="J101" s="0" t="n">
        <v>23389</v>
      </c>
      <c r="L101" s="10" t="n">
        <f aca="false">IFERROR(LOOKUP(IF(K101="",G101,K101),{0,1,10,100,500,1000,2500,5000,12500,25000,62500,125000},{0,0.42,0.318,0.198,0.13534,0.10403,0.0909,0.08585,0.07828,0.07323,0.06565,0.06313}),"")</f>
        <v>0.198</v>
      </c>
      <c r="M101" s="10" t="n">
        <f aca="false">IFERROR(IF(K101="",G101,K101)*L101,"")</f>
        <v>19.8</v>
      </c>
      <c r="N101" s="0" t="s">
        <v>583</v>
      </c>
      <c r="O101" s="11" t="s">
        <v>27</v>
      </c>
      <c r="P101" s="0" t="n">
        <v>27514</v>
      </c>
      <c r="R101" s="10" t="n">
        <f aca="false">IFERROR(LOOKUP(IF(Q101="",G101,Q101),{0,1,10,100,1000,2500,10000,25000,50000},{0,0.483,0.282,0.133,0.102,0.085,0.077,0.072,0.064}),"")</f>
        <v>0.133</v>
      </c>
      <c r="S101" s="10" t="n">
        <f aca="false">IFERROR(IF(Q101="",G101,Q101)*R101,"")</f>
        <v>13.3</v>
      </c>
      <c r="T101" s="0" t="s">
        <v>584</v>
      </c>
      <c r="U101" s="11" t="s">
        <v>27</v>
      </c>
      <c r="V101" s="0" t="n">
        <v>5501</v>
      </c>
      <c r="X101" s="10" t="n">
        <f aca="false">IFERROR(LOOKUP(IF(W101="",G101,W101),{0,1,10,100,1000,2500,10000,25000,50000},{0,0.485,0.284,0.134,0.103,0.086,0.077,0.072,0.061}),"")</f>
        <v>0.134</v>
      </c>
      <c r="Y101" s="10" t="n">
        <f aca="false">IFERROR(IF(W101="",G101,W101)*X101,"")</f>
        <v>13.4</v>
      </c>
      <c r="Z101" s="0" t="s">
        <v>585</v>
      </c>
      <c r="AA101" s="11" t="s">
        <v>27</v>
      </c>
    </row>
    <row r="102" customFormat="false" ht="15" hidden="false" customHeight="false" outlineLevel="0" collapsed="false">
      <c r="A102" s="0" t="s">
        <v>586</v>
      </c>
      <c r="B102" s="0" t="s">
        <v>587</v>
      </c>
      <c r="C102" s="0" t="s">
        <v>588</v>
      </c>
      <c r="D102" s="0" t="s">
        <v>587</v>
      </c>
      <c r="G102" s="0" t="n">
        <f aca="false">BoardQty*1</f>
        <v>50</v>
      </c>
      <c r="H102" s="10" t="n">
        <f aca="true">MINA(INDIRECT(ADDRESS(ROW(),COLUMN(newark_part_data)+2)),INDIRECT(ADDRESS(ROW(),COLUMN(digikey_part_data)+2)),INDIRECT(ADDRESS(ROW(),COLUMN(mouser_part_data)+2)))</f>
        <v>0</v>
      </c>
      <c r="I102" s="10" t="n">
        <f aca="false">IFERROR(G102*H102,"")</f>
        <v>0</v>
      </c>
    </row>
    <row r="103" customFormat="false" ht="15" hidden="false" customHeight="false" outlineLevel="0" collapsed="false">
      <c r="A103" s="0" t="s">
        <v>589</v>
      </c>
      <c r="B103" s="0" t="s">
        <v>590</v>
      </c>
      <c r="C103" s="0" t="s">
        <v>591</v>
      </c>
      <c r="D103" s="0" t="s">
        <v>592</v>
      </c>
      <c r="E103" s="0" t="s">
        <v>24</v>
      </c>
      <c r="F103" s="0" t="s">
        <v>593</v>
      </c>
      <c r="G103" s="0" t="n">
        <f aca="false">BoardQty*1</f>
        <v>50</v>
      </c>
      <c r="H103" s="10" t="n">
        <f aca="true">MINA(INDIRECT(ADDRESS(ROW(),COLUMN(newark_part_data)+2)),INDIRECT(ADDRESS(ROW(),COLUMN(digikey_part_data)+2)),INDIRECT(ADDRESS(ROW(),COLUMN(mouser_part_data)+2)))</f>
        <v>0.232</v>
      </c>
      <c r="I103" s="10" t="n">
        <f aca="false">IFERROR(G103*H103,"")</f>
        <v>11.6</v>
      </c>
      <c r="J103" s="0" t="n">
        <v>22893</v>
      </c>
      <c r="L103" s="10" t="n">
        <f aca="false">IFERROR(LOOKUP(IF(K103="",G103,K103),{0,1,10,25,50,100,200,500,1200,2400},{0,0.26,0.249,0.2408,0.232,0.219,0.206,0.198,0.177,0.156}),"")</f>
        <v>0.232</v>
      </c>
      <c r="M103" s="10" t="n">
        <f aca="false">IFERROR(IF(K103="",G103,K103)*L103,"")</f>
        <v>11.6</v>
      </c>
      <c r="N103" s="0" t="s">
        <v>594</v>
      </c>
      <c r="O103" s="11" t="s">
        <v>27</v>
      </c>
      <c r="P103" s="0" t="n">
        <v>13573</v>
      </c>
      <c r="R103" s="10" t="n">
        <f aca="false">IFERROR(LOOKUP(IF(Q103="",G103,Q103),{0,1,10,25,50,100,200,500,1200,2400},{0,0.269,0.261,0.252,0.242,0.228,0.216,0.206,0.184,0.162}),"")</f>
        <v>0.242</v>
      </c>
      <c r="S103" s="10" t="n">
        <f aca="false">IFERROR(IF(Q103="",G103,Q103)*R103,"")</f>
        <v>12.1</v>
      </c>
      <c r="T103" s="0" t="s">
        <v>595</v>
      </c>
      <c r="U103" s="11" t="s">
        <v>27</v>
      </c>
      <c r="V103" s="0" t="n">
        <v>1198</v>
      </c>
      <c r="X103" s="10" t="n">
        <f aca="false">IFERROR(LOOKUP(IF(W103="",G103,W103),{0,1,10,25,50,100,200,500},{0,0.249,0.249,0.24,0.232,0.219,0.206,0.198}),"")</f>
        <v>0.232</v>
      </c>
      <c r="Y103" s="10" t="n">
        <f aca="false">IFERROR(IF(W103="",G103,W103)*X103,"")</f>
        <v>11.6</v>
      </c>
      <c r="Z103" s="0" t="s">
        <v>596</v>
      </c>
      <c r="AA103" s="11" t="s">
        <v>27</v>
      </c>
    </row>
    <row r="104" customFormat="false" ht="15" hidden="false" customHeight="false" outlineLevel="0" collapsed="false">
      <c r="A104" s="0" t="s">
        <v>597</v>
      </c>
      <c r="B104" s="0" t="s">
        <v>598</v>
      </c>
      <c r="C104" s="0" t="s">
        <v>599</v>
      </c>
      <c r="D104" s="0" t="s">
        <v>48</v>
      </c>
      <c r="E104" s="0" t="s">
        <v>49</v>
      </c>
      <c r="F104" s="0" t="s">
        <v>600</v>
      </c>
      <c r="G104" s="0" t="n">
        <f aca="false">BoardQty*8</f>
        <v>400</v>
      </c>
      <c r="H104" s="10" t="n">
        <f aca="true">MINA(INDIRECT(ADDRESS(ROW(),COLUMN(newark_part_data)+2)),INDIRECT(ADDRESS(ROW(),COLUMN(digikey_part_data)+2)),INDIRECT(ADDRESS(ROW(),COLUMN(mouser_part_data)+2)))</f>
        <v>0.003</v>
      </c>
      <c r="I104" s="10" t="n">
        <f aca="false">IFERROR(G104*H104,"")</f>
        <v>1.2</v>
      </c>
      <c r="J104" s="0" t="n">
        <v>6990223</v>
      </c>
      <c r="L104" s="10" t="n">
        <f aca="false">IFERROR(LOOKUP(IF(K104="",G104,K104),{0,1,10,25,100,250,500,1000,2500,5000,10000,25000,50000,125000},{0,0.1,0.011,0.008,0.0045,0.00348,0.00278,0.00204,0.00177,0.00133,0.00116,0.00102,0.00093,0.00091}),"")</f>
        <v>0.00348</v>
      </c>
      <c r="M104" s="10" t="n">
        <f aca="false">IFERROR(IF(K104="",G104,K104)*L104,"")</f>
        <v>1.392</v>
      </c>
      <c r="N104" s="0" t="s">
        <v>601</v>
      </c>
      <c r="O104" s="11" t="s">
        <v>27</v>
      </c>
      <c r="P104" s="0" t="n">
        <v>173446</v>
      </c>
      <c r="R104" s="10" t="n">
        <f aca="false">IFERROR(LOOKUP(IF(Q104="",G104,Q104),{0,1,10,100,1000,5000,50000},{0,0.099,0.008,0.003,0.002,0.002,0.001}),"")</f>
        <v>0.003</v>
      </c>
      <c r="S104" s="10" t="n">
        <f aca="false">IFERROR(IF(Q104="",G104,Q104)*R104,"")</f>
        <v>1.2</v>
      </c>
      <c r="T104" s="0" t="s">
        <v>602</v>
      </c>
      <c r="U104" s="11" t="s">
        <v>27</v>
      </c>
      <c r="V104" s="0" t="n">
        <v>4134</v>
      </c>
      <c r="X104" s="10" t="n">
        <f aca="false">IFERROR(LOOKUP(IF(W104="",G104,W104),{0,1,10,25,100,250,1000,5000,10000},{0,0.06,0.01,0.007,0.004,0.003,0.002,0.002,0.001}),"")</f>
        <v>0.003</v>
      </c>
      <c r="Y104" s="10" t="n">
        <f aca="false">IFERROR(IF(W104="",G104,W104)*X104,"")</f>
        <v>1.2</v>
      </c>
      <c r="Z104" s="0" t="s">
        <v>603</v>
      </c>
      <c r="AA104" s="11" t="s">
        <v>27</v>
      </c>
    </row>
    <row r="105" customFormat="false" ht="15" hidden="false" customHeight="false" outlineLevel="0" collapsed="false">
      <c r="A105" s="0" t="s">
        <v>604</v>
      </c>
      <c r="B105" s="0" t="s">
        <v>605</v>
      </c>
      <c r="C105" s="0" t="s">
        <v>606</v>
      </c>
      <c r="D105" s="0" t="s">
        <v>48</v>
      </c>
      <c r="E105" s="0" t="s">
        <v>49</v>
      </c>
      <c r="F105" s="0" t="s">
        <v>607</v>
      </c>
      <c r="G105" s="0" t="n">
        <f aca="false">BoardQty*8</f>
        <v>400</v>
      </c>
      <c r="H105" s="10" t="n">
        <f aca="true">MINA(INDIRECT(ADDRESS(ROW(),COLUMN(newark_part_data)+2)),INDIRECT(ADDRESS(ROW(),COLUMN(digikey_part_data)+2)),INDIRECT(ADDRESS(ROW(),COLUMN(mouser_part_data)+2)))</f>
        <v>0.003</v>
      </c>
      <c r="I105" s="10" t="n">
        <f aca="false">IFERROR(G105*H105,"")</f>
        <v>1.2</v>
      </c>
      <c r="J105" s="0" t="n">
        <v>1057020</v>
      </c>
      <c r="L105" s="10" t="n">
        <f aca="false">IFERROR(LOOKUP(IF(K105="",G105,K105),{0,1,10,25,100,250,500,1000,2500,5000,10000,25000,50000,125000},{0,0.1,0.011,0.008,0.0044,0.00336,0.0027,0.00198,0.00172,0.00129,0.00112,0.00099,0.0009,0.00089}),"")</f>
        <v>0.00336</v>
      </c>
      <c r="M105" s="10" t="n">
        <f aca="false">IFERROR(IF(K105="",G105,K105)*L105,"")</f>
        <v>1.344</v>
      </c>
      <c r="N105" s="0" t="s">
        <v>608</v>
      </c>
      <c r="O105" s="11" t="s">
        <v>27</v>
      </c>
      <c r="P105" s="0" t="n">
        <v>0</v>
      </c>
      <c r="R105" s="10" t="n">
        <f aca="false">IFERROR(LOOKUP(IF(Q105="",G105,Q105),{0,1,10,100,1000,5000,50000},{0,0.099,0.008,0.003,0.002,0.002,0.001}),"")</f>
        <v>0.003</v>
      </c>
      <c r="S105" s="10" t="n">
        <f aca="false">IFERROR(IF(Q105="",G105,Q105)*R105,"")</f>
        <v>1.2</v>
      </c>
      <c r="T105" s="0" t="s">
        <v>609</v>
      </c>
      <c r="U105" s="11" t="s">
        <v>27</v>
      </c>
      <c r="V105" s="0" t="n">
        <v>8653</v>
      </c>
      <c r="X105" s="10" t="n">
        <f aca="false">IFERROR(LOOKUP(IF(W105="",G105,W105),{0,1,10,25,100,250,1000,5000,10000},{0,0.06,0.01,0.007,0.004,0.003,0.002,0.002,0.001}),"")</f>
        <v>0.003</v>
      </c>
      <c r="Y105" s="10" t="n">
        <f aca="false">IFERROR(IF(W105="",G105,W105)*X105,"")</f>
        <v>1.2</v>
      </c>
      <c r="Z105" s="0" t="s">
        <v>610</v>
      </c>
      <c r="AA105" s="11" t="s">
        <v>27</v>
      </c>
    </row>
    <row r="106" customFormat="false" ht="15" hidden="false" customHeight="false" outlineLevel="0" collapsed="false">
      <c r="A106" s="0" t="s">
        <v>611</v>
      </c>
      <c r="B106" s="0" t="s">
        <v>612</v>
      </c>
      <c r="C106" s="0" t="s">
        <v>268</v>
      </c>
      <c r="D106" s="0" t="s">
        <v>613</v>
      </c>
      <c r="E106" s="0" t="s">
        <v>270</v>
      </c>
      <c r="F106" s="0" t="s">
        <v>271</v>
      </c>
      <c r="G106" s="0" t="n">
        <f aca="false">BoardQty*1</f>
        <v>50</v>
      </c>
      <c r="H106" s="10" t="n">
        <f aca="true">MINA(INDIRECT(ADDRESS(ROW(),COLUMN(newark_part_data)+2)),INDIRECT(ADDRESS(ROW(),COLUMN(digikey_part_data)+2)),INDIRECT(ADDRESS(ROW(),COLUMN(mouser_part_data)+2)))</f>
        <v>1.012</v>
      </c>
      <c r="I106" s="10" t="n">
        <f aca="false">IFERROR(G106*H106,"")</f>
        <v>50.6</v>
      </c>
      <c r="J106" s="0" t="n">
        <v>12506</v>
      </c>
      <c r="L106" s="10" t="n">
        <f aca="false">IFERROR(LOOKUP(IF(K106="",G106,K106),{0,1,10,100,500,1000,5000,10000},{0,1.13,1.012,0.8337,0.65902,0.56573,0.5161,0.49625}),"")</f>
        <v>1.012</v>
      </c>
      <c r="M106" s="10" t="n">
        <f aca="false">IFERROR(IF(K106="",G106,K106)*L106,"")</f>
        <v>50.6</v>
      </c>
      <c r="N106" s="0" t="s">
        <v>271</v>
      </c>
      <c r="O106" s="11" t="s">
        <v>27</v>
      </c>
      <c r="P106" s="0" t="n">
        <v>10015</v>
      </c>
      <c r="R106" s="10" t="n">
        <f aca="false">IFERROR(LOOKUP(IF(Q106="",G106,Q106),{0,1,25,50,100,200,500,1000,2000,5000},{0,2.76,2.53,2.42,2.3,2.01,1.96,1.67,1.56,1.43}),"")</f>
        <v>2.42</v>
      </c>
      <c r="S106" s="10" t="n">
        <f aca="false">IFERROR(IF(Q106="",G106,Q106)*R106,"")</f>
        <v>121</v>
      </c>
      <c r="T106" s="0" t="s">
        <v>272</v>
      </c>
      <c r="U106" s="11" t="s">
        <v>27</v>
      </c>
      <c r="AA106" s="11" t="s">
        <v>27</v>
      </c>
    </row>
    <row r="107" customFormat="false" ht="15" hidden="false" customHeight="false" outlineLevel="0" collapsed="false">
      <c r="A107" s="0" t="s">
        <v>614</v>
      </c>
      <c r="B107" s="0" t="s">
        <v>615</v>
      </c>
      <c r="C107" s="0" t="s">
        <v>616</v>
      </c>
      <c r="D107" s="0" t="s">
        <v>113</v>
      </c>
      <c r="E107" s="0" t="s">
        <v>114</v>
      </c>
      <c r="F107" s="0" t="s">
        <v>617</v>
      </c>
      <c r="G107" s="0" t="n">
        <f aca="false">BoardQty*3</f>
        <v>150</v>
      </c>
      <c r="H107" s="10" t="n">
        <f aca="true">MINA(INDIRECT(ADDRESS(ROW(),COLUMN(newark_part_data)+2)),INDIRECT(ADDRESS(ROW(),COLUMN(digikey_part_data)+2)),INDIRECT(ADDRESS(ROW(),COLUMN(mouser_part_data)+2)))</f>
        <v>0.007</v>
      </c>
      <c r="I107" s="10" t="n">
        <f aca="false">IFERROR(G107*H107,"")</f>
        <v>1.05</v>
      </c>
      <c r="J107" s="0" t="n">
        <v>1071330</v>
      </c>
      <c r="L107" s="10" t="n">
        <f aca="false">IFERROR(LOOKUP(IF(K107="",G107,K107),{0,1,10,50,100,250,500,1000,4000,8000,12000,28000,100000},{0,0.1,0.019,0.0104,0.0088,0.0072,0.00616,0.0048,0.00368,0.00336,0.0032,0.00304,0.0022}),"")</f>
        <v>0.0088</v>
      </c>
      <c r="M107" s="10" t="n">
        <f aca="false">IFERROR(IF(K107="",G107,K107)*L107,"")</f>
        <v>1.32</v>
      </c>
      <c r="N107" s="0" t="s">
        <v>618</v>
      </c>
      <c r="O107" s="11" t="s">
        <v>27</v>
      </c>
      <c r="P107" s="0" t="n">
        <v>231430</v>
      </c>
      <c r="R107" s="10" t="n">
        <f aca="false">IFERROR(LOOKUP(IF(Q107="",G107,Q107),{0,1,10,100,1000,4000,48000},{0,0.099,0.011,0.007,0.005,0.004,0.003}),"")</f>
        <v>0.007</v>
      </c>
      <c r="S107" s="10" t="n">
        <f aca="false">IFERROR(IF(Q107="",G107,Q107)*R107,"")</f>
        <v>1.05</v>
      </c>
      <c r="T107" s="0" t="s">
        <v>619</v>
      </c>
      <c r="U107" s="11" t="s">
        <v>27</v>
      </c>
      <c r="V107" s="0" t="n">
        <v>258002</v>
      </c>
      <c r="X107" s="10" t="n">
        <f aca="false">IFERROR(LOOKUP(IF(W107="",G107,W107),{0,1,10,25,50,100,250,4000,8000},{0,0.1,0.024,0.015,0.012,0.01,0.009,0.005,0.003}),"")</f>
        <v>0.01</v>
      </c>
      <c r="Y107" s="10" t="n">
        <f aca="false">IFERROR(IF(W107="",G107,W107)*X107,"")</f>
        <v>1.5</v>
      </c>
      <c r="Z107" s="0" t="s">
        <v>620</v>
      </c>
      <c r="AA107" s="11" t="s">
        <v>27</v>
      </c>
    </row>
    <row r="108" customFormat="false" ht="15" hidden="false" customHeight="false" outlineLevel="0" collapsed="false">
      <c r="A108" s="0" t="s">
        <v>621</v>
      </c>
      <c r="B108" s="0" t="s">
        <v>622</v>
      </c>
      <c r="C108" s="0" t="s">
        <v>623</v>
      </c>
      <c r="D108" s="0" t="s">
        <v>140</v>
      </c>
      <c r="E108" s="0" t="s">
        <v>141</v>
      </c>
      <c r="F108" s="0" t="s">
        <v>624</v>
      </c>
      <c r="G108" s="0" t="n">
        <f aca="false">BoardQty*1</f>
        <v>50</v>
      </c>
      <c r="H108" s="10" t="n">
        <f aca="true">MINA(INDIRECT(ADDRESS(ROW(),COLUMN(newark_part_data)+2)),INDIRECT(ADDRESS(ROW(),COLUMN(digikey_part_data)+2)),INDIRECT(ADDRESS(ROW(),COLUMN(mouser_part_data)+2)))</f>
        <v>0.464</v>
      </c>
      <c r="I108" s="10" t="n">
        <f aca="false">IFERROR(G108*H108,"")</f>
        <v>23.2</v>
      </c>
      <c r="J108" s="0" t="n">
        <v>3500</v>
      </c>
      <c r="L108" s="10" t="n">
        <f aca="false">IFERROR(LOOKUP(IF(K108="",G108,K108),{0,1,3500,7000,10500,17500},{0,0.464,0.464,0.448,0.4256,0.416}),"")</f>
        <v>0.464</v>
      </c>
      <c r="M108" s="10" t="n">
        <f aca="false">IFERROR(IF(K108="",G108,K108)*L108,"")</f>
        <v>23.2</v>
      </c>
      <c r="N108" s="0" t="s">
        <v>625</v>
      </c>
      <c r="O108" s="11" t="s">
        <v>27</v>
      </c>
      <c r="P108" s="0" t="n">
        <v>25170</v>
      </c>
      <c r="R108" s="10" t="n">
        <f aca="false">IFERROR(LOOKUP(IF(Q108="",G108,Q108),{0,1,10,100,500,1000,3500,7000,10500,24500},{0,0.75,0.568,0.497,0.473,0.39,0.355,0.343,0.315,0.307}),"")</f>
        <v>0.568</v>
      </c>
      <c r="S108" s="10" t="n">
        <f aca="false">IFERROR(IF(Q108="",G108,Q108)*R108,"")</f>
        <v>28.4</v>
      </c>
      <c r="T108" s="0" t="s">
        <v>143</v>
      </c>
      <c r="U108" s="11" t="s">
        <v>27</v>
      </c>
    </row>
    <row r="109" customFormat="false" ht="15" hidden="false" customHeight="false" outlineLevel="0" collapsed="false">
      <c r="A109" s="0" t="s">
        <v>626</v>
      </c>
      <c r="B109" s="0" t="s">
        <v>627</v>
      </c>
      <c r="C109" s="0" t="s">
        <v>628</v>
      </c>
      <c r="D109" s="0" t="s">
        <v>244</v>
      </c>
      <c r="E109" s="0" t="s">
        <v>114</v>
      </c>
      <c r="F109" s="0" t="s">
        <v>629</v>
      </c>
      <c r="G109" s="0" t="n">
        <f aca="false">BoardQty*4</f>
        <v>200</v>
      </c>
      <c r="H109" s="10" t="n">
        <f aca="true">MINA(INDIRECT(ADDRESS(ROW(),COLUMN(newark_part_data)+2)),INDIRECT(ADDRESS(ROW(),COLUMN(digikey_part_data)+2)),INDIRECT(ADDRESS(ROW(),COLUMN(mouser_part_data)+2)))</f>
        <v>0.13</v>
      </c>
      <c r="I109" s="10" t="n">
        <f aca="false">IFERROR(G109*H109,"")</f>
        <v>26</v>
      </c>
      <c r="J109" s="0" t="n">
        <v>126700</v>
      </c>
      <c r="L109" s="10" t="n">
        <f aca="false">IFERROR(LOOKUP(IF(K109="",G109,K109),{0,1,10,50,100,250,500,1000,2000,4000,10000,14000,50000,100000},{0,0.41,0.362,0.2198,0.181,0.14476,0.13184,0.11891,0.09306,0.08789,0.08272,0.08014,0.07238,0.06721}),"")</f>
        <v>0.181</v>
      </c>
      <c r="M109" s="10" t="n">
        <f aca="false">IFERROR(IF(K109="",G109,K109)*L109,"")</f>
        <v>36.2</v>
      </c>
      <c r="N109" s="0" t="s">
        <v>630</v>
      </c>
      <c r="O109" s="11" t="s">
        <v>27</v>
      </c>
      <c r="P109" s="0" t="n">
        <v>5949</v>
      </c>
      <c r="R109" s="10" t="n">
        <f aca="false">IFERROR(LOOKUP(IF(Q109="",G109,Q109),{0,1,10,100,1000,2000,10000,24000,50000,100000},{0,0.404,0.217,0.13,0.118,0.087,0.08,0.076,0.072,0.068}),"")</f>
        <v>0.13</v>
      </c>
      <c r="S109" s="10" t="n">
        <f aca="false">IFERROR(IF(Q109="",G109,Q109)*R109,"")</f>
        <v>26</v>
      </c>
      <c r="T109" s="0" t="s">
        <v>631</v>
      </c>
      <c r="U109" s="11" t="s">
        <v>27</v>
      </c>
      <c r="V109" s="0" t="n">
        <v>393</v>
      </c>
      <c r="X109" s="10" t="n">
        <f aca="false">IFERROR(LOOKUP(IF(W109="",G109,W109),{0,1,10,25,50,100,250,1000},{0,0.302,0.263,0.186,0.158,0.13,0.104,0.084}),"")</f>
        <v>0.13</v>
      </c>
      <c r="Y109" s="10" t="n">
        <f aca="false">IFERROR(IF(W109="",G109,W109)*X109,"")</f>
        <v>26</v>
      </c>
      <c r="Z109" s="0" t="s">
        <v>632</v>
      </c>
      <c r="AA109" s="11" t="s">
        <v>27</v>
      </c>
    </row>
    <row r="110" customFormat="false" ht="15" hidden="false" customHeight="false" outlineLevel="0" collapsed="false">
      <c r="A110" s="0" t="s">
        <v>633</v>
      </c>
      <c r="B110" s="0" t="s">
        <v>634</v>
      </c>
      <c r="C110" s="0" t="s">
        <v>635</v>
      </c>
      <c r="D110" s="0" t="s">
        <v>48</v>
      </c>
      <c r="E110" s="0" t="s">
        <v>49</v>
      </c>
      <c r="F110" s="0" t="s">
        <v>636</v>
      </c>
      <c r="G110" s="0" t="n">
        <f aca="false">BoardQty*1</f>
        <v>50</v>
      </c>
      <c r="H110" s="10" t="n">
        <f aca="true">MINA(INDIRECT(ADDRESS(ROW(),COLUMN(newark_part_data)+2)),INDIRECT(ADDRESS(ROW(),COLUMN(digikey_part_data)+2)),INDIRECT(ADDRESS(ROW(),COLUMN(mouser_part_data)+2)))</f>
        <v>0.007</v>
      </c>
      <c r="I110" s="10" t="n">
        <f aca="false">IFERROR(G110*H110,"")</f>
        <v>0.35</v>
      </c>
      <c r="J110" s="0" t="n">
        <v>410752</v>
      </c>
      <c r="L110" s="10" t="n">
        <f aca="false">IFERROR(LOOKUP(IF(K110="",G110,K110),{0,1,10,25,100,250,500,1000,2500,5000,10000,25000,50000,125000},{0,0.1,0.011,0.008,0.0044,0.00336,0.0027,0.00198,0.00172,0.00129,0.00112,0.00099,0.0009,0.00089}),"")</f>
        <v>0.008</v>
      </c>
      <c r="M110" s="10" t="n">
        <f aca="false">IFERROR(IF(K110="",G110,K110)*L110,"")</f>
        <v>0.4</v>
      </c>
      <c r="N110" s="0" t="s">
        <v>637</v>
      </c>
      <c r="O110" s="11" t="s">
        <v>27</v>
      </c>
      <c r="P110" s="0" t="n">
        <v>90262</v>
      </c>
      <c r="R110" s="10" t="n">
        <f aca="false">IFERROR(LOOKUP(IF(Q110="",G110,Q110),{0,1,10,100,1000,5000,50000},{0,0.099,0.008,0.003,0.002,0.002,0.001}),"")</f>
        <v>0.008</v>
      </c>
      <c r="S110" s="10" t="n">
        <f aca="false">IFERROR(IF(Q110="",G110,Q110)*R110,"")</f>
        <v>0.4</v>
      </c>
      <c r="T110" s="0" t="s">
        <v>638</v>
      </c>
      <c r="U110" s="11" t="s">
        <v>27</v>
      </c>
      <c r="V110" s="0" t="n">
        <v>1399</v>
      </c>
      <c r="X110" s="10" t="n">
        <f aca="false">IFERROR(LOOKUP(IF(W110="",G110,W110),{0,1,10,25,100,250,1000,5000,10000},{0,0.06,0.01,0.007,0.004,0.003,0.002,0.002,0.001}),"")</f>
        <v>0.007</v>
      </c>
      <c r="Y110" s="10" t="n">
        <f aca="false">IFERROR(IF(W110="",G110,W110)*X110,"")</f>
        <v>0.35</v>
      </c>
      <c r="Z110" s="0" t="s">
        <v>639</v>
      </c>
      <c r="AA110" s="11" t="s">
        <v>27</v>
      </c>
    </row>
    <row r="111" customFormat="false" ht="15" hidden="false" customHeight="false" outlineLevel="0" collapsed="false">
      <c r="A111" s="0" t="s">
        <v>640</v>
      </c>
      <c r="B111" s="0" t="s">
        <v>641</v>
      </c>
      <c r="C111" s="0" t="s">
        <v>268</v>
      </c>
      <c r="D111" s="0" t="s">
        <v>642</v>
      </c>
      <c r="E111" s="0" t="s">
        <v>270</v>
      </c>
      <c r="F111" s="0" t="s">
        <v>271</v>
      </c>
      <c r="G111" s="0" t="n">
        <f aca="false">BoardQty*1</f>
        <v>50</v>
      </c>
      <c r="H111" s="10" t="n">
        <f aca="true">MINA(INDIRECT(ADDRESS(ROW(),COLUMN(newark_part_data)+2)),INDIRECT(ADDRESS(ROW(),COLUMN(digikey_part_data)+2)),INDIRECT(ADDRESS(ROW(),COLUMN(mouser_part_data)+2)))</f>
        <v>1.012</v>
      </c>
      <c r="I111" s="10" t="n">
        <f aca="false">IFERROR(G111*H111,"")</f>
        <v>50.6</v>
      </c>
      <c r="J111" s="0" t="n">
        <v>12506</v>
      </c>
      <c r="L111" s="10" t="n">
        <f aca="false">IFERROR(LOOKUP(IF(K111="",G111,K111),{0,1,10,100,500,1000,5000,10000},{0,1.13,1.012,0.8337,0.65902,0.56573,0.5161,0.49625}),"")</f>
        <v>1.012</v>
      </c>
      <c r="M111" s="10" t="n">
        <f aca="false">IFERROR(IF(K111="",G111,K111)*L111,"")</f>
        <v>50.6</v>
      </c>
      <c r="N111" s="0" t="s">
        <v>271</v>
      </c>
      <c r="O111" s="11" t="s">
        <v>27</v>
      </c>
      <c r="P111" s="0" t="n">
        <v>10015</v>
      </c>
      <c r="R111" s="10" t="n">
        <f aca="false">IFERROR(LOOKUP(IF(Q111="",G111,Q111),{0,1,25,50,100,200,500,1000,2000,5000},{0,2.76,2.53,2.42,2.3,2.01,1.96,1.67,1.56,1.43}),"")</f>
        <v>2.42</v>
      </c>
      <c r="S111" s="10" t="n">
        <f aca="false">IFERROR(IF(Q111="",G111,Q111)*R111,"")</f>
        <v>121</v>
      </c>
      <c r="T111" s="0" t="s">
        <v>272</v>
      </c>
      <c r="U111" s="11" t="s">
        <v>27</v>
      </c>
      <c r="AA111" s="11" t="s">
        <v>27</v>
      </c>
    </row>
    <row r="112" customFormat="false" ht="15" hidden="false" customHeight="false" outlineLevel="0" collapsed="false">
      <c r="A112" s="0" t="s">
        <v>643</v>
      </c>
      <c r="B112" s="0" t="s">
        <v>644</v>
      </c>
      <c r="C112" s="0" t="s">
        <v>645</v>
      </c>
      <c r="D112" s="0" t="s">
        <v>644</v>
      </c>
      <c r="E112" s="0" t="s">
        <v>646</v>
      </c>
      <c r="F112" s="0" t="s">
        <v>647</v>
      </c>
      <c r="G112" s="0" t="n">
        <f aca="false">BoardQty*2</f>
        <v>100</v>
      </c>
      <c r="H112" s="10" t="n">
        <f aca="true">MINA(INDIRECT(ADDRESS(ROW(),COLUMN(newark_part_data)+2)),INDIRECT(ADDRESS(ROW(),COLUMN(digikey_part_data)+2)),INDIRECT(ADDRESS(ROW(),COLUMN(mouser_part_data)+2)))</f>
        <v>0.197</v>
      </c>
      <c r="I112" s="10" t="n">
        <f aca="false">IFERROR(G112*H112,"")</f>
        <v>19.7</v>
      </c>
      <c r="J112" s="0" t="n">
        <v>2000</v>
      </c>
      <c r="L112" s="10" t="n">
        <f aca="false">IFERROR(LOOKUP(IF(K112="",G112,K112),{0,1,10,25,50,100,250,500,1000,2000,4000},{0,0.5,0.448,0.42,0.364,0.336,0.3192,0.2912,0.2464,0.1904,0.1862}),"")</f>
        <v>0.336</v>
      </c>
      <c r="M112" s="10" t="n">
        <f aca="false">IFERROR(IF(K112="",G112,K112)*L112,"")</f>
        <v>33.6</v>
      </c>
      <c r="N112" s="0" t="s">
        <v>648</v>
      </c>
      <c r="O112" s="11" t="s">
        <v>27</v>
      </c>
      <c r="P112" s="0" t="n">
        <v>2273</v>
      </c>
      <c r="R112" s="10" t="n">
        <f aca="false">IFERROR(LOOKUP(IF(Q112="",G112,Q112),{0,1,10,100,250,500,1000,2000,4000,10000},{0,0.517,0.376,0.347,0.33,0.302,0.255,0.197,0.193,0.191}),"")</f>
        <v>0.347</v>
      </c>
      <c r="S112" s="10" t="n">
        <f aca="false">IFERROR(IF(Q112="",G112,Q112)*R112,"")</f>
        <v>34.7</v>
      </c>
      <c r="T112" s="0" t="s">
        <v>649</v>
      </c>
      <c r="U112" s="11" t="s">
        <v>27</v>
      </c>
      <c r="V112" s="0" t="n">
        <v>651</v>
      </c>
      <c r="X112" s="10" t="n">
        <f aca="false">IFERROR(LOOKUP(IF(W112="",G112,W112),{0,1,10,100,250,500,1000,2500,5000},{0,0.255,0.204,0.197,0.18,0.165,0.148,0.13,0.112}),"")</f>
        <v>0.197</v>
      </c>
      <c r="Y112" s="10" t="n">
        <f aca="false">IFERROR(IF(W112="",G112,W112)*X112,"")</f>
        <v>19.7</v>
      </c>
      <c r="Z112" s="0" t="s">
        <v>650</v>
      </c>
      <c r="AA112" s="11" t="s">
        <v>27</v>
      </c>
    </row>
    <row r="113" customFormat="false" ht="15" hidden="false" customHeight="false" outlineLevel="0" collapsed="false">
      <c r="A113" s="0" t="s">
        <v>651</v>
      </c>
      <c r="B113" s="0" t="s">
        <v>652</v>
      </c>
      <c r="C113" s="0" t="s">
        <v>22</v>
      </c>
      <c r="D113" s="0" t="s">
        <v>23</v>
      </c>
      <c r="E113" s="0" t="s">
        <v>24</v>
      </c>
      <c r="F113" s="0" t="s">
        <v>25</v>
      </c>
      <c r="G113" s="0" t="n">
        <f aca="false">BoardQty*1</f>
        <v>50</v>
      </c>
      <c r="H113" s="10" t="n">
        <f aca="true">MINA(INDIRECT(ADDRESS(ROW(),COLUMN(newark_part_data)+2)),INDIRECT(ADDRESS(ROW(),COLUMN(digikey_part_data)+2)),INDIRECT(ADDRESS(ROW(),COLUMN(mouser_part_data)+2)))</f>
        <v>0.542</v>
      </c>
      <c r="I113" s="10" t="n">
        <f aca="false">IFERROR(G113*H113,"")</f>
        <v>27.1</v>
      </c>
      <c r="J113" s="0" t="n">
        <v>1359</v>
      </c>
      <c r="L113" s="10" t="n">
        <f aca="false">IFERROR(LOOKUP(IF(K113="",G113,K113),{0,1,10,25,50,100,250,500,1000,2500},{0,1.05,0.737,0.6872,0.6238,0.6211,0.52448,0.49688,0.44166,0.36713}),"")</f>
        <v>0.6238</v>
      </c>
      <c r="M113" s="10" t="n">
        <f aca="false">IFERROR(IF(K113="",G113,K113)*L113,"")</f>
        <v>31.19</v>
      </c>
      <c r="N113" s="0" t="s">
        <v>26</v>
      </c>
      <c r="O113" s="11" t="s">
        <v>27</v>
      </c>
      <c r="P113" s="0" t="n">
        <v>3139</v>
      </c>
      <c r="R113" s="10" t="n">
        <f aca="false">IFERROR(LOOKUP(IF(Q113="",G113,Q113),{0,1,25,50,100,200,500,1000,2000,5000},{0,0.807,0.748,0.59,0.553,0.5,0.484,0.48,0.399,0.326}),"")</f>
        <v>0.59</v>
      </c>
      <c r="S113" s="10" t="n">
        <f aca="false">IFERROR(IF(Q113="",G113,Q113)*R113,"")</f>
        <v>29.5</v>
      </c>
      <c r="T113" s="0" t="s">
        <v>28</v>
      </c>
      <c r="U113" s="11" t="s">
        <v>27</v>
      </c>
      <c r="V113" s="0" t="n">
        <v>1845</v>
      </c>
      <c r="X113" s="10" t="n">
        <f aca="false">IFERROR(LOOKUP(IF(W113="",G113,W113),{0,1,25,50,100,200,500,1000,2000},{0,0.75,0.687,0.542,0.508,0.46,0.445,0.441,0.367}),"")</f>
        <v>0.542</v>
      </c>
      <c r="Y113" s="10" t="n">
        <f aca="false">IFERROR(IF(W113="",G113,W113)*X113,"")</f>
        <v>27.1</v>
      </c>
      <c r="Z113" s="0" t="s">
        <v>29</v>
      </c>
      <c r="AA113" s="11" t="s">
        <v>27</v>
      </c>
    </row>
    <row r="114" customFormat="false" ht="15" hidden="false" customHeight="false" outlineLevel="0" collapsed="false">
      <c r="A114" s="0" t="s">
        <v>653</v>
      </c>
      <c r="B114" s="0" t="s">
        <v>242</v>
      </c>
      <c r="C114" s="0" t="s">
        <v>243</v>
      </c>
      <c r="D114" s="0" t="s">
        <v>244</v>
      </c>
      <c r="E114" s="0" t="s">
        <v>114</v>
      </c>
      <c r="F114" s="0" t="s">
        <v>245</v>
      </c>
      <c r="G114" s="0" t="n">
        <f aca="false">BoardQty*2</f>
        <v>100</v>
      </c>
      <c r="H114" s="10" t="n">
        <f aca="true">MINA(INDIRECT(ADDRESS(ROW(),COLUMN(newark_part_data)+2)),INDIRECT(ADDRESS(ROW(),COLUMN(digikey_part_data)+2)),INDIRECT(ADDRESS(ROW(),COLUMN(mouser_part_data)+2)))</f>
        <v>0.134</v>
      </c>
      <c r="I114" s="10" t="n">
        <f aca="false">IFERROR(G114*H114,"")</f>
        <v>13.4</v>
      </c>
      <c r="P114" s="0" t="n">
        <v>17233</v>
      </c>
      <c r="R114" s="10" t="n">
        <f aca="false">IFERROR(LOOKUP(IF(Q114="",G114,Q114),{0,1,10,100,500,1000,5000,9000,45000},{0,0.346,0.204,0.134,0.099,0.081,0.072,0.059,0.056}),"")</f>
        <v>0.134</v>
      </c>
      <c r="S114" s="10" t="n">
        <f aca="false">IFERROR(IF(Q114="",G114,Q114)*R114,"")</f>
        <v>13.4</v>
      </c>
      <c r="T114" s="0" t="s">
        <v>246</v>
      </c>
      <c r="U114" s="11" t="s">
        <v>27</v>
      </c>
      <c r="AA114" s="11" t="s">
        <v>27</v>
      </c>
    </row>
    <row r="115" customFormat="false" ht="15" hidden="false" customHeight="false" outlineLevel="0" collapsed="false">
      <c r="A115" s="0" t="s">
        <v>654</v>
      </c>
      <c r="B115" s="0" t="s">
        <v>655</v>
      </c>
      <c r="C115" s="0" t="s">
        <v>656</v>
      </c>
      <c r="D115" s="0" t="s">
        <v>657</v>
      </c>
      <c r="E115" s="0" t="s">
        <v>658</v>
      </c>
      <c r="F115" s="0" t="s">
        <v>659</v>
      </c>
      <c r="G115" s="0" t="n">
        <f aca="false">BoardQty*1</f>
        <v>50</v>
      </c>
      <c r="H115" s="10" t="n">
        <f aca="true">MINA(INDIRECT(ADDRESS(ROW(),COLUMN(newark_part_data)+2)),INDIRECT(ADDRESS(ROW(),COLUMN(digikey_part_data)+2)),INDIRECT(ADDRESS(ROW(),COLUMN(mouser_part_data)+2)))</f>
        <v>5.76</v>
      </c>
      <c r="I115" s="10" t="n">
        <f aca="false">IFERROR(G115*H115,"")</f>
        <v>288</v>
      </c>
      <c r="J115" s="0" t="n">
        <v>14852</v>
      </c>
      <c r="L115" s="10" t="n">
        <f aca="false">IFERROR(LOOKUP(IF(K115="",G115,K115),{0,1,10,50,100,160,250,500,1000},{0,6.71,6.2,5.77,5.4,5.4,4.56,4.06,3.69999}),"")</f>
        <v>5.77</v>
      </c>
      <c r="M115" s="10" t="n">
        <f aca="false">IFERROR(IF(K115="",G115,K115)*L115,"")</f>
        <v>288.5</v>
      </c>
      <c r="N115" s="0" t="s">
        <v>660</v>
      </c>
      <c r="O115" s="11" t="s">
        <v>27</v>
      </c>
      <c r="P115" s="0" t="n">
        <v>230</v>
      </c>
      <c r="R115" s="10" t="n">
        <f aca="false">IFERROR(LOOKUP(IF(Q115="",G115,Q115),{0,1,10,50,100,250},{0,6.69,6.18,5.76,5.38,4.63}),"")</f>
        <v>5.76</v>
      </c>
      <c r="S115" s="10" t="n">
        <f aca="false">IFERROR(IF(Q115="",G115,Q115)*R115,"")</f>
        <v>288</v>
      </c>
      <c r="T115" s="0" t="s">
        <v>661</v>
      </c>
      <c r="U115" s="11" t="s">
        <v>27</v>
      </c>
      <c r="AA115" s="11" t="s">
        <v>27</v>
      </c>
    </row>
    <row r="116" customFormat="false" ht="15" hidden="false" customHeight="false" outlineLevel="0" collapsed="false">
      <c r="A116" s="0" t="s">
        <v>662</v>
      </c>
      <c r="B116" s="0" t="s">
        <v>615</v>
      </c>
      <c r="C116" s="0" t="s">
        <v>663</v>
      </c>
      <c r="D116" s="0" t="s">
        <v>113</v>
      </c>
      <c r="E116" s="0" t="s">
        <v>114</v>
      </c>
      <c r="F116" s="0" t="s">
        <v>617</v>
      </c>
      <c r="G116" s="0" t="n">
        <f aca="false">BoardQty*1</f>
        <v>50</v>
      </c>
      <c r="H116" s="10" t="n">
        <f aca="true">MINA(INDIRECT(ADDRESS(ROW(),COLUMN(newark_part_data)+2)),INDIRECT(ADDRESS(ROW(),COLUMN(digikey_part_data)+2)),INDIRECT(ADDRESS(ROW(),COLUMN(mouser_part_data)+2)))</f>
        <v>0.0104</v>
      </c>
      <c r="I116" s="10" t="n">
        <f aca="false">IFERROR(G116*H116,"")</f>
        <v>0.52</v>
      </c>
      <c r="J116" s="0" t="n">
        <v>1071330</v>
      </c>
      <c r="L116" s="10" t="n">
        <f aca="false">IFERROR(LOOKUP(IF(K116="",G116,K116),{0,1,10,50,100,250,500,1000,4000,8000,12000,28000,100000},{0,0.1,0.019,0.0104,0.0088,0.0072,0.00616,0.0048,0.00368,0.00336,0.0032,0.00304,0.0022}),"")</f>
        <v>0.0104</v>
      </c>
      <c r="M116" s="10" t="n">
        <f aca="false">IFERROR(IF(K116="",G116,K116)*L116,"")</f>
        <v>0.52</v>
      </c>
      <c r="N116" s="0" t="s">
        <v>618</v>
      </c>
      <c r="O116" s="11" t="s">
        <v>27</v>
      </c>
      <c r="P116" s="0" t="n">
        <v>231430</v>
      </c>
      <c r="R116" s="10" t="n">
        <f aca="false">IFERROR(LOOKUP(IF(Q116="",G116,Q116),{0,1,10,100,1000,4000,48000},{0,0.099,0.011,0.007,0.005,0.004,0.003}),"")</f>
        <v>0.011</v>
      </c>
      <c r="S116" s="10" t="n">
        <f aca="false">IFERROR(IF(Q116="",G116,Q116)*R116,"")</f>
        <v>0.55</v>
      </c>
      <c r="T116" s="0" t="s">
        <v>619</v>
      </c>
      <c r="U116" s="11" t="s">
        <v>27</v>
      </c>
      <c r="V116" s="0" t="n">
        <v>258002</v>
      </c>
      <c r="X116" s="10" t="n">
        <f aca="false">IFERROR(LOOKUP(IF(W116="",G116,W116),{0,1,10,25,50,100,250,4000,8000},{0,0.1,0.024,0.015,0.012,0.01,0.009,0.005,0.003}),"")</f>
        <v>0.012</v>
      </c>
      <c r="Y116" s="10" t="n">
        <f aca="false">IFERROR(IF(W116="",G116,W116)*X116,"")</f>
        <v>0.6</v>
      </c>
      <c r="Z116" s="0" t="s">
        <v>620</v>
      </c>
      <c r="AA116" s="11" t="s">
        <v>27</v>
      </c>
    </row>
    <row r="117" customFormat="false" ht="15" hidden="false" customHeight="false" outlineLevel="0" collapsed="false">
      <c r="A117" s="0" t="s">
        <v>664</v>
      </c>
      <c r="B117" s="0" t="s">
        <v>408</v>
      </c>
      <c r="C117" s="0" t="s">
        <v>665</v>
      </c>
      <c r="D117" s="0" t="s">
        <v>244</v>
      </c>
      <c r="E117" s="0" t="s">
        <v>114</v>
      </c>
      <c r="F117" s="0" t="s">
        <v>410</v>
      </c>
      <c r="G117" s="0" t="n">
        <f aca="false">BoardQty*2</f>
        <v>100</v>
      </c>
      <c r="H117" s="10" t="n">
        <f aca="true">MINA(INDIRECT(ADDRESS(ROW(),COLUMN(newark_part_data)+2)),INDIRECT(ADDRESS(ROW(),COLUMN(digikey_part_data)+2)),INDIRECT(ADDRESS(ROW(),COLUMN(mouser_part_data)+2)))</f>
        <v>0.107</v>
      </c>
      <c r="I117" s="10" t="n">
        <f aca="false">IFERROR(G117*H117,"")</f>
        <v>10.7</v>
      </c>
      <c r="J117" s="0" t="n">
        <v>6071</v>
      </c>
      <c r="L117" s="10" t="n">
        <f aca="false">IFERROR(LOOKUP(IF(K117="",G117,K117),{0,1,10,50,100,250,500,1000,2000,4000,10000,14000,50000,100000},{0,0.34,0.294,0.1786,0.147,0.1176,0.1071,0.0966,0.0756,0.0714,0.0672,0.0651,0.0588,0.0546}),"")</f>
        <v>0.147</v>
      </c>
      <c r="M117" s="10" t="n">
        <f aca="false">IFERROR(IF(K117="",G117,K117)*L117,"")</f>
        <v>14.7</v>
      </c>
      <c r="N117" s="0" t="s">
        <v>411</v>
      </c>
      <c r="O117" s="11" t="s">
        <v>27</v>
      </c>
      <c r="P117" s="0" t="n">
        <v>4611</v>
      </c>
      <c r="R117" s="10" t="n">
        <f aca="false">IFERROR(LOOKUP(IF(Q117="",G117,Q117),{0,1,10,100,1000,2000,10000,24000,50000,100000},{0,0.336,0.177,0.107,0.096,0.075,0.065,0.061,0.058,0.055}),"")</f>
        <v>0.107</v>
      </c>
      <c r="S117" s="10" t="n">
        <f aca="false">IFERROR(IF(Q117="",G117,Q117)*R117,"")</f>
        <v>10.7</v>
      </c>
      <c r="T117" s="0" t="s">
        <v>412</v>
      </c>
      <c r="U117" s="11" t="s">
        <v>27</v>
      </c>
      <c r="V117" s="0" t="n">
        <v>2245</v>
      </c>
      <c r="X117" s="10" t="n">
        <f aca="false">IFERROR(LOOKUP(IF(W117="",G117,W117),{0,1,10,25,50,100,250,2000,4000},{0,0.348,0.303,0.214,0.182,0.15,0.12,0.079,0.074}),"")</f>
        <v>0.15</v>
      </c>
      <c r="Y117" s="10" t="n">
        <f aca="false">IFERROR(IF(W117="",G117,W117)*X117,"")</f>
        <v>15</v>
      </c>
      <c r="Z117" s="0" t="s">
        <v>413</v>
      </c>
      <c r="AA117" s="11" t="s">
        <v>27</v>
      </c>
    </row>
    <row r="118" customFormat="false" ht="15" hidden="false" customHeight="false" outlineLevel="0" collapsed="false">
      <c r="A118" s="0" t="s">
        <v>666</v>
      </c>
      <c r="B118" s="0" t="s">
        <v>667</v>
      </c>
      <c r="C118" s="0" t="s">
        <v>599</v>
      </c>
      <c r="D118" s="0" t="s">
        <v>48</v>
      </c>
      <c r="E118" s="0" t="s">
        <v>49</v>
      </c>
      <c r="F118" s="0" t="s">
        <v>600</v>
      </c>
      <c r="G118" s="0" t="n">
        <f aca="false">BoardQty*4</f>
        <v>200</v>
      </c>
      <c r="H118" s="10" t="n">
        <f aca="true">MINA(INDIRECT(ADDRESS(ROW(),COLUMN(newark_part_data)+2)),INDIRECT(ADDRESS(ROW(),COLUMN(digikey_part_data)+2)),INDIRECT(ADDRESS(ROW(),COLUMN(mouser_part_data)+2)))</f>
        <v>0.003</v>
      </c>
      <c r="I118" s="10" t="n">
        <f aca="false">IFERROR(G118*H118,"")</f>
        <v>0.6</v>
      </c>
      <c r="J118" s="0" t="n">
        <v>6990223</v>
      </c>
      <c r="L118" s="10" t="n">
        <f aca="false">IFERROR(LOOKUP(IF(K118="",G118,K118),{0,1,10,25,100,250,500,1000,2500,5000,10000,25000,50000,125000},{0,0.1,0.011,0.008,0.0045,0.00348,0.00278,0.00204,0.00177,0.00133,0.00116,0.00102,0.00093,0.00091}),"")</f>
        <v>0.0045</v>
      </c>
      <c r="M118" s="10" t="n">
        <f aca="false">IFERROR(IF(K118="",G118,K118)*L118,"")</f>
        <v>0.9</v>
      </c>
      <c r="N118" s="0" t="s">
        <v>601</v>
      </c>
      <c r="O118" s="11" t="s">
        <v>27</v>
      </c>
      <c r="P118" s="0" t="n">
        <v>173446</v>
      </c>
      <c r="R118" s="10" t="n">
        <f aca="false">IFERROR(LOOKUP(IF(Q118="",G118,Q118),{0,1,10,100,1000,5000,50000},{0,0.099,0.008,0.003,0.002,0.002,0.001}),"")</f>
        <v>0.003</v>
      </c>
      <c r="S118" s="10" t="n">
        <f aca="false">IFERROR(IF(Q118="",G118,Q118)*R118,"")</f>
        <v>0.6</v>
      </c>
      <c r="T118" s="0" t="s">
        <v>602</v>
      </c>
      <c r="U118" s="11" t="s">
        <v>27</v>
      </c>
      <c r="V118" s="0" t="n">
        <v>4134</v>
      </c>
      <c r="X118" s="10" t="n">
        <f aca="false">IFERROR(LOOKUP(IF(W118="",G118,W118),{0,1,10,25,100,250,1000,5000,10000},{0,0.06,0.01,0.007,0.004,0.003,0.002,0.002,0.001}),"")</f>
        <v>0.004</v>
      </c>
      <c r="Y118" s="10" t="n">
        <f aca="false">IFERROR(IF(W118="",G118,W118)*X118,"")</f>
        <v>0.8</v>
      </c>
      <c r="Z118" s="0" t="s">
        <v>603</v>
      </c>
      <c r="AA118" s="11" t="s">
        <v>27</v>
      </c>
    </row>
    <row r="119" customFormat="false" ht="15" hidden="false" customHeight="false" outlineLevel="0" collapsed="false">
      <c r="A119" s="0" t="s">
        <v>668</v>
      </c>
      <c r="B119" s="0" t="s">
        <v>669</v>
      </c>
      <c r="C119" s="0" t="s">
        <v>169</v>
      </c>
      <c r="D119" s="0" t="s">
        <v>48</v>
      </c>
      <c r="E119" s="0" t="s">
        <v>49</v>
      </c>
      <c r="F119" s="0" t="s">
        <v>170</v>
      </c>
      <c r="G119" s="0" t="n">
        <f aca="false">BoardQty*10</f>
        <v>500</v>
      </c>
      <c r="H119" s="10" t="n">
        <f aca="true">MINA(INDIRECT(ADDRESS(ROW(),COLUMN(newark_part_data)+2)),INDIRECT(ADDRESS(ROW(),COLUMN(digikey_part_data)+2)),INDIRECT(ADDRESS(ROW(),COLUMN(mouser_part_data)+2)))</f>
        <v>0.0027</v>
      </c>
      <c r="I119" s="10" t="n">
        <f aca="false">IFERROR(G119*H119,"")</f>
        <v>1.35</v>
      </c>
      <c r="J119" s="0" t="n">
        <v>3086200</v>
      </c>
      <c r="L119" s="10" t="n">
        <f aca="false">IFERROR(LOOKUP(IF(K119="",G119,K119),{0,1,10,25,100,250,500,1000,2500,5000,10000,25000,50000,125000},{0,0.1,0.011,0.008,0.0044,0.00336,0.0027,0.00198,0.00172,0.00129,0.00112,0.00099,0.0009,0.00089}),"")</f>
        <v>0.0027</v>
      </c>
      <c r="M119" s="10" t="n">
        <f aca="false">IFERROR(IF(K119="",G119,K119)*L119,"")</f>
        <v>1.35</v>
      </c>
      <c r="N119" s="0" t="s">
        <v>171</v>
      </c>
      <c r="O119" s="11" t="s">
        <v>27</v>
      </c>
      <c r="P119" s="0" t="n">
        <v>284684</v>
      </c>
      <c r="R119" s="10" t="n">
        <f aca="false">IFERROR(LOOKUP(IF(Q119="",G119,Q119),{0,1,10,100,1000,5000,50000},{0,0.099,0.008,0.003,0.002,0.002,0.001}),"")</f>
        <v>0.003</v>
      </c>
      <c r="S119" s="10" t="n">
        <f aca="false">IFERROR(IF(Q119="",G119,Q119)*R119,"")</f>
        <v>1.5</v>
      </c>
      <c r="T119" s="0" t="s">
        <v>172</v>
      </c>
      <c r="U119" s="11" t="s">
        <v>27</v>
      </c>
      <c r="V119" s="0" t="n">
        <v>4389</v>
      </c>
      <c r="X119" s="10" t="n">
        <f aca="false">IFERROR(LOOKUP(IF(W119="",G119,W119),{0,1,10,25,100,250,1000,5000,10000},{0,0.06,0.01,0.007,0.004,0.003,0.002,0.002,0.001}),"")</f>
        <v>0.003</v>
      </c>
      <c r="Y119" s="10" t="n">
        <f aca="false">IFERROR(IF(W119="",G119,W119)*X119,"")</f>
        <v>1.5</v>
      </c>
      <c r="Z119" s="0" t="s">
        <v>173</v>
      </c>
      <c r="AA119" s="11" t="s">
        <v>27</v>
      </c>
    </row>
    <row r="120" customFormat="false" ht="15" hidden="false" customHeight="false" outlineLevel="0" collapsed="false">
      <c r="A120" s="0" t="s">
        <v>670</v>
      </c>
      <c r="B120" s="0" t="s">
        <v>671</v>
      </c>
      <c r="C120" s="0" t="s">
        <v>672</v>
      </c>
      <c r="D120" s="0" t="s">
        <v>673</v>
      </c>
      <c r="E120" s="0" t="s">
        <v>674</v>
      </c>
      <c r="F120" s="0" t="s">
        <v>675</v>
      </c>
      <c r="G120" s="0" t="n">
        <f aca="false">BoardQty*1</f>
        <v>50</v>
      </c>
      <c r="H120" s="10" t="n">
        <f aca="true">MINA(INDIRECT(ADDRESS(ROW(),COLUMN(newark_part_data)+2)),INDIRECT(ADDRESS(ROW(),COLUMN(digikey_part_data)+2)),INDIRECT(ADDRESS(ROW(),COLUMN(mouser_part_data)+2)))</f>
        <v>0.787</v>
      </c>
      <c r="I120" s="10" t="n">
        <f aca="false">IFERROR(G120*H120,"")</f>
        <v>39.35</v>
      </c>
      <c r="J120" s="0" t="n">
        <v>9514</v>
      </c>
      <c r="L120" s="10" t="n">
        <f aca="false">IFERROR(LOOKUP(IF(K120="",G120,K120),{0,1,10,100,500,1000,2500,5000,12500,25000,62500},{0,0.97,0.866,0.6755,0.5586,0.44175,0.399,0.37905,0.3648,0.3534,0.342}),"")</f>
        <v>0.866</v>
      </c>
      <c r="M120" s="10" t="n">
        <f aca="false">IFERROR(IF(K120="",G120,K120)*L120,"")</f>
        <v>43.3</v>
      </c>
      <c r="N120" s="0" t="s">
        <v>676</v>
      </c>
      <c r="O120" s="11" t="s">
        <v>27</v>
      </c>
      <c r="P120" s="0" t="n">
        <v>10</v>
      </c>
      <c r="R120" s="10" t="n">
        <f aca="false">IFERROR(LOOKUP(IF(Q120="",G120,Q120),{0,1,10,100,500,1000,2500,10000,25000},{0,0.918,0.787,0.605,0.535,0.421,0.374,0.359,0.358}),"")</f>
        <v>0.787</v>
      </c>
      <c r="S120" s="10" t="n">
        <f aca="false">IFERROR(IF(Q120="",G120,Q120)*R120,"")</f>
        <v>39.35</v>
      </c>
      <c r="T120" s="0" t="s">
        <v>677</v>
      </c>
      <c r="U120" s="11" t="s">
        <v>27</v>
      </c>
      <c r="AA120" s="11" t="s">
        <v>27</v>
      </c>
    </row>
    <row r="121" customFormat="false" ht="15" hidden="false" customHeight="false" outlineLevel="0" collapsed="false">
      <c r="A121" s="0" t="s">
        <v>678</v>
      </c>
      <c r="B121" s="0" t="s">
        <v>679</v>
      </c>
      <c r="C121" s="0" t="s">
        <v>249</v>
      </c>
      <c r="D121" s="0" t="s">
        <v>23</v>
      </c>
      <c r="E121" s="0" t="s">
        <v>24</v>
      </c>
      <c r="F121" s="0" t="s">
        <v>25</v>
      </c>
      <c r="G121" s="0" t="n">
        <f aca="false">BoardQty*1</f>
        <v>50</v>
      </c>
      <c r="H121" s="10" t="n">
        <f aca="true">MINA(INDIRECT(ADDRESS(ROW(),COLUMN(newark_part_data)+2)),INDIRECT(ADDRESS(ROW(),COLUMN(digikey_part_data)+2)),INDIRECT(ADDRESS(ROW(),COLUMN(mouser_part_data)+2)))</f>
        <v>0.542</v>
      </c>
      <c r="I121" s="10" t="n">
        <f aca="false">IFERROR(G121*H121,"")</f>
        <v>27.1</v>
      </c>
      <c r="J121" s="0" t="n">
        <v>1359</v>
      </c>
      <c r="L121" s="10" t="n">
        <f aca="false">IFERROR(LOOKUP(IF(K121="",G121,K121),{0,1,10,25,50,100,250,500,1000,2500},{0,1.05,0.737,0.6872,0.6238,0.6211,0.52448,0.49688,0.44166,0.36713}),"")</f>
        <v>0.6238</v>
      </c>
      <c r="M121" s="10" t="n">
        <f aca="false">IFERROR(IF(K121="",G121,K121)*L121,"")</f>
        <v>31.19</v>
      </c>
      <c r="N121" s="0" t="s">
        <v>26</v>
      </c>
      <c r="O121" s="11" t="s">
        <v>27</v>
      </c>
      <c r="P121" s="0" t="n">
        <v>3139</v>
      </c>
      <c r="R121" s="10" t="n">
        <f aca="false">IFERROR(LOOKUP(IF(Q121="",G121,Q121),{0,1,25,50,100,200,500,1000,2000,5000},{0,0.807,0.748,0.59,0.553,0.5,0.484,0.48,0.399,0.326}),"")</f>
        <v>0.59</v>
      </c>
      <c r="S121" s="10" t="n">
        <f aca="false">IFERROR(IF(Q121="",G121,Q121)*R121,"")</f>
        <v>29.5</v>
      </c>
      <c r="T121" s="0" t="s">
        <v>28</v>
      </c>
      <c r="U121" s="11" t="s">
        <v>27</v>
      </c>
      <c r="V121" s="0" t="n">
        <v>1845</v>
      </c>
      <c r="X121" s="10" t="n">
        <f aca="false">IFERROR(LOOKUP(IF(W121="",G121,W121),{0,1,25,50,100,200,500,1000,2000},{0,0.75,0.687,0.542,0.508,0.46,0.445,0.441,0.367}),"")</f>
        <v>0.542</v>
      </c>
      <c r="Y121" s="10" t="n">
        <f aca="false">IFERROR(IF(W121="",G121,W121)*X121,"")</f>
        <v>27.1</v>
      </c>
      <c r="Z121" s="0" t="s">
        <v>29</v>
      </c>
      <c r="AA121" s="11" t="s">
        <v>27</v>
      </c>
    </row>
    <row r="122" customFormat="false" ht="15" hidden="false" customHeight="false" outlineLevel="0" collapsed="false">
      <c r="A122" s="0" t="s">
        <v>680</v>
      </c>
      <c r="B122" s="0" t="s">
        <v>681</v>
      </c>
      <c r="C122" s="0" t="s">
        <v>682</v>
      </c>
      <c r="D122" s="0" t="s">
        <v>683</v>
      </c>
      <c r="E122" s="0" t="s">
        <v>157</v>
      </c>
      <c r="F122" s="0" t="s">
        <v>684</v>
      </c>
      <c r="G122" s="0" t="n">
        <f aca="false">BoardQty*1</f>
        <v>50</v>
      </c>
      <c r="H122" s="10" t="n">
        <f aca="true">MINA(INDIRECT(ADDRESS(ROW(),COLUMN(newark_part_data)+2)),INDIRECT(ADDRESS(ROW(),COLUMN(digikey_part_data)+2)),INDIRECT(ADDRESS(ROW(),COLUMN(mouser_part_data)+2)))</f>
        <v>0.361</v>
      </c>
      <c r="I122" s="10" t="n">
        <f aca="false">IFERROR(G122*H122,"")</f>
        <v>18.05</v>
      </c>
      <c r="J122" s="0" t="n">
        <v>4762</v>
      </c>
      <c r="L122" s="10" t="n">
        <f aca="false">IFERROR(LOOKUP(IF(K122="",G122,K122),{0,1,10,100,500,1000,2500,5000,12500,25000,62500,125000},{0,0.44,0.381,0.2842,0.2233,0.17255,0.1452,0.1364,0.1276,0.11704,0.11264,0.10824}),"")</f>
        <v>0.381</v>
      </c>
      <c r="M122" s="10" t="n">
        <f aca="false">IFERROR(IF(K122="",G122,K122)*L122,"")</f>
        <v>19.05</v>
      </c>
      <c r="N122" s="0" t="s">
        <v>685</v>
      </c>
      <c r="O122" s="11" t="s">
        <v>27</v>
      </c>
      <c r="P122" s="0" t="n">
        <v>2968</v>
      </c>
      <c r="R122" s="10" t="n">
        <f aca="false">IFERROR(LOOKUP(IF(Q122="",G122,Q122),{0,1,10,100,1000,2500,10000,25000,50000},{0,0.453,0.361,0.227,0.171,0.145,0.135,0.129,0.128}),"")</f>
        <v>0.361</v>
      </c>
      <c r="S122" s="10" t="n">
        <f aca="false">IFERROR(IF(Q122="",G122,Q122)*R122,"")</f>
        <v>18.05</v>
      </c>
      <c r="T122" s="0" t="s">
        <v>686</v>
      </c>
      <c r="U122" s="11" t="s">
        <v>27</v>
      </c>
      <c r="AA122" s="11" t="s">
        <v>27</v>
      </c>
    </row>
    <row r="123" customFormat="false" ht="15" hidden="false" customHeight="false" outlineLevel="0" collapsed="false">
      <c r="A123" s="0" t="s">
        <v>687</v>
      </c>
      <c r="B123" s="0" t="s">
        <v>688</v>
      </c>
      <c r="C123" s="0" t="s">
        <v>268</v>
      </c>
      <c r="D123" s="0" t="s">
        <v>689</v>
      </c>
      <c r="E123" s="0" t="s">
        <v>270</v>
      </c>
      <c r="F123" s="0" t="s">
        <v>271</v>
      </c>
      <c r="G123" s="0" t="n">
        <f aca="false">BoardQty*1</f>
        <v>50</v>
      </c>
      <c r="H123" s="10" t="n">
        <f aca="true">MINA(INDIRECT(ADDRESS(ROW(),COLUMN(newark_part_data)+2)),INDIRECT(ADDRESS(ROW(),COLUMN(digikey_part_data)+2)),INDIRECT(ADDRESS(ROW(),COLUMN(mouser_part_data)+2)))</f>
        <v>1.012</v>
      </c>
      <c r="I123" s="10" t="n">
        <f aca="false">IFERROR(G123*H123,"")</f>
        <v>50.6</v>
      </c>
      <c r="J123" s="0" t="n">
        <v>12506</v>
      </c>
      <c r="L123" s="10" t="n">
        <f aca="false">IFERROR(LOOKUP(IF(K123="",G123,K123),{0,1,10,100,500,1000,5000,10000},{0,1.13,1.012,0.8337,0.65902,0.56573,0.5161,0.49625}),"")</f>
        <v>1.012</v>
      </c>
      <c r="M123" s="10" t="n">
        <f aca="false">IFERROR(IF(K123="",G123,K123)*L123,"")</f>
        <v>50.6</v>
      </c>
      <c r="N123" s="0" t="s">
        <v>271</v>
      </c>
      <c r="O123" s="11" t="s">
        <v>27</v>
      </c>
      <c r="P123" s="0" t="n">
        <v>10015</v>
      </c>
      <c r="R123" s="10" t="n">
        <f aca="false">IFERROR(LOOKUP(IF(Q123="",G123,Q123),{0,1,25,50,100,200,500,1000,2000,5000},{0,2.76,2.53,2.42,2.3,2.01,1.96,1.67,1.56,1.43}),"")</f>
        <v>2.42</v>
      </c>
      <c r="S123" s="10" t="n">
        <f aca="false">IFERROR(IF(Q123="",G123,Q123)*R123,"")</f>
        <v>121</v>
      </c>
      <c r="T123" s="0" t="s">
        <v>272</v>
      </c>
      <c r="U123" s="11" t="s">
        <v>27</v>
      </c>
      <c r="AA123" s="11" t="s">
        <v>27</v>
      </c>
    </row>
    <row r="124" customFormat="false" ht="15" hidden="false" customHeight="false" outlineLevel="0" collapsed="false">
      <c r="A124" s="0" t="s">
        <v>690</v>
      </c>
      <c r="B124" s="0" t="s">
        <v>122</v>
      </c>
      <c r="C124" s="0" t="s">
        <v>123</v>
      </c>
      <c r="D124" s="0" t="s">
        <v>84</v>
      </c>
      <c r="E124" s="0" t="s">
        <v>124</v>
      </c>
      <c r="F124" s="0" t="s">
        <v>122</v>
      </c>
      <c r="G124" s="0" t="n">
        <f aca="false">BoardQty*4</f>
        <v>200</v>
      </c>
      <c r="H124" s="10" t="n">
        <f aca="true">MINA(INDIRECT(ADDRESS(ROW(),COLUMN(newark_part_data)+2)),INDIRECT(ADDRESS(ROW(),COLUMN(digikey_part_data)+2)),INDIRECT(ADDRESS(ROW(),COLUMN(mouser_part_data)+2)))</f>
        <v>0.029</v>
      </c>
      <c r="I124" s="10" t="n">
        <f aca="false">IFERROR(G124*H124,"")</f>
        <v>5.8</v>
      </c>
      <c r="J124" s="0" t="n">
        <v>236242</v>
      </c>
      <c r="L124" s="10" t="n">
        <f aca="false">IFERROR(LOOKUP(IF(K124="",G124,K124),{0,1,10,100,250,500,1000,4000,8000,12000,28000,100000},{0,0.1,0.073,0.0436,0.03168,0.02904,0.02508,0.0192,0.0174,0.0168,0.0156,0.01542}),"")</f>
        <v>0.0436</v>
      </c>
      <c r="M124" s="10" t="n">
        <f aca="false">IFERROR(IF(K124="",G124,K124)*L124,"")</f>
        <v>8.72</v>
      </c>
      <c r="N124" s="0" t="s">
        <v>125</v>
      </c>
      <c r="O124" s="11" t="s">
        <v>27</v>
      </c>
      <c r="P124" s="0" t="n">
        <v>42239</v>
      </c>
      <c r="R124" s="10" t="n">
        <f aca="false">IFERROR(LOOKUP(IF(Q124="",G124,Q124),{0,1,10,100,1000,4000,8000,24000},{0,0.099,0.072,0.029,0.026,0.02,0.016,0.015}),"")</f>
        <v>0.029</v>
      </c>
      <c r="S124" s="10" t="n">
        <f aca="false">IFERROR(IF(Q124="",G124,Q124)*R124,"")</f>
        <v>5.8</v>
      </c>
      <c r="T124" s="0" t="s">
        <v>126</v>
      </c>
      <c r="U124" s="11" t="s">
        <v>27</v>
      </c>
      <c r="V124" s="0" t="n">
        <v>8824</v>
      </c>
      <c r="X124" s="10" t="n">
        <f aca="false">IFERROR(LOOKUP(IF(W124="",G124,W124),{0,1,10,100,250,500,1000,4000,8000},{0,0.175,0.12,0.057,0.048,0.04,0.033,0.025,0.024}),"")</f>
        <v>0.057</v>
      </c>
      <c r="Y124" s="10" t="n">
        <f aca="false">IFERROR(IF(W124="",G124,W124)*X124,"")</f>
        <v>11.4</v>
      </c>
      <c r="Z124" s="0" t="s">
        <v>127</v>
      </c>
      <c r="AA124" s="11" t="s">
        <v>27</v>
      </c>
    </row>
    <row r="125" customFormat="false" ht="15" hidden="false" customHeight="false" outlineLevel="0" collapsed="false">
      <c r="A125" s="0" t="s">
        <v>691</v>
      </c>
      <c r="B125" s="0" t="s">
        <v>692</v>
      </c>
      <c r="C125" s="0" t="s">
        <v>693</v>
      </c>
      <c r="D125" s="0" t="s">
        <v>694</v>
      </c>
      <c r="E125" s="0" t="s">
        <v>34</v>
      </c>
      <c r="F125" s="0" t="s">
        <v>692</v>
      </c>
      <c r="G125" s="0" t="n">
        <f aca="false">BoardQty*1</f>
        <v>50</v>
      </c>
      <c r="H125" s="10" t="n">
        <f aca="true">MINA(INDIRECT(ADDRESS(ROW(),COLUMN(newark_part_data)+2)),INDIRECT(ADDRESS(ROW(),COLUMN(digikey_part_data)+2)),INDIRECT(ADDRESS(ROW(),COLUMN(mouser_part_data)+2)))</f>
        <v>0.502</v>
      </c>
      <c r="I125" s="10" t="n">
        <f aca="false">IFERROR(G125*H125,"")</f>
        <v>25.1</v>
      </c>
      <c r="J125" s="0" t="n">
        <v>21337</v>
      </c>
      <c r="L125" s="10" t="n">
        <f aca="false">IFERROR(LOOKUP(IF(K125="",G125,K125),{0,1,10,100,500,1000,2500,5000,12500,25000,62500,125000},{0,0.64,0.545,0.4072,0.31984,0.24658,0.2184,0.20431,0.19022,0.18035,0.17612,0.16908}),"")</f>
        <v>0.545</v>
      </c>
      <c r="M125" s="10" t="n">
        <f aca="false">IFERROR(IF(K125="",G125,K125)*L125,"")</f>
        <v>27.25</v>
      </c>
      <c r="N125" s="0" t="s">
        <v>695</v>
      </c>
      <c r="O125" s="11" t="s">
        <v>27</v>
      </c>
      <c r="P125" s="0" t="n">
        <v>1999</v>
      </c>
      <c r="R125" s="10" t="n">
        <f aca="false">IFERROR(LOOKUP(IF(Q125="",G125,Q125),{0,1,10,100,1000,2500,10000,25000},{0,0.67,0.502,0.316,0.237,0.202,0.187,0.178}),"")</f>
        <v>0.502</v>
      </c>
      <c r="S125" s="10" t="n">
        <f aca="false">IFERROR(IF(Q125="",G125,Q125)*R125,"")</f>
        <v>25.1</v>
      </c>
      <c r="T125" s="0" t="s">
        <v>696</v>
      </c>
      <c r="U125" s="11" t="s">
        <v>27</v>
      </c>
      <c r="V125" s="0" t="n">
        <v>20028</v>
      </c>
      <c r="X125" s="10" t="n">
        <f aca="false">IFERROR(LOOKUP(IF(W125="",G125,W125),{0,1,10,100,1000,2500,10000,25000},{0,0.674,0.509,0.32,0.24,0.205,0.191,0.172}),"")</f>
        <v>0.509</v>
      </c>
      <c r="Y125" s="10" t="n">
        <f aca="false">IFERROR(IF(W125="",G125,W125)*X125,"")</f>
        <v>25.45</v>
      </c>
      <c r="Z125" s="0" t="s">
        <v>697</v>
      </c>
      <c r="AA125" s="11" t="s">
        <v>27</v>
      </c>
    </row>
    <row r="126" customFormat="false" ht="15" hidden="false" customHeight="false" outlineLevel="0" collapsed="false">
      <c r="A126" s="0" t="s">
        <v>698</v>
      </c>
      <c r="B126" s="0" t="s">
        <v>699</v>
      </c>
      <c r="C126" s="0" t="s">
        <v>700</v>
      </c>
      <c r="D126" s="0" t="s">
        <v>186</v>
      </c>
      <c r="E126" s="0" t="s">
        <v>34</v>
      </c>
      <c r="F126" s="0" t="s">
        <v>699</v>
      </c>
      <c r="G126" s="0" t="n">
        <f aca="false">BoardQty*1</f>
        <v>50</v>
      </c>
      <c r="H126" s="10" t="n">
        <f aca="true">MINA(INDIRECT(ADDRESS(ROW(),COLUMN(newark_part_data)+2)),INDIRECT(ADDRESS(ROW(),COLUMN(digikey_part_data)+2)),INDIRECT(ADDRESS(ROW(),COLUMN(mouser_part_data)+2)))</f>
        <v>0.212</v>
      </c>
      <c r="I126" s="10" t="n">
        <f aca="false">IFERROR(G126*H126,"")</f>
        <v>10.6</v>
      </c>
      <c r="J126" s="0" t="n">
        <v>2904</v>
      </c>
      <c r="L126" s="10" t="n">
        <f aca="false">IFERROR(LOOKUP(IF(K126="",G126,K126),{0,1,10,100,500,1000,2500,5000,12500,25000,62500,125000},{0,0.47,0.351,0.2185,0.1495,0.115,0.1035,0.09775,0.08912,0.08338,0.07475,0.07188}),"")</f>
        <v>0.351</v>
      </c>
      <c r="M126" s="10" t="n">
        <f aca="false">IFERROR(IF(K126="",G126,K126)*L126,"")</f>
        <v>17.55</v>
      </c>
      <c r="N126" s="0" t="s">
        <v>701</v>
      </c>
      <c r="O126" s="11" t="s">
        <v>27</v>
      </c>
      <c r="P126" s="0" t="n">
        <v>4260</v>
      </c>
      <c r="R126" s="10" t="n">
        <f aca="false">IFERROR(LOOKUP(IF(Q126="",G126,Q126),{0,1,10,100,1000,2500,10000,25000,50000,100000},{0,0.434,0.308,0.142,0.109,0.093,0.085,0.078,0.071,0.07}),"")</f>
        <v>0.308</v>
      </c>
      <c r="S126" s="10" t="n">
        <f aca="false">IFERROR(IF(Q126="",G126,Q126)*R126,"")</f>
        <v>15.4</v>
      </c>
      <c r="T126" s="0" t="s">
        <v>702</v>
      </c>
      <c r="U126" s="11" t="s">
        <v>27</v>
      </c>
      <c r="V126" s="0" t="n">
        <v>4873</v>
      </c>
      <c r="X126" s="10" t="n">
        <f aca="false">IFERROR(LOOKUP(IF(W126="",G126,W126),{0,1,10,100,1000,2500,10000,25000,50000},{0,0.3,0.212,0.098,0.075,0.064,0.058,0.054,0.049}),"")</f>
        <v>0.212</v>
      </c>
      <c r="Y126" s="10" t="n">
        <f aca="false">IFERROR(IF(W126="",G126,W126)*X126,"")</f>
        <v>10.6</v>
      </c>
      <c r="Z126" s="0" t="s">
        <v>703</v>
      </c>
      <c r="AA126" s="11" t="s">
        <v>27</v>
      </c>
    </row>
    <row r="127" customFormat="false" ht="15" hidden="false" customHeight="false" outlineLevel="0" collapsed="false">
      <c r="A127" s="0" t="s">
        <v>704</v>
      </c>
      <c r="B127" s="0" t="s">
        <v>705</v>
      </c>
      <c r="C127" s="0" t="s">
        <v>56</v>
      </c>
      <c r="D127" s="0" t="s">
        <v>57</v>
      </c>
      <c r="E127" s="0" t="s">
        <v>24</v>
      </c>
      <c r="F127" s="0" t="s">
        <v>58</v>
      </c>
      <c r="G127" s="0" t="n">
        <f aca="false">BoardQty*1</f>
        <v>50</v>
      </c>
      <c r="H127" s="10" t="n">
        <f aca="true">MINA(INDIRECT(ADDRESS(ROW(),COLUMN(newark_part_data)+2)),INDIRECT(ADDRESS(ROW(),COLUMN(digikey_part_data)+2)),INDIRECT(ADDRESS(ROW(),COLUMN(mouser_part_data)+2)))</f>
        <v>0.88</v>
      </c>
      <c r="I127" s="10" t="n">
        <f aca="false">IFERROR(G127*H127,"")</f>
        <v>44</v>
      </c>
      <c r="J127" s="0" t="n">
        <v>644</v>
      </c>
      <c r="L127" s="10" t="n">
        <f aca="false">IFERROR(LOOKUP(IF(K127="",G127,K127),{0,1,10,25,50,100,250,500,1000,2500},{0,1.72,1.304,1.2084,1.0866,1.06,0.92752,0.848,0.7685,0.689}),"")</f>
        <v>1.0866</v>
      </c>
      <c r="M127" s="10" t="n">
        <f aca="false">IFERROR(IF(K127="",G127,K127)*L127,"")</f>
        <v>54.33</v>
      </c>
      <c r="N127" s="0" t="s">
        <v>59</v>
      </c>
      <c r="O127" s="11" t="s">
        <v>27</v>
      </c>
      <c r="P127" s="0" t="n">
        <v>2159</v>
      </c>
      <c r="R127" s="10" t="n">
        <f aca="false">IFERROR(LOOKUP(IF(Q127="",G127,Q127),{0,1,25,50,100,200,500,1000,2000,5000},{0,1.25,1.12,1.07,1.01,0.952,0.907,0.88,0.789,0.711}),"")</f>
        <v>1.07</v>
      </c>
      <c r="S127" s="10" t="n">
        <f aca="false">IFERROR(IF(Q127="",G127,Q127)*R127,"")</f>
        <v>53.5</v>
      </c>
      <c r="T127" s="0" t="s">
        <v>60</v>
      </c>
      <c r="U127" s="11" t="s">
        <v>27</v>
      </c>
      <c r="V127" s="0" t="n">
        <v>496</v>
      </c>
      <c r="X127" s="10" t="n">
        <f aca="false">IFERROR(LOOKUP(IF(W127="",G127,W127),{0,1,50,100,250,500},{0,1.1,0.88,0.81,0.77,0.73}),"")</f>
        <v>0.88</v>
      </c>
      <c r="Y127" s="10" t="n">
        <f aca="false">IFERROR(IF(W127="",G127,W127)*X127,"")</f>
        <v>44</v>
      </c>
      <c r="Z127" s="0" t="s">
        <v>61</v>
      </c>
      <c r="AA127" s="11" t="s">
        <v>27</v>
      </c>
    </row>
    <row r="128" customFormat="false" ht="15" hidden="false" customHeight="false" outlineLevel="0" collapsed="false">
      <c r="A128" s="0" t="s">
        <v>706</v>
      </c>
      <c r="B128" s="0" t="s">
        <v>707</v>
      </c>
      <c r="C128" s="0" t="s">
        <v>708</v>
      </c>
      <c r="D128" s="0" t="s">
        <v>694</v>
      </c>
      <c r="E128" s="0" t="s">
        <v>34</v>
      </c>
      <c r="F128" s="0" t="s">
        <v>709</v>
      </c>
      <c r="G128" s="0" t="n">
        <f aca="false">BoardQty*2</f>
        <v>100</v>
      </c>
      <c r="H128" s="10" t="n">
        <f aca="true">MINA(INDIRECT(ADDRESS(ROW(),COLUMN(newark_part_data)+2)),INDIRECT(ADDRESS(ROW(),COLUMN(digikey_part_data)+2)),INDIRECT(ADDRESS(ROW(),COLUMN(mouser_part_data)+2)))</f>
        <v>0.331</v>
      </c>
      <c r="I128" s="10" t="n">
        <f aca="false">IFERROR(G128*H128,"")</f>
        <v>33.1</v>
      </c>
      <c r="J128" s="0" t="n">
        <v>5799</v>
      </c>
      <c r="L128" s="10" t="n">
        <f aca="false">IFERROR(LOOKUP(IF(K128="",G128,K128),{0,1,10,100,500,1000,2500,5000,12500,25000,62500,125000},{0,0.65,0.571,0.4368,0.34608,0.2772,0.2436,0.2268,0.2184,0.21,0.20664,0.2016}),"")</f>
        <v>0.4368</v>
      </c>
      <c r="M128" s="10" t="n">
        <f aca="false">IFERROR(IF(K128="",G128,K128)*L128,"")</f>
        <v>43.68</v>
      </c>
      <c r="N128" s="0" t="s">
        <v>710</v>
      </c>
      <c r="O128" s="11" t="s">
        <v>27</v>
      </c>
      <c r="P128" s="0" t="n">
        <v>12186</v>
      </c>
      <c r="R128" s="10" t="n">
        <f aca="false">IFERROR(LOOKUP(IF(Q128="",G128,Q128),{0,1,10,100,1000,2500,10000,25000},{0,0.611,0.514,0.331,0.265,0.223,0.215,0.211}),"")</f>
        <v>0.331</v>
      </c>
      <c r="S128" s="10" t="n">
        <f aca="false">IFERROR(IF(Q128="",G128,Q128)*R128,"")</f>
        <v>33.1</v>
      </c>
      <c r="T128" s="0" t="s">
        <v>711</v>
      </c>
      <c r="U128" s="11" t="s">
        <v>27</v>
      </c>
      <c r="V128" s="0" t="n">
        <v>3083</v>
      </c>
      <c r="X128" s="10" t="n">
        <f aca="false">IFERROR(LOOKUP(IF(W128="",G128,W128),{0,1,10,100,1000,2500,5000,10000},{0,0.669,0.521,0.336,0.269,0.227,0.219,0.205}),"")</f>
        <v>0.336</v>
      </c>
      <c r="Y128" s="10" t="n">
        <f aca="false">IFERROR(IF(W128="",G128,W128)*X128,"")</f>
        <v>33.6</v>
      </c>
      <c r="Z128" s="0" t="s">
        <v>712</v>
      </c>
      <c r="AA128" s="11" t="s">
        <v>27</v>
      </c>
    </row>
    <row r="129" customFormat="false" ht="15" hidden="false" customHeight="false" outlineLevel="0" collapsed="false">
      <c r="A129" s="0" t="s">
        <v>713</v>
      </c>
      <c r="B129" s="0" t="s">
        <v>714</v>
      </c>
      <c r="C129" s="0" t="s">
        <v>56</v>
      </c>
      <c r="D129" s="0" t="s">
        <v>57</v>
      </c>
      <c r="E129" s="0" t="s">
        <v>24</v>
      </c>
      <c r="F129" s="0" t="s">
        <v>58</v>
      </c>
      <c r="G129" s="0" t="n">
        <f aca="false">BoardQty*2</f>
        <v>100</v>
      </c>
      <c r="H129" s="10" t="n">
        <f aca="true">MINA(INDIRECT(ADDRESS(ROW(),COLUMN(newark_part_data)+2)),INDIRECT(ADDRESS(ROW(),COLUMN(digikey_part_data)+2)),INDIRECT(ADDRESS(ROW(),COLUMN(mouser_part_data)+2)))</f>
        <v>0.81</v>
      </c>
      <c r="I129" s="10" t="n">
        <f aca="false">IFERROR(G129*H129,"")</f>
        <v>81</v>
      </c>
      <c r="J129" s="0" t="n">
        <v>644</v>
      </c>
      <c r="L129" s="10" t="n">
        <f aca="false">IFERROR(LOOKUP(IF(K129="",G129,K129),{0,1,10,25,50,100,250,500,1000,2500},{0,1.72,1.304,1.2084,1.0866,1.06,0.92752,0.848,0.7685,0.689}),"")</f>
        <v>1.06</v>
      </c>
      <c r="M129" s="10" t="n">
        <f aca="false">IFERROR(IF(K129="",G129,K129)*L129,"")</f>
        <v>106</v>
      </c>
      <c r="N129" s="0" t="s">
        <v>59</v>
      </c>
      <c r="O129" s="11" t="s">
        <v>27</v>
      </c>
      <c r="P129" s="0" t="n">
        <v>2159</v>
      </c>
      <c r="R129" s="10" t="n">
        <f aca="false">IFERROR(LOOKUP(IF(Q129="",G129,Q129),{0,1,25,50,100,200,500,1000,2000,5000},{0,1.25,1.12,1.07,1.01,0.952,0.907,0.88,0.789,0.711}),"")</f>
        <v>1.01</v>
      </c>
      <c r="S129" s="10" t="n">
        <f aca="false">IFERROR(IF(Q129="",G129,Q129)*R129,"")</f>
        <v>101</v>
      </c>
      <c r="T129" s="0" t="s">
        <v>60</v>
      </c>
      <c r="U129" s="11" t="s">
        <v>27</v>
      </c>
      <c r="V129" s="0" t="n">
        <v>496</v>
      </c>
      <c r="X129" s="10" t="n">
        <f aca="false">IFERROR(LOOKUP(IF(W129="",G129,W129),{0,1,50,100,250,500},{0,1.1,0.88,0.81,0.77,0.73}),"")</f>
        <v>0.81</v>
      </c>
      <c r="Y129" s="10" t="n">
        <f aca="false">IFERROR(IF(W129="",G129,W129)*X129,"")</f>
        <v>81</v>
      </c>
      <c r="Z129" s="0" t="s">
        <v>61</v>
      </c>
      <c r="AA129" s="11" t="s">
        <v>27</v>
      </c>
    </row>
    <row r="130" customFormat="false" ht="15" hidden="false" customHeight="false" outlineLevel="0" collapsed="false">
      <c r="A130" s="0" t="s">
        <v>715</v>
      </c>
      <c r="B130" s="0" t="s">
        <v>716</v>
      </c>
      <c r="C130" s="0" t="s">
        <v>717</v>
      </c>
      <c r="D130" s="0" t="s">
        <v>186</v>
      </c>
      <c r="E130" s="0" t="s">
        <v>718</v>
      </c>
      <c r="F130" s="0" t="s">
        <v>716</v>
      </c>
      <c r="G130" s="0" t="n">
        <f aca="false">BoardQty*1</f>
        <v>50</v>
      </c>
      <c r="H130" s="10" t="n">
        <f aca="true">MINA(INDIRECT(ADDRESS(ROW(),COLUMN(newark_part_data)+2)),INDIRECT(ADDRESS(ROW(),COLUMN(digikey_part_data)+2)),INDIRECT(ADDRESS(ROW(),COLUMN(mouser_part_data)+2)))</f>
        <v>0.67</v>
      </c>
      <c r="I130" s="10" t="n">
        <f aca="false">IFERROR(G130*H130,"")</f>
        <v>33.5</v>
      </c>
      <c r="J130" s="0" t="n">
        <v>3774</v>
      </c>
      <c r="L130" s="10" t="n">
        <f aca="false">IFERROR(LOOKUP(IF(K130="",G130,K130),{0,1,25,100,2500},{0,0.82,0.68,0.62,0.62}),"")</f>
        <v>0.68</v>
      </c>
      <c r="M130" s="10" t="n">
        <f aca="false">IFERROR(IF(K130="",G130,K130)*L130,"")</f>
        <v>34</v>
      </c>
      <c r="N130" s="0" t="s">
        <v>719</v>
      </c>
      <c r="O130" s="11" t="s">
        <v>27</v>
      </c>
      <c r="P130" s="0" t="n">
        <v>3756</v>
      </c>
      <c r="R130" s="10" t="n">
        <f aca="false">IFERROR(LOOKUP(IF(Q130="",G130,Q130),{0,1,10,25,100,250,500,1000},{0,0.967,0.809,0.67,0.611,0.528,0.453,0.395}),"")</f>
        <v>0.67</v>
      </c>
      <c r="S130" s="10" t="n">
        <f aca="false">IFERROR(IF(Q130="",G130,Q130)*R130,"")</f>
        <v>33.5</v>
      </c>
      <c r="T130" s="0" t="s">
        <v>720</v>
      </c>
      <c r="U130" s="11" t="s">
        <v>27</v>
      </c>
      <c r="V130" s="0" t="n">
        <v>770</v>
      </c>
      <c r="X130" s="10" t="n">
        <f aca="false">IFERROR(LOOKUP(IF(W130="",G130,W130),{0,1,25,100,500,1000},{0,1.07,0.955,0.866,0.774,0.722}),"")</f>
        <v>0.955</v>
      </c>
      <c r="Y130" s="10" t="n">
        <f aca="false">IFERROR(IF(W130="",G130,W130)*X130,"")</f>
        <v>47.75</v>
      </c>
      <c r="Z130" s="0" t="s">
        <v>721</v>
      </c>
      <c r="AA130" s="11" t="s">
        <v>27</v>
      </c>
    </row>
    <row r="131" customFormat="false" ht="15" hidden="false" customHeight="false" outlineLevel="0" collapsed="false">
      <c r="A131" s="0" t="s">
        <v>722</v>
      </c>
      <c r="B131" s="0" t="s">
        <v>723</v>
      </c>
      <c r="C131" s="0" t="s">
        <v>724</v>
      </c>
      <c r="D131" s="0" t="s">
        <v>505</v>
      </c>
      <c r="E131" s="0" t="s">
        <v>325</v>
      </c>
      <c r="F131" s="0" t="s">
        <v>723</v>
      </c>
      <c r="G131" s="0" t="n">
        <f aca="false">BoardQty*1</f>
        <v>50</v>
      </c>
      <c r="H131" s="10" t="n">
        <f aca="true">MINA(INDIRECT(ADDRESS(ROW(),COLUMN(newark_part_data)+2)),INDIRECT(ADDRESS(ROW(),COLUMN(digikey_part_data)+2)),INDIRECT(ADDRESS(ROW(),COLUMN(mouser_part_data)+2)))</f>
        <v>0.208</v>
      </c>
      <c r="I131" s="10" t="n">
        <f aca="false">IFERROR(G131*H131,"")</f>
        <v>10.4</v>
      </c>
      <c r="J131" s="0" t="n">
        <v>9036</v>
      </c>
      <c r="L131" s="10" t="n">
        <f aca="false">IFERROR(LOOKUP(IF(K131="",G131,K131),{0,1,10,25,50,100,250,500,1000,3000,6000,15000},{0,0.29,0.273,0.252,0.2432,0.2264,0.2016,0.168,0.1592,0.128,0.12,0.112}),"")</f>
        <v>0.2432</v>
      </c>
      <c r="M131" s="10" t="n">
        <f aca="false">IFERROR(IF(K131="",G131,K131)*L131,"")</f>
        <v>12.16</v>
      </c>
      <c r="N131" s="0" t="s">
        <v>725</v>
      </c>
      <c r="O131" s="11" t="s">
        <v>27</v>
      </c>
      <c r="P131" s="0" t="n">
        <v>7318</v>
      </c>
      <c r="R131" s="10" t="n">
        <f aca="false">IFERROR(LOOKUP(IF(Q131="",G131,Q131),{0,1,10,100,250,500,1000,3000,6000,9000},{0,0.3,0.252,0.234,0.208,0.173,0.166,0.132,0.124,0.116}),"")</f>
        <v>0.252</v>
      </c>
      <c r="S131" s="10" t="n">
        <f aca="false">IFERROR(IF(Q131="",G131,Q131)*R131,"")</f>
        <v>12.6</v>
      </c>
      <c r="T131" s="0" t="s">
        <v>726</v>
      </c>
      <c r="U131" s="11" t="s">
        <v>27</v>
      </c>
      <c r="V131" s="0" t="n">
        <v>394</v>
      </c>
      <c r="X131" s="10" t="n">
        <f aca="false">IFERROR(LOOKUP(IF(W131="",G131,W131),{0,1,10,100,250,500,1000},{0,0.288,0.208,0.192,0.183,0.167,0.141}),"")</f>
        <v>0.208</v>
      </c>
      <c r="Y131" s="10" t="n">
        <f aca="false">IFERROR(IF(W131="",G131,W131)*X131,"")</f>
        <v>10.4</v>
      </c>
      <c r="Z131" s="0" t="s">
        <v>727</v>
      </c>
      <c r="AA131" s="11" t="s">
        <v>27</v>
      </c>
    </row>
    <row r="132" customFormat="false" ht="15" hidden="false" customHeight="false" outlineLevel="0" collapsed="false">
      <c r="A132" s="0" t="s">
        <v>728</v>
      </c>
      <c r="B132" s="0" t="s">
        <v>111</v>
      </c>
      <c r="C132" s="0" t="s">
        <v>729</v>
      </c>
      <c r="D132" s="0" t="s">
        <v>113</v>
      </c>
      <c r="E132" s="0" t="s">
        <v>114</v>
      </c>
      <c r="F132" s="0" t="s">
        <v>115</v>
      </c>
      <c r="G132" s="0" t="n">
        <f aca="false">BoardQty*9</f>
        <v>450</v>
      </c>
      <c r="H132" s="10" t="n">
        <f aca="true">MINA(INDIRECT(ADDRESS(ROW(),COLUMN(newark_part_data)+2)),INDIRECT(ADDRESS(ROW(),COLUMN(digikey_part_data)+2)),INDIRECT(ADDRESS(ROW(),COLUMN(mouser_part_data)+2)))</f>
        <v>0.007</v>
      </c>
      <c r="I132" s="10" t="n">
        <f aca="false">IFERROR(G132*H132,"")</f>
        <v>3.15</v>
      </c>
      <c r="J132" s="0" t="n">
        <v>835271</v>
      </c>
      <c r="L132" s="10" t="n">
        <f aca="false">IFERROR(LOOKUP(IF(K132="",G132,K132),{0,1,10,50,100,250,500,1000,4000,8000,12000,28000,100000},{0,0.1,0.022,0.0118,0.0099,0.00812,0.00694,0.0054,0.00414,0.00378,0.0036,0.00342,0.00248}),"")</f>
        <v>0.00812</v>
      </c>
      <c r="M132" s="10" t="n">
        <f aca="false">IFERROR(IF(K132="",G132,K132)*L132,"")</f>
        <v>3.654</v>
      </c>
      <c r="N132" s="0" t="s">
        <v>116</v>
      </c>
      <c r="O132" s="11" t="s">
        <v>27</v>
      </c>
      <c r="P132" s="0" t="n">
        <v>454139</v>
      </c>
      <c r="R132" s="10" t="n">
        <f aca="false">IFERROR(LOOKUP(IF(Q132="",G132,Q132),{0,1,10,100,1000,4000,8000,48000},{0,0.099,0.012,0.007,0.005,0.005,0.004,0.003}),"")</f>
        <v>0.007</v>
      </c>
      <c r="S132" s="10" t="n">
        <f aca="false">IFERROR(IF(Q132="",G132,Q132)*R132,"")</f>
        <v>3.15</v>
      </c>
      <c r="T132" s="0" t="s">
        <v>117</v>
      </c>
      <c r="U132" s="11" t="s">
        <v>27</v>
      </c>
      <c r="V132" s="0" t="n">
        <v>4547</v>
      </c>
      <c r="X132" s="10" t="n">
        <f aca="false">IFERROR(LOOKUP(IF(W132="",G132,W132),{0,1,10,25,50,100,250,4000,8000},{0,0.094,0.023,0.014,0.012,0.01,0.008,0.004,0.003}),"")</f>
        <v>0.008</v>
      </c>
      <c r="Y132" s="10" t="n">
        <f aca="false">IFERROR(IF(W132="",G132,W132)*X132,"")</f>
        <v>3.6</v>
      </c>
      <c r="Z132" s="0" t="s">
        <v>118</v>
      </c>
      <c r="AA132" s="11" t="s">
        <v>27</v>
      </c>
    </row>
    <row r="133" customFormat="false" ht="15" hidden="false" customHeight="false" outlineLevel="0" collapsed="false">
      <c r="A133" s="0" t="s">
        <v>730</v>
      </c>
      <c r="B133" s="0" t="s">
        <v>731</v>
      </c>
      <c r="C133" s="0" t="s">
        <v>732</v>
      </c>
      <c r="D133" s="0" t="s">
        <v>113</v>
      </c>
      <c r="E133" s="0" t="s">
        <v>114</v>
      </c>
      <c r="F133" s="0" t="s">
        <v>733</v>
      </c>
      <c r="G133" s="0" t="n">
        <f aca="false">BoardQty*4</f>
        <v>200</v>
      </c>
      <c r="H133" s="10" t="n">
        <f aca="true">MINA(INDIRECT(ADDRESS(ROW(),COLUMN(newark_part_data)+2)),INDIRECT(ADDRESS(ROW(),COLUMN(digikey_part_data)+2)),INDIRECT(ADDRESS(ROW(),COLUMN(mouser_part_data)+2)))</f>
        <v>0.008</v>
      </c>
      <c r="I133" s="10" t="n">
        <f aca="false">IFERROR(G133*H133,"")</f>
        <v>1.6</v>
      </c>
      <c r="J133" s="0" t="n">
        <v>716395</v>
      </c>
      <c r="L133" s="10" t="n">
        <f aca="false">IFERROR(LOOKUP(IF(K133="",G133,K133),{0,1,10,50,100,250,500,1000,4000,8000,12000,28000,100000},{0,0.1,0.024,0.013,0.011,0.009,0.0077,0.006,0.0046,0.0042,0.004,0.0038,0.00275}),"")</f>
        <v>0.011</v>
      </c>
      <c r="M133" s="10" t="n">
        <f aca="false">IFERROR(IF(K133="",G133,K133)*L133,"")</f>
        <v>2.2</v>
      </c>
      <c r="N133" s="0" t="s">
        <v>734</v>
      </c>
      <c r="O133" s="11" t="s">
        <v>27</v>
      </c>
      <c r="P133" s="0" t="n">
        <v>156490</v>
      </c>
      <c r="R133" s="10" t="n">
        <f aca="false">IFERROR(LOOKUP(IF(Q133="",G133,Q133),{0,1,10,100,1000,4000,8000,48000},{0,0.099,0.013,0.008,0.005,0.005,0.004,0.003}),"")</f>
        <v>0.008</v>
      </c>
      <c r="S133" s="10" t="n">
        <f aca="false">IFERROR(IF(Q133="",G133,Q133)*R133,"")</f>
        <v>1.6</v>
      </c>
      <c r="T133" s="0" t="s">
        <v>735</v>
      </c>
      <c r="U133" s="11" t="s">
        <v>27</v>
      </c>
      <c r="V133" s="0" t="n">
        <v>121017</v>
      </c>
      <c r="X133" s="10" t="n">
        <f aca="false">IFERROR(LOOKUP(IF(W133="",G133,W133),{0,1,10,25,50,100,250,4000,8000},{0,0.1,0.024,0.015,0.012,0.01,0.009,0.005,0.003}),"")</f>
        <v>0.01</v>
      </c>
      <c r="Y133" s="10" t="n">
        <f aca="false">IFERROR(IF(W133="",G133,W133)*X133,"")</f>
        <v>2</v>
      </c>
      <c r="Z133" s="0" t="s">
        <v>736</v>
      </c>
      <c r="AA133" s="11" t="s">
        <v>27</v>
      </c>
    </row>
    <row r="134" customFormat="false" ht="15" hidden="false" customHeight="false" outlineLevel="0" collapsed="false">
      <c r="A134" s="0" t="s">
        <v>737</v>
      </c>
      <c r="B134" s="0" t="s">
        <v>738</v>
      </c>
      <c r="C134" s="0" t="s">
        <v>739</v>
      </c>
      <c r="D134" s="0" t="s">
        <v>113</v>
      </c>
      <c r="E134" s="0" t="s">
        <v>114</v>
      </c>
      <c r="F134" s="0" t="s">
        <v>740</v>
      </c>
      <c r="G134" s="0" t="n">
        <f aca="false">BoardQty*4</f>
        <v>200</v>
      </c>
      <c r="H134" s="10" t="n">
        <f aca="true">MINA(INDIRECT(ADDRESS(ROW(),COLUMN(newark_part_data)+2)),INDIRECT(ADDRESS(ROW(),COLUMN(digikey_part_data)+2)),INDIRECT(ADDRESS(ROW(),COLUMN(mouser_part_data)+2)))</f>
        <v>0.033</v>
      </c>
      <c r="I134" s="10" t="n">
        <f aca="false">IFERROR(G134*H134,"")</f>
        <v>6.6</v>
      </c>
      <c r="J134" s="0" t="n">
        <v>272622</v>
      </c>
      <c r="L134" s="10" t="n">
        <f aca="false">IFERROR(LOOKUP(IF(K134="",G134,K134),{0,1,10,50,100,250,500,1000,4000,8000,12000,28000,100000},{0,0.2,0.136,0.0826,0.0693,0.05612,0.0495,0.04208,0.033,0.03135,0.0297,0.02805,0.02228}),"")</f>
        <v>0.0693</v>
      </c>
      <c r="M134" s="10" t="n">
        <f aca="false">IFERROR(IF(K134="",G134,K134)*L134,"")</f>
        <v>13.86</v>
      </c>
      <c r="N134" s="0" t="s">
        <v>741</v>
      </c>
      <c r="O134" s="11" t="s">
        <v>27</v>
      </c>
      <c r="P134" s="0" t="n">
        <v>91344</v>
      </c>
      <c r="R134" s="10" t="n">
        <f aca="false">IFERROR(LOOKUP(IF(Q134="",G134,Q134),{0,1,10,100,4000},{0,0.197,0.082,0.07,0.07}),"")</f>
        <v>0.07</v>
      </c>
      <c r="S134" s="10" t="n">
        <f aca="false">IFERROR(IF(Q134="",G134,Q134)*R134,"")</f>
        <v>14</v>
      </c>
      <c r="T134" s="0" t="s">
        <v>742</v>
      </c>
      <c r="U134" s="11" t="s">
        <v>27</v>
      </c>
      <c r="V134" s="0" t="n">
        <v>3575</v>
      </c>
      <c r="X134" s="10" t="n">
        <f aca="false">IFERROR(LOOKUP(IF(W134="",G134,W134),{0,1,10,100,500,1000,2000,4000},{0,0.085,0.049,0.033,0.028,0.021,0.019,0.016}),"")</f>
        <v>0.033</v>
      </c>
      <c r="Y134" s="10" t="n">
        <f aca="false">IFERROR(IF(W134="",G134,W134)*X134,"")</f>
        <v>6.6</v>
      </c>
      <c r="Z134" s="0" t="s">
        <v>743</v>
      </c>
      <c r="AA134" s="11" t="s">
        <v>27</v>
      </c>
    </row>
    <row r="135" customFormat="false" ht="15" hidden="false" customHeight="false" outlineLevel="0" collapsed="false">
      <c r="A135" s="0" t="s">
        <v>744</v>
      </c>
      <c r="B135" s="0" t="s">
        <v>745</v>
      </c>
      <c r="C135" s="0" t="s">
        <v>746</v>
      </c>
      <c r="D135" s="0" t="s">
        <v>505</v>
      </c>
      <c r="E135" s="0" t="s">
        <v>325</v>
      </c>
      <c r="F135" s="0" t="s">
        <v>747</v>
      </c>
      <c r="G135" s="0" t="n">
        <f aca="false">BoardQty*2</f>
        <v>100</v>
      </c>
      <c r="H135" s="10" t="n">
        <f aca="true">MINA(INDIRECT(ADDRESS(ROW(),COLUMN(newark_part_data)+2)),INDIRECT(ADDRESS(ROW(),COLUMN(digikey_part_data)+2)),INDIRECT(ADDRESS(ROW(),COLUMN(mouser_part_data)+2)))</f>
        <v>0.214</v>
      </c>
      <c r="I135" s="10" t="n">
        <f aca="false">IFERROR(G135*H135,"")</f>
        <v>21.4</v>
      </c>
      <c r="J135" s="0" t="n">
        <v>34176</v>
      </c>
      <c r="L135" s="10" t="n">
        <f aca="false">IFERROR(LOOKUP(IF(K135="",G135,K135),{0,1,10,25,50,100,250,500,1000,3000,6000,15000},{0,0.29,0.273,0.252,0.2432,0.2264,0.2016,0.168,0.1592,0.128,0.12,0.112}),"")</f>
        <v>0.2264</v>
      </c>
      <c r="M135" s="10" t="n">
        <f aca="false">IFERROR(IF(K135="",G135,K135)*L135,"")</f>
        <v>22.64</v>
      </c>
      <c r="N135" s="0" t="s">
        <v>748</v>
      </c>
      <c r="O135" s="11" t="s">
        <v>27</v>
      </c>
      <c r="P135" s="0" t="n">
        <v>10664</v>
      </c>
      <c r="R135" s="10" t="n">
        <f aca="false">IFERROR(LOOKUP(IF(Q135="",G135,Q135),{0,1,10,100,250,500,1000,3000,6000,9000},{0,0.3,0.252,0.234,0.208,0.173,0.166,0.132,0.124,0.116}),"")</f>
        <v>0.234</v>
      </c>
      <c r="S135" s="10" t="n">
        <f aca="false">IFERROR(IF(Q135="",G135,Q135)*R135,"")</f>
        <v>23.4</v>
      </c>
      <c r="T135" s="0" t="s">
        <v>749</v>
      </c>
      <c r="U135" s="11" t="s">
        <v>27</v>
      </c>
      <c r="V135" s="0" t="n">
        <v>2384</v>
      </c>
      <c r="X135" s="10" t="n">
        <f aca="false">IFERROR(LOOKUP(IF(W135="",G135,W135),{0,1,10,100,250,500,1000},{0,0.386,0.268,0.214,0.196,0.191,0.148}),"")</f>
        <v>0.214</v>
      </c>
      <c r="Y135" s="10" t="n">
        <f aca="false">IFERROR(IF(W135="",G135,W135)*X135,"")</f>
        <v>21.4</v>
      </c>
      <c r="Z135" s="0" t="s">
        <v>750</v>
      </c>
      <c r="AA135" s="11" t="s">
        <v>27</v>
      </c>
    </row>
    <row r="136" customFormat="false" ht="15" hidden="false" customHeight="false" outlineLevel="0" collapsed="false">
      <c r="A136" s="0" t="s">
        <v>751</v>
      </c>
      <c r="B136" s="0" t="s">
        <v>752</v>
      </c>
      <c r="C136" s="0" t="s">
        <v>753</v>
      </c>
      <c r="D136" s="0" t="s">
        <v>754</v>
      </c>
      <c r="G136" s="0" t="n">
        <f aca="false">BoardQty*1</f>
        <v>50</v>
      </c>
      <c r="H136" s="10" t="n">
        <f aca="true">MINA(INDIRECT(ADDRESS(ROW(),COLUMN(newark_part_data)+2)),INDIRECT(ADDRESS(ROW(),COLUMN(digikey_part_data)+2)),INDIRECT(ADDRESS(ROW(),COLUMN(mouser_part_data)+2)))</f>
        <v>0</v>
      </c>
      <c r="I136" s="10" t="n">
        <f aca="false">IFERROR(G136*H136,"")</f>
        <v>0</v>
      </c>
    </row>
    <row r="137" customFormat="false" ht="15" hidden="false" customHeight="false" outlineLevel="0" collapsed="false">
      <c r="A137" s="0" t="s">
        <v>755</v>
      </c>
      <c r="B137" s="0" t="s">
        <v>756</v>
      </c>
      <c r="C137" s="0" t="s">
        <v>757</v>
      </c>
      <c r="D137" s="0" t="s">
        <v>48</v>
      </c>
      <c r="E137" s="0" t="s">
        <v>49</v>
      </c>
      <c r="F137" s="0" t="s">
        <v>758</v>
      </c>
      <c r="G137" s="0" t="n">
        <f aca="false">BoardQty*1</f>
        <v>50</v>
      </c>
      <c r="H137" s="10" t="n">
        <f aca="true">MINA(INDIRECT(ADDRESS(ROW(),COLUMN(newark_part_data)+2)),INDIRECT(ADDRESS(ROW(),COLUMN(digikey_part_data)+2)),INDIRECT(ADDRESS(ROW(),COLUMN(mouser_part_data)+2)))</f>
        <v>0.008</v>
      </c>
      <c r="I137" s="10" t="n">
        <f aca="false">IFERROR(G137*H137,"")</f>
        <v>0.4</v>
      </c>
      <c r="J137" s="0" t="n">
        <v>6464</v>
      </c>
      <c r="L137" s="10" t="n">
        <f aca="false">IFERROR(LOOKUP(IF(K137="",G137,K137),{0,1,10,25,100,250,500,1000,2500,5000,10000,25000,50000,125000},{0,0.1,0.011,0.008,0.0044,0.00336,0.0027,0.00198,0.00172,0.00129,0.00112,0.00099,0.0009,0.00089}),"")</f>
        <v>0.008</v>
      </c>
      <c r="M137" s="10" t="n">
        <f aca="false">IFERROR(IF(K137="",G137,K137)*L137,"")</f>
        <v>0.4</v>
      </c>
      <c r="N137" s="0" t="s">
        <v>759</v>
      </c>
      <c r="O137" s="11" t="s">
        <v>27</v>
      </c>
      <c r="P137" s="0" t="n">
        <v>51295</v>
      </c>
      <c r="R137" s="10" t="n">
        <f aca="false">IFERROR(LOOKUP(IF(Q137="",G137,Q137),{0,1,10,100,1000,5000,50000},{0,0.099,0.008,0.003,0.002,0.002,0.001}),"")</f>
        <v>0.008</v>
      </c>
      <c r="S137" s="10" t="n">
        <f aca="false">IFERROR(IF(Q137="",G137,Q137)*R137,"")</f>
        <v>0.4</v>
      </c>
      <c r="T137" s="0" t="s">
        <v>760</v>
      </c>
      <c r="U137" s="11" t="s">
        <v>27</v>
      </c>
      <c r="AA137" s="11" t="s">
        <v>27</v>
      </c>
    </row>
    <row r="138" customFormat="false" ht="15" hidden="false" customHeight="false" outlineLevel="0" collapsed="false">
      <c r="A138" s="0" t="s">
        <v>761</v>
      </c>
      <c r="B138" s="0" t="s">
        <v>111</v>
      </c>
      <c r="C138" s="0" t="s">
        <v>729</v>
      </c>
      <c r="D138" s="0" t="s">
        <v>113</v>
      </c>
      <c r="E138" s="0" t="s">
        <v>114</v>
      </c>
      <c r="F138" s="0" t="s">
        <v>115</v>
      </c>
      <c r="G138" s="0" t="n">
        <f aca="false">BoardQty*14</f>
        <v>700</v>
      </c>
      <c r="H138" s="10" t="n">
        <f aca="true">MINA(INDIRECT(ADDRESS(ROW(),COLUMN(newark_part_data)+2)),INDIRECT(ADDRESS(ROW(),COLUMN(digikey_part_data)+2)),INDIRECT(ADDRESS(ROW(),COLUMN(mouser_part_data)+2)))</f>
        <v>0.00694</v>
      </c>
      <c r="I138" s="10" t="n">
        <f aca="false">IFERROR(G138*H138,"")</f>
        <v>4.858</v>
      </c>
      <c r="J138" s="0" t="n">
        <v>835271</v>
      </c>
      <c r="L138" s="10" t="n">
        <f aca="false">IFERROR(LOOKUP(IF(K138="",G138,K138),{0,1,10,50,100,250,500,1000,4000,8000,12000,28000,100000},{0,0.1,0.022,0.0118,0.0099,0.00812,0.00694,0.0054,0.00414,0.00378,0.0036,0.00342,0.00248}),"")</f>
        <v>0.00694</v>
      </c>
      <c r="M138" s="10" t="n">
        <f aca="false">IFERROR(IF(K138="",G138,K138)*L138,"")</f>
        <v>4.858</v>
      </c>
      <c r="N138" s="0" t="s">
        <v>116</v>
      </c>
      <c r="O138" s="11" t="s">
        <v>27</v>
      </c>
      <c r="P138" s="0" t="n">
        <v>454139</v>
      </c>
      <c r="R138" s="10" t="n">
        <f aca="false">IFERROR(LOOKUP(IF(Q138="",G138,Q138),{0,1,10,100,1000,4000,8000,48000},{0,0.099,0.012,0.007,0.005,0.005,0.004,0.003}),"")</f>
        <v>0.007</v>
      </c>
      <c r="S138" s="10" t="n">
        <f aca="false">IFERROR(IF(Q138="",G138,Q138)*R138,"")</f>
        <v>4.9</v>
      </c>
      <c r="T138" s="0" t="s">
        <v>117</v>
      </c>
      <c r="U138" s="11" t="s">
        <v>27</v>
      </c>
      <c r="V138" s="0" t="n">
        <v>4547</v>
      </c>
      <c r="X138" s="10" t="n">
        <f aca="false">IFERROR(LOOKUP(IF(W138="",G138,W138),{0,1,10,25,50,100,250,4000,8000},{0,0.094,0.023,0.014,0.012,0.01,0.008,0.004,0.003}),"")</f>
        <v>0.008</v>
      </c>
      <c r="Y138" s="10" t="n">
        <f aca="false">IFERROR(IF(W138="",G138,W138)*X138,"")</f>
        <v>5.6</v>
      </c>
      <c r="Z138" s="0" t="s">
        <v>118</v>
      </c>
      <c r="AA138" s="11" t="s">
        <v>27</v>
      </c>
    </row>
    <row r="139" customFormat="false" ht="15" hidden="false" customHeight="false" outlineLevel="0" collapsed="false">
      <c r="A139" s="0" t="s">
        <v>762</v>
      </c>
      <c r="B139" s="0" t="s">
        <v>763</v>
      </c>
      <c r="C139" s="0" t="s">
        <v>764</v>
      </c>
      <c r="D139" s="0" t="s">
        <v>186</v>
      </c>
      <c r="E139" s="0" t="s">
        <v>765</v>
      </c>
      <c r="F139" s="0" t="s">
        <v>766</v>
      </c>
      <c r="G139" s="0" t="n">
        <f aca="false">BoardQty*1</f>
        <v>50</v>
      </c>
      <c r="H139" s="10" t="n">
        <f aca="true">MINA(INDIRECT(ADDRESS(ROW(),COLUMN(newark_part_data)+2)),INDIRECT(ADDRESS(ROW(),COLUMN(digikey_part_data)+2)),INDIRECT(ADDRESS(ROW(),COLUMN(mouser_part_data)+2)))</f>
        <v>0.2324</v>
      </c>
      <c r="I139" s="10" t="n">
        <f aca="false">IFERROR(G139*H139,"")</f>
        <v>11.62</v>
      </c>
      <c r="J139" s="0" t="n">
        <v>8468</v>
      </c>
      <c r="L139" s="10" t="n">
        <f aca="false">IFERROR(LOOKUP(IF(K139="",G139,K139),{0,1,10,25,50,100,250,500,1000,4000,8000,12000,28000},{0,0.26,0.252,0.2336,0.2324,0.2065,0.2038,0.20078,0.19539,0.1796,0.17562,0.17258,0.16848}),"")</f>
        <v>0.2324</v>
      </c>
      <c r="M139" s="10" t="n">
        <f aca="false">IFERROR(IF(K139="",G139,K139)*L139,"")</f>
        <v>11.62</v>
      </c>
      <c r="N139" s="0" t="s">
        <v>767</v>
      </c>
      <c r="O139" s="11" t="s">
        <v>27</v>
      </c>
      <c r="U139" s="11" t="s">
        <v>27</v>
      </c>
      <c r="V139" s="0" t="n">
        <v>957</v>
      </c>
      <c r="X139" s="10" t="n">
        <f aca="false">IFERROR(LOOKUP(IF(W139="",G139,W139),{0,1,10,100,500,1000,2500,5000,10000},{0,0.251,0.233,0.205,0.201,0.195,0.18,0.176,0.172}),"")</f>
        <v>0.233</v>
      </c>
      <c r="Y139" s="10" t="n">
        <f aca="false">IFERROR(IF(W139="",G139,W139)*X139,"")</f>
        <v>11.65</v>
      </c>
      <c r="Z139" s="0" t="s">
        <v>768</v>
      </c>
      <c r="AA139" s="11" t="s">
        <v>27</v>
      </c>
    </row>
    <row r="140" customFormat="false" ht="15" hidden="false" customHeight="false" outlineLevel="0" collapsed="false">
      <c r="A140" s="0" t="s">
        <v>769</v>
      </c>
      <c r="B140" s="0" t="s">
        <v>472</v>
      </c>
      <c r="C140" s="0" t="s">
        <v>473</v>
      </c>
      <c r="D140" s="0" t="s">
        <v>48</v>
      </c>
      <c r="E140" s="0" t="s">
        <v>49</v>
      </c>
      <c r="F140" s="0" t="s">
        <v>474</v>
      </c>
      <c r="G140" s="0" t="n">
        <f aca="false">BoardQty*2</f>
        <v>100</v>
      </c>
      <c r="H140" s="10" t="n">
        <f aca="true">MINA(INDIRECT(ADDRESS(ROW(),COLUMN(newark_part_data)+2)),INDIRECT(ADDRESS(ROW(),COLUMN(digikey_part_data)+2)),INDIRECT(ADDRESS(ROW(),COLUMN(mouser_part_data)+2)))</f>
        <v>0.003</v>
      </c>
      <c r="I140" s="10" t="n">
        <f aca="false">IFERROR(G140*H140,"")</f>
        <v>0.3</v>
      </c>
      <c r="J140" s="0" t="n">
        <v>1972025</v>
      </c>
      <c r="L140" s="10" t="n">
        <f aca="false">IFERROR(LOOKUP(IF(K140="",G140,K140),{0,1,10,25,100,250,500,1000,2500,5000,10000,25000,50000,125000},{0,0.1,0.011,0.008,0.0044,0.00336,0.0027,0.00198,0.00172,0.00129,0.00112,0.00099,0.0009,0.00089}),"")</f>
        <v>0.0044</v>
      </c>
      <c r="M140" s="10" t="n">
        <f aca="false">IFERROR(IF(K140="",G140,K140)*L140,"")</f>
        <v>0.44</v>
      </c>
      <c r="N140" s="0" t="s">
        <v>475</v>
      </c>
      <c r="O140" s="11" t="s">
        <v>27</v>
      </c>
      <c r="P140" s="0" t="n">
        <v>118645</v>
      </c>
      <c r="R140" s="10" t="n">
        <f aca="false">IFERROR(LOOKUP(IF(Q140="",G140,Q140),{0,1,10,100,1000,5000,50000},{0,0.099,0.008,0.003,0.002,0.002,0.001}),"")</f>
        <v>0.003</v>
      </c>
      <c r="S140" s="10" t="n">
        <f aca="false">IFERROR(IF(Q140="",G140,Q140)*R140,"")</f>
        <v>0.3</v>
      </c>
      <c r="T140" s="0" t="s">
        <v>476</v>
      </c>
      <c r="U140" s="11" t="s">
        <v>27</v>
      </c>
      <c r="V140" s="0" t="n">
        <v>2570</v>
      </c>
      <c r="X140" s="10" t="n">
        <f aca="false">IFERROR(LOOKUP(IF(W140="",G140,W140),{0,1,10,25,100,250,1000,5000,10000},{0,0.06,0.01,0.007,0.004,0.003,0.002,0.002,0.001}),"")</f>
        <v>0.004</v>
      </c>
      <c r="Y140" s="10" t="n">
        <f aca="false">IFERROR(IF(W140="",G140,W140)*X140,"")</f>
        <v>0.4</v>
      </c>
      <c r="Z140" s="0" t="s">
        <v>477</v>
      </c>
      <c r="AA140" s="11" t="s">
        <v>27</v>
      </c>
    </row>
    <row r="141" customFormat="false" ht="15" hidden="false" customHeight="false" outlineLevel="0" collapsed="false">
      <c r="A141" s="0" t="s">
        <v>770</v>
      </c>
      <c r="B141" s="0" t="s">
        <v>242</v>
      </c>
      <c r="C141" s="0" t="s">
        <v>771</v>
      </c>
      <c r="D141" s="0" t="s">
        <v>244</v>
      </c>
      <c r="E141" s="0" t="s">
        <v>114</v>
      </c>
      <c r="F141" s="0" t="s">
        <v>245</v>
      </c>
      <c r="G141" s="0" t="n">
        <f aca="false">BoardQty*1</f>
        <v>50</v>
      </c>
      <c r="H141" s="10" t="n">
        <f aca="true">MINA(INDIRECT(ADDRESS(ROW(),COLUMN(newark_part_data)+2)),INDIRECT(ADDRESS(ROW(),COLUMN(digikey_part_data)+2)),INDIRECT(ADDRESS(ROW(),COLUMN(mouser_part_data)+2)))</f>
        <v>0.204</v>
      </c>
      <c r="I141" s="10" t="n">
        <f aca="false">IFERROR(G141*H141,"")</f>
        <v>10.2</v>
      </c>
      <c r="P141" s="0" t="n">
        <v>17233</v>
      </c>
      <c r="R141" s="10" t="n">
        <f aca="false">IFERROR(LOOKUP(IF(Q141="",G141,Q141),{0,1,10,100,500,1000,5000,9000,45000},{0,0.346,0.204,0.134,0.099,0.081,0.072,0.059,0.056}),"")</f>
        <v>0.204</v>
      </c>
      <c r="S141" s="10" t="n">
        <f aca="false">IFERROR(IF(Q141="",G141,Q141)*R141,"")</f>
        <v>10.2</v>
      </c>
      <c r="T141" s="0" t="s">
        <v>246</v>
      </c>
      <c r="U141" s="11" t="s">
        <v>27</v>
      </c>
      <c r="AA141" s="11" t="s">
        <v>27</v>
      </c>
    </row>
    <row r="142" customFormat="false" ht="15" hidden="false" customHeight="false" outlineLevel="0" collapsed="false">
      <c r="A142" s="0" t="s">
        <v>772</v>
      </c>
      <c r="B142" s="0" t="s">
        <v>773</v>
      </c>
      <c r="C142" s="0" t="s">
        <v>774</v>
      </c>
      <c r="D142" s="0" t="s">
        <v>775</v>
      </c>
      <c r="E142" s="0" t="s">
        <v>776</v>
      </c>
      <c r="F142" s="0" t="s">
        <v>777</v>
      </c>
      <c r="G142" s="0" t="n">
        <f aca="false">BoardQty*1</f>
        <v>50</v>
      </c>
      <c r="H142" s="10" t="n">
        <f aca="true">MINA(INDIRECT(ADDRESS(ROW(),COLUMN(newark_part_data)+2)),INDIRECT(ADDRESS(ROW(),COLUMN(digikey_part_data)+2)),INDIRECT(ADDRESS(ROW(),COLUMN(mouser_part_data)+2)))</f>
        <v>12.752</v>
      </c>
      <c r="I142" s="10" t="n">
        <f aca="false">IFERROR(G142*H142,"")</f>
        <v>637.6</v>
      </c>
      <c r="J142" s="0" t="n">
        <v>118</v>
      </c>
      <c r="L142" s="10" t="n">
        <f aca="false">IFERROR(LOOKUP(IF(K142="",G142,K142),{0,1,10,25,100},{0,14.35,13.549,12.752,9.564}),"")</f>
        <v>12.752</v>
      </c>
      <c r="M142" s="10" t="n">
        <f aca="false">IFERROR(IF(K142="",G142,K142)*L142,"")</f>
        <v>637.6</v>
      </c>
      <c r="N142" s="0" t="s">
        <v>778</v>
      </c>
      <c r="O142" s="11" t="s">
        <v>27</v>
      </c>
      <c r="P142" s="0" t="n">
        <v>46</v>
      </c>
      <c r="R142" s="10" t="n">
        <f aca="false">IFERROR(LOOKUP(IF(Q142="",G142,Q142),{0,1,2,5,10,25,50,100,250},{0,44.49,43.29,42.82,41.61,38.48,37.28,36.08,34.63}),"")</f>
        <v>37.28</v>
      </c>
      <c r="S142" s="10" t="n">
        <f aca="false">IFERROR(IF(Q142="",G142,Q142)*R142,"")</f>
        <v>1864</v>
      </c>
      <c r="T142" s="0" t="s">
        <v>779</v>
      </c>
      <c r="U142" s="11" t="s">
        <v>27</v>
      </c>
      <c r="V142" s="0" t="n">
        <v>55</v>
      </c>
      <c r="X142" s="10" t="n">
        <f aca="false">IFERROR(LOOKUP(IF(W142="",G142,W142),{0,1,10,25,100},{0,43.89,41.45,39.01,29.26}),"")</f>
        <v>39.01</v>
      </c>
      <c r="Y142" s="10" t="n">
        <f aca="false">IFERROR(IF(W142="",G142,W142)*X142,"")</f>
        <v>1950.5</v>
      </c>
      <c r="Z142" s="0" t="s">
        <v>780</v>
      </c>
      <c r="AA142" s="11" t="s">
        <v>27</v>
      </c>
    </row>
    <row r="143" customFormat="false" ht="15" hidden="false" customHeight="false" outlineLevel="0" collapsed="false">
      <c r="A143" s="0" t="s">
        <v>781</v>
      </c>
      <c r="B143" s="0" t="s">
        <v>782</v>
      </c>
      <c r="C143" s="0" t="s">
        <v>56</v>
      </c>
      <c r="D143" s="0" t="s">
        <v>57</v>
      </c>
      <c r="E143" s="0" t="s">
        <v>24</v>
      </c>
      <c r="F143" s="0" t="s">
        <v>58</v>
      </c>
      <c r="G143" s="0" t="n">
        <f aca="false">BoardQty*1</f>
        <v>50</v>
      </c>
      <c r="H143" s="10" t="n">
        <f aca="true">MINA(INDIRECT(ADDRESS(ROW(),COLUMN(newark_part_data)+2)),INDIRECT(ADDRESS(ROW(),COLUMN(digikey_part_data)+2)),INDIRECT(ADDRESS(ROW(),COLUMN(mouser_part_data)+2)))</f>
        <v>0.88</v>
      </c>
      <c r="I143" s="10" t="n">
        <f aca="false">IFERROR(G143*H143,"")</f>
        <v>44</v>
      </c>
      <c r="J143" s="0" t="n">
        <v>644</v>
      </c>
      <c r="L143" s="10" t="n">
        <f aca="false">IFERROR(LOOKUP(IF(K143="",G143,K143),{0,1,10,25,50,100,250,500,1000,2500},{0,1.72,1.304,1.2084,1.0866,1.06,0.92752,0.848,0.7685,0.689}),"")</f>
        <v>1.0866</v>
      </c>
      <c r="M143" s="10" t="n">
        <f aca="false">IFERROR(IF(K143="",G143,K143)*L143,"")</f>
        <v>54.33</v>
      </c>
      <c r="N143" s="0" t="s">
        <v>59</v>
      </c>
      <c r="O143" s="11" t="s">
        <v>27</v>
      </c>
      <c r="P143" s="0" t="n">
        <v>2159</v>
      </c>
      <c r="R143" s="10" t="n">
        <f aca="false">IFERROR(LOOKUP(IF(Q143="",G143,Q143),{0,1,25,50,100,200,500,1000,2000,5000},{0,1.25,1.12,1.07,1.01,0.952,0.907,0.88,0.789,0.711}),"")</f>
        <v>1.07</v>
      </c>
      <c r="S143" s="10" t="n">
        <f aca="false">IFERROR(IF(Q143="",G143,Q143)*R143,"")</f>
        <v>53.5</v>
      </c>
      <c r="T143" s="0" t="s">
        <v>60</v>
      </c>
      <c r="U143" s="11" t="s">
        <v>27</v>
      </c>
      <c r="V143" s="0" t="n">
        <v>496</v>
      </c>
      <c r="X143" s="10" t="n">
        <f aca="false">IFERROR(LOOKUP(IF(W143="",G143,W143),{0,1,50,100,250,500},{0,1.1,0.88,0.81,0.77,0.73}),"")</f>
        <v>0.88</v>
      </c>
      <c r="Y143" s="10" t="n">
        <f aca="false">IFERROR(IF(W143="",G143,W143)*X143,"")</f>
        <v>44</v>
      </c>
      <c r="Z143" s="0" t="s">
        <v>61</v>
      </c>
      <c r="AA143" s="11" t="s">
        <v>27</v>
      </c>
    </row>
    <row r="144" customFormat="false" ht="15" hidden="false" customHeight="false" outlineLevel="0" collapsed="false">
      <c r="A144" s="0" t="s">
        <v>783</v>
      </c>
      <c r="B144" s="0" t="s">
        <v>784</v>
      </c>
      <c r="C144" s="0" t="s">
        <v>785</v>
      </c>
      <c r="D144" s="0" t="s">
        <v>505</v>
      </c>
      <c r="E144" s="0" t="s">
        <v>325</v>
      </c>
      <c r="F144" s="0" t="s">
        <v>784</v>
      </c>
      <c r="G144" s="0" t="n">
        <f aca="false">BoardQty*1</f>
        <v>50</v>
      </c>
      <c r="H144" s="10" t="n">
        <f aca="true">MINA(INDIRECT(ADDRESS(ROW(),COLUMN(newark_part_data)+2)),INDIRECT(ADDRESS(ROW(),COLUMN(digikey_part_data)+2)),INDIRECT(ADDRESS(ROW(),COLUMN(mouser_part_data)+2)))</f>
        <v>0.2432</v>
      </c>
      <c r="I144" s="10" t="n">
        <f aca="false">IFERROR(G144*H144,"")</f>
        <v>12.16</v>
      </c>
      <c r="J144" s="0" t="n">
        <v>25998</v>
      </c>
      <c r="L144" s="10" t="n">
        <f aca="false">IFERROR(LOOKUP(IF(K144="",G144,K144),{0,1,10,25,50,100,250,500,1000,3000,6000,15000},{0,0.29,0.273,0.252,0.2432,0.2264,0.2016,0.168,0.1592,0.128,0.12,0.112}),"")</f>
        <v>0.2432</v>
      </c>
      <c r="M144" s="10" t="n">
        <f aca="false">IFERROR(IF(K144="",G144,K144)*L144,"")</f>
        <v>12.16</v>
      </c>
      <c r="N144" s="0" t="s">
        <v>786</v>
      </c>
      <c r="O144" s="11" t="s">
        <v>27</v>
      </c>
      <c r="P144" s="0" t="n">
        <v>18078</v>
      </c>
      <c r="R144" s="10" t="n">
        <f aca="false">IFERROR(LOOKUP(IF(Q144="",G144,Q144),{0,1,10,100,250,500,1000,3000,6000,9000},{0,0.3,0.252,0.234,0.208,0.173,0.166,0.132,0.124,0.116}),"")</f>
        <v>0.252</v>
      </c>
      <c r="S144" s="10" t="n">
        <f aca="false">IFERROR(IF(Q144="",G144,Q144)*R144,"")</f>
        <v>12.6</v>
      </c>
      <c r="T144" s="0" t="s">
        <v>787</v>
      </c>
      <c r="U144" s="11" t="s">
        <v>27</v>
      </c>
      <c r="V144" s="0" t="n">
        <v>11161</v>
      </c>
      <c r="X144" s="10" t="n">
        <f aca="false">IFERROR(LOOKUP(IF(W144="",G144,W144),{0,1,10,100,250,500,1000},{0,0.386,0.268,0.214,0.196,0.191,0.148}),"")</f>
        <v>0.268</v>
      </c>
      <c r="Y144" s="10" t="n">
        <f aca="false">IFERROR(IF(W144="",G144,W144)*X144,"")</f>
        <v>13.4</v>
      </c>
      <c r="Z144" s="0" t="s">
        <v>788</v>
      </c>
      <c r="AA144" s="11" t="s">
        <v>27</v>
      </c>
    </row>
    <row r="145" customFormat="false" ht="15" hidden="false" customHeight="false" outlineLevel="0" collapsed="false">
      <c r="A145" s="0" t="s">
        <v>789</v>
      </c>
      <c r="B145" s="0" t="s">
        <v>790</v>
      </c>
      <c r="C145" s="0" t="s">
        <v>791</v>
      </c>
      <c r="D145" s="0" t="s">
        <v>792</v>
      </c>
      <c r="E145" s="0" t="s">
        <v>49</v>
      </c>
      <c r="F145" s="0" t="s">
        <v>793</v>
      </c>
      <c r="G145" s="0" t="n">
        <f aca="false">BoardQty*8</f>
        <v>400</v>
      </c>
      <c r="H145" s="10" t="n">
        <f aca="true">MINA(INDIRECT(ADDRESS(ROW(),COLUMN(newark_part_data)+2)),INDIRECT(ADDRESS(ROW(),COLUMN(digikey_part_data)+2)),INDIRECT(ADDRESS(ROW(),COLUMN(mouser_part_data)+2)))</f>
        <v>0.007</v>
      </c>
      <c r="I145" s="10" t="n">
        <f aca="false">IFERROR(G145*H145,"")</f>
        <v>2.8</v>
      </c>
      <c r="J145" s="0" t="n">
        <v>307111</v>
      </c>
      <c r="L145" s="10" t="n">
        <f aca="false">IFERROR(LOOKUP(IF(K145="",G145,K145),{0,1,10,25,100,250,500,1000,2500,5000,10000,25000,50000,125000},{0,0.1,0.024,0.0176,0.0099,0.00752,0.00602,0.00443,0.00384,0.00289,0.00251,0.0022,0.00202,0.00198}),"")</f>
        <v>0.00752</v>
      </c>
      <c r="M145" s="10" t="n">
        <f aca="false">IFERROR(IF(K145="",G145,K145)*L145,"")</f>
        <v>3.008</v>
      </c>
      <c r="N145" s="0" t="s">
        <v>794</v>
      </c>
      <c r="O145" s="11" t="s">
        <v>27</v>
      </c>
      <c r="P145" s="0" t="n">
        <v>60339</v>
      </c>
      <c r="R145" s="10" t="n">
        <f aca="false">IFERROR(LOOKUP(IF(Q145="",G145,Q145),{0,1,10,100,1000,5000},{0,0.099,0.017,0.007,0.004,0.003}),"")</f>
        <v>0.007</v>
      </c>
      <c r="S145" s="10" t="n">
        <f aca="false">IFERROR(IF(Q145="",G145,Q145)*R145,"")</f>
        <v>2.8</v>
      </c>
      <c r="T145" s="0" t="s">
        <v>795</v>
      </c>
      <c r="U145" s="11" t="s">
        <v>27</v>
      </c>
      <c r="V145" s="0" t="n">
        <v>5068</v>
      </c>
      <c r="X145" s="10" t="n">
        <f aca="false">IFERROR(LOOKUP(IF(W145="",G145,W145),{0,1,10,25,100,250,500,5000,10000},{0,0.094,0.023,0.016,0.009,0.007,0.006,0.003,0.002}),"")</f>
        <v>0.007</v>
      </c>
      <c r="Y145" s="10" t="n">
        <f aca="false">IFERROR(IF(W145="",G145,W145)*X145,"")</f>
        <v>2.8</v>
      </c>
      <c r="Z145" s="0" t="s">
        <v>796</v>
      </c>
      <c r="AA145" s="11" t="s">
        <v>27</v>
      </c>
    </row>
    <row r="146" customFormat="false" ht="15" hidden="false" customHeight="false" outlineLevel="0" collapsed="false">
      <c r="A146" s="0" t="s">
        <v>797</v>
      </c>
      <c r="B146" s="0" t="s">
        <v>798</v>
      </c>
      <c r="C146" s="0" t="s">
        <v>799</v>
      </c>
      <c r="D146" s="0" t="s">
        <v>106</v>
      </c>
      <c r="E146" s="0" t="s">
        <v>107</v>
      </c>
      <c r="F146" s="0" t="s">
        <v>800</v>
      </c>
      <c r="G146" s="0" t="n">
        <f aca="false">BoardQty*1</f>
        <v>50</v>
      </c>
      <c r="H146" s="10" t="n">
        <f aca="true">MINA(INDIRECT(ADDRESS(ROW(),COLUMN(newark_part_data)+2)),INDIRECT(ADDRESS(ROW(),COLUMN(digikey_part_data)+2)),INDIRECT(ADDRESS(ROW(),COLUMN(mouser_part_data)+2)))</f>
        <v>0.2276</v>
      </c>
      <c r="I146" s="10" t="n">
        <f aca="false">IFERROR(G146*H146,"")</f>
        <v>11.38</v>
      </c>
      <c r="J146" s="0" t="n">
        <v>0</v>
      </c>
      <c r="L146" s="10" t="n">
        <f aca="false">IFERROR(LOOKUP(IF(K146="",G146,K146),{0,1,10,25,100,250,500,1000,2000,6000,10000,50000,100000},{0,0.41,0.297,0.2276,0.1485,0.10892,0.0924,0.0759,0.06,0.054,0.048,0.0405,0.039}),"")</f>
        <v>0.2276</v>
      </c>
      <c r="M146" s="10" t="n">
        <f aca="false">IFERROR(IF(K146="",G146,K146)*L146,"")</f>
        <v>11.38</v>
      </c>
      <c r="N146" s="0" t="s">
        <v>801</v>
      </c>
      <c r="O146" s="11" t="s">
        <v>27</v>
      </c>
    </row>
    <row r="147" customFormat="false" ht="15" hidden="false" customHeight="false" outlineLevel="0" collapsed="false">
      <c r="A147" s="0" t="s">
        <v>802</v>
      </c>
      <c r="B147" s="0" t="s">
        <v>803</v>
      </c>
      <c r="C147" s="0" t="s">
        <v>249</v>
      </c>
      <c r="D147" s="0" t="s">
        <v>23</v>
      </c>
      <c r="E147" s="0" t="s">
        <v>24</v>
      </c>
      <c r="F147" s="0" t="s">
        <v>25</v>
      </c>
      <c r="G147" s="0" t="n">
        <f aca="false">BoardQty*1</f>
        <v>50</v>
      </c>
      <c r="H147" s="10" t="n">
        <f aca="true">MINA(INDIRECT(ADDRESS(ROW(),COLUMN(newark_part_data)+2)),INDIRECT(ADDRESS(ROW(),COLUMN(digikey_part_data)+2)),INDIRECT(ADDRESS(ROW(),COLUMN(mouser_part_data)+2)))</f>
        <v>0.542</v>
      </c>
      <c r="I147" s="10" t="n">
        <f aca="false">IFERROR(G147*H147,"")</f>
        <v>27.1</v>
      </c>
      <c r="J147" s="0" t="n">
        <v>1359</v>
      </c>
      <c r="L147" s="10" t="n">
        <f aca="false">IFERROR(LOOKUP(IF(K147="",G147,K147),{0,1,10,25,50,100,250,500,1000,2500},{0,1.05,0.737,0.6872,0.6238,0.6211,0.52448,0.49688,0.44166,0.36713}),"")</f>
        <v>0.6238</v>
      </c>
      <c r="M147" s="10" t="n">
        <f aca="false">IFERROR(IF(K147="",G147,K147)*L147,"")</f>
        <v>31.19</v>
      </c>
      <c r="N147" s="0" t="s">
        <v>26</v>
      </c>
      <c r="O147" s="11" t="s">
        <v>27</v>
      </c>
      <c r="P147" s="0" t="n">
        <v>3139</v>
      </c>
      <c r="R147" s="10" t="n">
        <f aca="false">IFERROR(LOOKUP(IF(Q147="",G147,Q147),{0,1,25,50,100,200,500,1000,2000,5000},{0,0.807,0.748,0.59,0.553,0.5,0.484,0.48,0.399,0.326}),"")</f>
        <v>0.59</v>
      </c>
      <c r="S147" s="10" t="n">
        <f aca="false">IFERROR(IF(Q147="",G147,Q147)*R147,"")</f>
        <v>29.5</v>
      </c>
      <c r="T147" s="0" t="s">
        <v>28</v>
      </c>
      <c r="U147" s="11" t="s">
        <v>27</v>
      </c>
      <c r="V147" s="0" t="n">
        <v>1845</v>
      </c>
      <c r="X147" s="10" t="n">
        <f aca="false">IFERROR(LOOKUP(IF(W147="",G147,W147),{0,1,25,50,100,200,500,1000,2000},{0,0.75,0.687,0.542,0.508,0.46,0.445,0.441,0.367}),"")</f>
        <v>0.542</v>
      </c>
      <c r="Y147" s="10" t="n">
        <f aca="false">IFERROR(IF(W147="",G147,W147)*X147,"")</f>
        <v>27.1</v>
      </c>
      <c r="Z147" s="0" t="s">
        <v>29</v>
      </c>
      <c r="AA147" s="11" t="s">
        <v>27</v>
      </c>
    </row>
    <row r="148" customFormat="false" ht="15" hidden="false" customHeight="false" outlineLevel="0" collapsed="false">
      <c r="A148" s="0" t="s">
        <v>804</v>
      </c>
      <c r="B148" s="0" t="s">
        <v>228</v>
      </c>
      <c r="C148" s="0" t="s">
        <v>229</v>
      </c>
      <c r="D148" s="0" t="s">
        <v>33</v>
      </c>
      <c r="E148" s="0" t="s">
        <v>34</v>
      </c>
      <c r="F148" s="0" t="s">
        <v>230</v>
      </c>
      <c r="G148" s="0" t="n">
        <f aca="false">BoardQty*30</f>
        <v>1500</v>
      </c>
      <c r="H148" s="10" t="n">
        <f aca="true">MINA(INDIRECT(ADDRESS(ROW(),COLUMN(newark_part_data)+2)),INDIRECT(ADDRESS(ROW(),COLUMN(digikey_part_data)+2)),INDIRECT(ADDRESS(ROW(),COLUMN(mouser_part_data)+2)))</f>
        <v>0.053</v>
      </c>
      <c r="I148" s="10" t="n">
        <f aca="false">IFERROR(G148*H148,"")</f>
        <v>79.5</v>
      </c>
      <c r="J148" s="0" t="n">
        <v>33101</v>
      </c>
      <c r="L148" s="10" t="n">
        <f aca="false">IFERROR(LOOKUP(IF(K148="",G148,K148),{0,1,10,100,500,1000,3000,6000,15000,30000,75000,150000},{0,0.28,0.229,0.1215,0.0799,0.05444,0.04761,0.0414,0.03519,0.03312,0.03105,0.02691}),"")</f>
        <v>0.05444</v>
      </c>
      <c r="M148" s="10" t="n">
        <f aca="false">IFERROR(IF(K148="",G148,K148)*L148,"")</f>
        <v>81.66</v>
      </c>
      <c r="N148" s="0" t="s">
        <v>231</v>
      </c>
      <c r="O148" s="11" t="s">
        <v>27</v>
      </c>
      <c r="P148" s="0" t="n">
        <v>41373</v>
      </c>
      <c r="R148" s="10" t="n">
        <f aca="false">IFERROR(LOOKUP(IF(Q148="",G148,Q148),{0,1,10,100,1000,3000,24000,45000,99000},{0,0.286,0.19,0.078,0.053,0.04,0.033,0.031,0.027}),"")</f>
        <v>0.053</v>
      </c>
      <c r="S148" s="10" t="n">
        <f aca="false">IFERROR(IF(Q148="",G148,Q148)*R148,"")</f>
        <v>79.5</v>
      </c>
      <c r="T148" s="0" t="s">
        <v>232</v>
      </c>
      <c r="U148" s="11" t="s">
        <v>27</v>
      </c>
      <c r="V148" s="0" t="n">
        <v>2090</v>
      </c>
      <c r="X148" s="10" t="n">
        <f aca="false">IFERROR(LOOKUP(IF(W148="",G148,W148),{0,1,10,100,1000,3000,24000,45000},{0,0.288,0.192,0.081,0.055,0.042,0.034,0.028}),"")</f>
        <v>0.055</v>
      </c>
      <c r="Y148" s="10" t="n">
        <f aca="false">IFERROR(IF(W148="",G148,W148)*X148,"")</f>
        <v>82.5</v>
      </c>
      <c r="Z148" s="0" t="s">
        <v>233</v>
      </c>
      <c r="AA148" s="11" t="s">
        <v>27</v>
      </c>
    </row>
    <row r="149" customFormat="false" ht="15" hidden="false" customHeight="false" outlineLevel="0" collapsed="false">
      <c r="A149" s="0" t="s">
        <v>805</v>
      </c>
      <c r="B149" s="0" t="s">
        <v>806</v>
      </c>
      <c r="C149" s="0" t="s">
        <v>807</v>
      </c>
      <c r="D149" s="0" t="s">
        <v>48</v>
      </c>
      <c r="E149" s="0" t="s">
        <v>49</v>
      </c>
      <c r="F149" s="0" t="s">
        <v>808</v>
      </c>
      <c r="G149" s="0" t="n">
        <f aca="false">BoardQty*1</f>
        <v>50</v>
      </c>
      <c r="H149" s="10" t="n">
        <f aca="true">MINA(INDIRECT(ADDRESS(ROW(),COLUMN(newark_part_data)+2)),INDIRECT(ADDRESS(ROW(),COLUMN(digikey_part_data)+2)),INDIRECT(ADDRESS(ROW(),COLUMN(mouser_part_data)+2)))</f>
        <v>0.007</v>
      </c>
      <c r="I149" s="10" t="n">
        <f aca="false">IFERROR(G149*H149,"")</f>
        <v>0.35</v>
      </c>
      <c r="J149" s="0" t="n">
        <v>486890</v>
      </c>
      <c r="L149" s="10" t="n">
        <f aca="false">IFERROR(LOOKUP(IF(K149="",G149,K149),{0,1,10,25,100,250,500,1000,2500,5000,10000,25000,50000,125000},{0,0.1,0.011,0.008,0.0044,0.00336,0.0027,0.00198,0.00172,0.00129,0.00112,0.00099,0.0009,0.00089}),"")</f>
        <v>0.008</v>
      </c>
      <c r="M149" s="10" t="n">
        <f aca="false">IFERROR(IF(K149="",G149,K149)*L149,"")</f>
        <v>0.4</v>
      </c>
      <c r="N149" s="0" t="s">
        <v>809</v>
      </c>
      <c r="O149" s="11" t="s">
        <v>27</v>
      </c>
      <c r="P149" s="0" t="n">
        <v>32479</v>
      </c>
      <c r="R149" s="10" t="n">
        <f aca="false">IFERROR(LOOKUP(IF(Q149="",G149,Q149),{0,1,10,100,1000,5000,50000},{0,0.099,0.008,0.003,0.002,0.002,0.001}),"")</f>
        <v>0.008</v>
      </c>
      <c r="S149" s="10" t="n">
        <f aca="false">IFERROR(IF(Q149="",G149,Q149)*R149,"")</f>
        <v>0.4</v>
      </c>
      <c r="T149" s="0" t="s">
        <v>810</v>
      </c>
      <c r="U149" s="11" t="s">
        <v>27</v>
      </c>
      <c r="V149" s="0" t="n">
        <v>14311</v>
      </c>
      <c r="X149" s="10" t="n">
        <f aca="false">IFERROR(LOOKUP(IF(W149="",G149,W149),{0,1,10,25,100,250,1000,5000,10000},{0,0.06,0.01,0.007,0.004,0.003,0.002,0.002,0.001}),"")</f>
        <v>0.007</v>
      </c>
      <c r="Y149" s="10" t="n">
        <f aca="false">IFERROR(IF(W149="",G149,W149)*X149,"")</f>
        <v>0.35</v>
      </c>
      <c r="Z149" s="0" t="s">
        <v>811</v>
      </c>
      <c r="AA149" s="11" t="s">
        <v>27</v>
      </c>
    </row>
    <row r="150" customFormat="false" ht="15" hidden="false" customHeight="false" outlineLevel="0" collapsed="false">
      <c r="A150" s="0" t="s">
        <v>812</v>
      </c>
      <c r="B150" s="0" t="s">
        <v>813</v>
      </c>
      <c r="C150" s="0" t="s">
        <v>814</v>
      </c>
      <c r="D150" s="0" t="s">
        <v>815</v>
      </c>
      <c r="E150" s="0" t="s">
        <v>253</v>
      </c>
      <c r="F150" s="0" t="s">
        <v>813</v>
      </c>
      <c r="G150" s="0" t="n">
        <f aca="false">BoardQty*1</f>
        <v>50</v>
      </c>
      <c r="H150" s="10" t="n">
        <f aca="true">MINA(INDIRECT(ADDRESS(ROW(),COLUMN(newark_part_data)+2)),INDIRECT(ADDRESS(ROW(),COLUMN(digikey_part_data)+2)),INDIRECT(ADDRESS(ROW(),COLUMN(mouser_part_data)+2)))</f>
        <v>0.264</v>
      </c>
      <c r="I150" s="10" t="n">
        <f aca="false">IFERROR(G150*H150,"")</f>
        <v>13.2</v>
      </c>
      <c r="J150" s="0" t="n">
        <v>6119</v>
      </c>
      <c r="L150" s="10" t="n">
        <f aca="false">IFERROR(LOOKUP(IF(K150="",G150,K150),{0,1,10,100,500,1000,4000,8000,12000,28000,100000,200000},{0,0.36,0.292,0.199,0.14894,0.11156,0.0995,0.09347,0.08744,0.0802,0.07538,0.07417}),"")</f>
        <v>0.292</v>
      </c>
      <c r="M150" s="10" t="n">
        <f aca="false">IFERROR(IF(K150="",G150,K150)*L150,"")</f>
        <v>14.6</v>
      </c>
      <c r="N150" s="0" t="s">
        <v>816</v>
      </c>
      <c r="O150" s="11" t="s">
        <v>27</v>
      </c>
      <c r="P150" s="0" t="n">
        <v>6918</v>
      </c>
      <c r="R150" s="10" t="n">
        <f aca="false">IFERROR(LOOKUP(IF(Q150="",G150,Q150),{0,1,10,100,1000,4000,8000,24000,48000,100000},{0,0.355,0.264,0.147,0.108,0.092,0.086,0.078,0.076,0.075}),"")</f>
        <v>0.264</v>
      </c>
      <c r="S150" s="10" t="n">
        <f aca="false">IFERROR(IF(Q150="",G150,Q150)*R150,"")</f>
        <v>13.2</v>
      </c>
      <c r="T150" s="0" t="s">
        <v>817</v>
      </c>
      <c r="U150" s="11" t="s">
        <v>27</v>
      </c>
      <c r="AA150" s="11" t="s">
        <v>27</v>
      </c>
    </row>
    <row r="151" customFormat="false" ht="15" hidden="false" customHeight="false" outlineLevel="0" collapsed="false">
      <c r="A151" s="0" t="s">
        <v>818</v>
      </c>
      <c r="B151" s="0" t="s">
        <v>819</v>
      </c>
      <c r="C151" s="0" t="s">
        <v>820</v>
      </c>
      <c r="D151" s="0" t="s">
        <v>48</v>
      </c>
      <c r="E151" s="0" t="s">
        <v>49</v>
      </c>
      <c r="F151" s="0" t="s">
        <v>821</v>
      </c>
      <c r="G151" s="0" t="n">
        <f aca="false">BoardQty*2</f>
        <v>100</v>
      </c>
      <c r="H151" s="10" t="n">
        <f aca="true">MINA(INDIRECT(ADDRESS(ROW(),COLUMN(newark_part_data)+2)),INDIRECT(ADDRESS(ROW(),COLUMN(digikey_part_data)+2)),INDIRECT(ADDRESS(ROW(),COLUMN(mouser_part_data)+2)))</f>
        <v>0.003</v>
      </c>
      <c r="I151" s="10" t="n">
        <f aca="false">IFERROR(G151*H151,"")</f>
        <v>0.3</v>
      </c>
      <c r="J151" s="0" t="n">
        <v>2286580</v>
      </c>
      <c r="L151" s="10" t="n">
        <f aca="false">IFERROR(LOOKUP(IF(K151="",G151,K151),{0,1,10,25,100,250,500,1000,2500,5000,10000,25000,50000,125000},{0,0.1,0.011,0.008,0.0044,0.00336,0.0027,0.00198,0.00172,0.00129,0.00112,0.00099,0.0009,0.00089}),"")</f>
        <v>0.0044</v>
      </c>
      <c r="M151" s="10" t="n">
        <f aca="false">IFERROR(IF(K151="",G151,K151)*L151,"")</f>
        <v>0.44</v>
      </c>
      <c r="N151" s="0" t="s">
        <v>822</v>
      </c>
      <c r="O151" s="11" t="s">
        <v>27</v>
      </c>
      <c r="P151" s="0" t="n">
        <v>79056</v>
      </c>
      <c r="R151" s="10" t="n">
        <f aca="false">IFERROR(LOOKUP(IF(Q151="",G151,Q151),{0,1,10,100,1000,5000,50000},{0,0.099,0.008,0.003,0.002,0.002,0.001}),"")</f>
        <v>0.003</v>
      </c>
      <c r="S151" s="10" t="n">
        <f aca="false">IFERROR(IF(Q151="",G151,Q151)*R151,"")</f>
        <v>0.3</v>
      </c>
      <c r="T151" s="0" t="s">
        <v>823</v>
      </c>
      <c r="U151" s="11" t="s">
        <v>27</v>
      </c>
      <c r="V151" s="0" t="n">
        <v>39582</v>
      </c>
      <c r="X151" s="10" t="n">
        <f aca="false">IFERROR(LOOKUP(IF(W151="",G151,W151),{0,1,10,25,100,250,1000},{0,0.008,0.008,0.008,0.005,0.003,0.003}),"")</f>
        <v>0.005</v>
      </c>
      <c r="Y151" s="10" t="n">
        <f aca="false">IFERROR(IF(W151="",G151,W151)*X151,"")</f>
        <v>0.5</v>
      </c>
      <c r="Z151" s="0" t="s">
        <v>824</v>
      </c>
      <c r="AA151" s="11" t="s">
        <v>27</v>
      </c>
    </row>
    <row r="152" customFormat="false" ht="15" hidden="false" customHeight="false" outlineLevel="0" collapsed="false">
      <c r="A152" s="0" t="s">
        <v>825</v>
      </c>
      <c r="B152" s="0" t="s">
        <v>826</v>
      </c>
      <c r="C152" s="0" t="s">
        <v>827</v>
      </c>
      <c r="D152" s="0" t="s">
        <v>828</v>
      </c>
      <c r="E152" s="0" t="s">
        <v>829</v>
      </c>
      <c r="F152" s="0" t="s">
        <v>830</v>
      </c>
      <c r="G152" s="0" t="n">
        <f aca="false">BoardQty*4</f>
        <v>200</v>
      </c>
      <c r="H152" s="10" t="n">
        <f aca="true">MINA(INDIRECT(ADDRESS(ROW(),COLUMN(newark_part_data)+2)),INDIRECT(ADDRESS(ROW(),COLUMN(digikey_part_data)+2)),INDIRECT(ADDRESS(ROW(),COLUMN(mouser_part_data)+2)))</f>
        <v>0.463</v>
      </c>
      <c r="I152" s="10" t="n">
        <f aca="false">IFERROR(G152*H152,"")</f>
        <v>92.6</v>
      </c>
      <c r="J152" s="0" t="n">
        <v>11668</v>
      </c>
      <c r="L152" s="10" t="n">
        <f aca="false">IFERROR(LOOKUP(IF(K152="",G152,K152),{0,1,25,100,3000},{0,0.62,0.52,0.47,0.47}),"")</f>
        <v>0.47</v>
      </c>
      <c r="M152" s="10" t="n">
        <f aca="false">IFERROR(IF(K152="",G152,K152)*L152,"")</f>
        <v>94</v>
      </c>
      <c r="N152" s="0" t="s">
        <v>831</v>
      </c>
      <c r="O152" s="11" t="s">
        <v>27</v>
      </c>
      <c r="P152" s="0" t="n">
        <v>20004</v>
      </c>
      <c r="R152" s="10" t="n">
        <f aca="false">IFERROR(LOOKUP(IF(Q152="",G152,Q152),{0,1,10,25,100,3000},{0,0.67,0.611,0.513,0.463,0.463}),"")</f>
        <v>0.463</v>
      </c>
      <c r="S152" s="10" t="n">
        <f aca="false">IFERROR(IF(Q152="",G152,Q152)*R152,"")</f>
        <v>92.6</v>
      </c>
      <c r="T152" s="0" t="s">
        <v>832</v>
      </c>
      <c r="U152" s="11" t="s">
        <v>27</v>
      </c>
      <c r="V152" s="0" t="n">
        <v>5984</v>
      </c>
      <c r="X152" s="10" t="n">
        <f aca="false">IFERROR(LOOKUP(IF(W152="",G152,W152),{0,1,10,25,50,100},{0,0.793,0.607,0.588,0.567,0.548}),"")</f>
        <v>0.548</v>
      </c>
      <c r="Y152" s="10" t="n">
        <f aca="false">IFERROR(IF(W152="",G152,W152)*X152,"")</f>
        <v>109.6</v>
      </c>
      <c r="Z152" s="0" t="s">
        <v>833</v>
      </c>
      <c r="AA152" s="11" t="s">
        <v>27</v>
      </c>
    </row>
    <row r="153" customFormat="false" ht="15" hidden="false" customHeight="false" outlineLevel="0" collapsed="false">
      <c r="A153" s="0" t="s">
        <v>834</v>
      </c>
      <c r="B153" s="0" t="s">
        <v>819</v>
      </c>
      <c r="C153" s="0" t="s">
        <v>835</v>
      </c>
      <c r="D153" s="0" t="s">
        <v>48</v>
      </c>
      <c r="E153" s="0" t="s">
        <v>49</v>
      </c>
      <c r="F153" s="0" t="s">
        <v>821</v>
      </c>
      <c r="G153" s="0" t="n">
        <f aca="false">BoardQty*1</f>
        <v>50</v>
      </c>
      <c r="H153" s="10" t="n">
        <f aca="true">MINA(INDIRECT(ADDRESS(ROW(),COLUMN(newark_part_data)+2)),INDIRECT(ADDRESS(ROW(),COLUMN(digikey_part_data)+2)),INDIRECT(ADDRESS(ROW(),COLUMN(mouser_part_data)+2)))</f>
        <v>0.008</v>
      </c>
      <c r="I153" s="10" t="n">
        <f aca="false">IFERROR(G153*H153,"")</f>
        <v>0.4</v>
      </c>
      <c r="J153" s="0" t="n">
        <v>2286580</v>
      </c>
      <c r="L153" s="10" t="n">
        <f aca="false">IFERROR(LOOKUP(IF(K153="",G153,K153),{0,1,10,25,100,250,500,1000,2500,5000,10000,25000,50000,125000},{0,0.1,0.011,0.008,0.0044,0.00336,0.0027,0.00198,0.00172,0.00129,0.00112,0.00099,0.0009,0.00089}),"")</f>
        <v>0.008</v>
      </c>
      <c r="M153" s="10" t="n">
        <f aca="false">IFERROR(IF(K153="",G153,K153)*L153,"")</f>
        <v>0.4</v>
      </c>
      <c r="N153" s="0" t="s">
        <v>822</v>
      </c>
      <c r="O153" s="11" t="s">
        <v>27</v>
      </c>
      <c r="P153" s="0" t="n">
        <v>79056</v>
      </c>
      <c r="R153" s="10" t="n">
        <f aca="false">IFERROR(LOOKUP(IF(Q153="",G153,Q153),{0,1,10,100,1000,5000,50000},{0,0.099,0.008,0.003,0.002,0.002,0.001}),"")</f>
        <v>0.008</v>
      </c>
      <c r="S153" s="10" t="n">
        <f aca="false">IFERROR(IF(Q153="",G153,Q153)*R153,"")</f>
        <v>0.4</v>
      </c>
      <c r="T153" s="0" t="s">
        <v>823</v>
      </c>
      <c r="U153" s="11" t="s">
        <v>27</v>
      </c>
      <c r="V153" s="0" t="n">
        <v>39582</v>
      </c>
      <c r="X153" s="10" t="n">
        <f aca="false">IFERROR(LOOKUP(IF(W153="",G153,W153),{0,1,10,25,100,250,1000},{0,0.008,0.008,0.008,0.005,0.003,0.003}),"")</f>
        <v>0.008</v>
      </c>
      <c r="Y153" s="10" t="n">
        <f aca="false">IFERROR(IF(W153="",G153,W153)*X153,"")</f>
        <v>0.4</v>
      </c>
      <c r="Z153" s="0" t="s">
        <v>824</v>
      </c>
      <c r="AA153" s="11" t="s">
        <v>27</v>
      </c>
    </row>
    <row r="154" customFormat="false" ht="15" hidden="false" customHeight="false" outlineLevel="0" collapsed="false">
      <c r="A154" s="0" t="s">
        <v>836</v>
      </c>
      <c r="B154" s="0" t="s">
        <v>837</v>
      </c>
      <c r="C154" s="0" t="s">
        <v>799</v>
      </c>
      <c r="D154" s="0" t="s">
        <v>106</v>
      </c>
      <c r="E154" s="0" t="s">
        <v>107</v>
      </c>
      <c r="F154" s="0" t="s">
        <v>800</v>
      </c>
      <c r="G154" s="0" t="n">
        <f aca="false">BoardQty*1</f>
        <v>50</v>
      </c>
      <c r="H154" s="10" t="n">
        <f aca="true">MINA(INDIRECT(ADDRESS(ROW(),COLUMN(newark_part_data)+2)),INDIRECT(ADDRESS(ROW(),COLUMN(digikey_part_data)+2)),INDIRECT(ADDRESS(ROW(),COLUMN(mouser_part_data)+2)))</f>
        <v>0.2276</v>
      </c>
      <c r="I154" s="10" t="n">
        <f aca="false">IFERROR(G154*H154,"")</f>
        <v>11.38</v>
      </c>
      <c r="J154" s="0" t="n">
        <v>0</v>
      </c>
      <c r="L154" s="10" t="n">
        <f aca="false">IFERROR(LOOKUP(IF(K154="",G154,K154),{0,1,10,25,100,250,500,1000,2000,6000,10000,50000,100000},{0,0.41,0.297,0.2276,0.1485,0.10892,0.0924,0.0759,0.06,0.054,0.048,0.0405,0.039}),"")</f>
        <v>0.2276</v>
      </c>
      <c r="M154" s="10" t="n">
        <f aca="false">IFERROR(IF(K154="",G154,K154)*L154,"")</f>
        <v>11.38</v>
      </c>
      <c r="N154" s="0" t="s">
        <v>801</v>
      </c>
      <c r="O154" s="11" t="s">
        <v>27</v>
      </c>
    </row>
    <row r="155" customFormat="false" ht="15" hidden="false" customHeight="false" outlineLevel="0" collapsed="false">
      <c r="A155" s="0" t="s">
        <v>838</v>
      </c>
      <c r="B155" s="0" t="s">
        <v>472</v>
      </c>
      <c r="C155" s="0" t="s">
        <v>839</v>
      </c>
      <c r="D155" s="0" t="s">
        <v>48</v>
      </c>
      <c r="E155" s="0" t="s">
        <v>49</v>
      </c>
      <c r="F155" s="0" t="s">
        <v>474</v>
      </c>
      <c r="G155" s="0" t="n">
        <f aca="false">BoardQty*6</f>
        <v>300</v>
      </c>
      <c r="H155" s="10" t="n">
        <f aca="true">MINA(INDIRECT(ADDRESS(ROW(),COLUMN(newark_part_data)+2)),INDIRECT(ADDRESS(ROW(),COLUMN(digikey_part_data)+2)),INDIRECT(ADDRESS(ROW(),COLUMN(mouser_part_data)+2)))</f>
        <v>0.003</v>
      </c>
      <c r="I155" s="10" t="n">
        <f aca="false">IFERROR(G155*H155,"")</f>
        <v>0.9</v>
      </c>
      <c r="J155" s="0" t="n">
        <v>1972025</v>
      </c>
      <c r="L155" s="10" t="n">
        <f aca="false">IFERROR(LOOKUP(IF(K155="",G155,K155),{0,1,10,25,100,250,500,1000,2500,5000,10000,25000,50000,125000},{0,0.1,0.011,0.008,0.0044,0.00336,0.0027,0.00198,0.00172,0.00129,0.00112,0.00099,0.0009,0.00089}),"")</f>
        <v>0.00336</v>
      </c>
      <c r="M155" s="10" t="n">
        <f aca="false">IFERROR(IF(K155="",G155,K155)*L155,"")</f>
        <v>1.008</v>
      </c>
      <c r="N155" s="0" t="s">
        <v>475</v>
      </c>
      <c r="O155" s="11" t="s">
        <v>27</v>
      </c>
      <c r="P155" s="0" t="n">
        <v>118645</v>
      </c>
      <c r="R155" s="10" t="n">
        <f aca="false">IFERROR(LOOKUP(IF(Q155="",G155,Q155),{0,1,10,100,1000,5000,50000},{0,0.099,0.008,0.003,0.002,0.002,0.001}),"")</f>
        <v>0.003</v>
      </c>
      <c r="S155" s="10" t="n">
        <f aca="false">IFERROR(IF(Q155="",G155,Q155)*R155,"")</f>
        <v>0.9</v>
      </c>
      <c r="T155" s="0" t="s">
        <v>476</v>
      </c>
      <c r="U155" s="11" t="s">
        <v>27</v>
      </c>
      <c r="V155" s="0" t="n">
        <v>2570</v>
      </c>
      <c r="X155" s="10" t="n">
        <f aca="false">IFERROR(LOOKUP(IF(W155="",G155,W155),{0,1,10,25,100,250,1000,5000,10000},{0,0.06,0.01,0.007,0.004,0.003,0.002,0.002,0.001}),"")</f>
        <v>0.003</v>
      </c>
      <c r="Y155" s="10" t="n">
        <f aca="false">IFERROR(IF(W155="",G155,W155)*X155,"")</f>
        <v>0.9</v>
      </c>
      <c r="Z155" s="0" t="s">
        <v>477</v>
      </c>
      <c r="AA155" s="11" t="s">
        <v>27</v>
      </c>
    </row>
    <row r="156" customFormat="false" ht="15" hidden="false" customHeight="false" outlineLevel="0" collapsed="false">
      <c r="A156" s="0" t="s">
        <v>840</v>
      </c>
      <c r="B156" s="0" t="s">
        <v>841</v>
      </c>
      <c r="C156" s="0" t="s">
        <v>842</v>
      </c>
      <c r="D156" s="0" t="s">
        <v>843</v>
      </c>
      <c r="E156" s="0" t="s">
        <v>341</v>
      </c>
      <c r="F156" s="0" t="s">
        <v>844</v>
      </c>
      <c r="G156" s="0" t="n">
        <f aca="false">BoardQty*1</f>
        <v>50</v>
      </c>
      <c r="H156" s="10" t="n">
        <f aca="true">MINA(INDIRECT(ADDRESS(ROW(),COLUMN(newark_part_data)+2)),INDIRECT(ADDRESS(ROW(),COLUMN(digikey_part_data)+2)),INDIRECT(ADDRESS(ROW(),COLUMN(mouser_part_data)+2)))</f>
        <v>0.424</v>
      </c>
      <c r="I156" s="10" t="n">
        <f aca="false">IFERROR(G156*H156,"")</f>
        <v>21.2</v>
      </c>
      <c r="J156" s="0" t="n">
        <v>460</v>
      </c>
      <c r="L156" s="10" t="n">
        <f aca="false">IFERROR(LOOKUP(IF(K156="",G156,K156),{0,1,10,25,50,100,250,500,1000,2500,5000,12500,25000,50000},{0,0.74,0.711,0.504,0.4244,0.3448,0.28648,0.2122,0.18037,0.16976,0.15915,0.14589,0.14324,0.13793}),"")</f>
        <v>0.4244</v>
      </c>
      <c r="M156" s="10" t="n">
        <f aca="false">IFERROR(IF(K156="",G156,K156)*L156,"")</f>
        <v>21.22</v>
      </c>
      <c r="N156" s="0" t="s">
        <v>845</v>
      </c>
      <c r="O156" s="11" t="s">
        <v>27</v>
      </c>
      <c r="P156" s="0" t="n">
        <v>6638</v>
      </c>
      <c r="R156" s="10" t="n">
        <f aca="false">IFERROR(LOOKUP(IF(Q156="",G156,Q156),{0,1,10,100,500,1000,2000,10000,25000,50000},{0,0.738,0.424,0.213,0.213,0.181,0.159,0.146,0.144,0.137}),"")</f>
        <v>0.424</v>
      </c>
      <c r="S156" s="10" t="n">
        <f aca="false">IFERROR(IF(Q156="",G156,Q156)*R156,"")</f>
        <v>21.2</v>
      </c>
      <c r="T156" s="0" t="s">
        <v>846</v>
      </c>
      <c r="U156" s="11" t="s">
        <v>27</v>
      </c>
    </row>
    <row r="157" customFormat="false" ht="15" hidden="false" customHeight="false" outlineLevel="0" collapsed="false">
      <c r="A157" s="0" t="s">
        <v>847</v>
      </c>
      <c r="B157" s="0" t="s">
        <v>472</v>
      </c>
      <c r="C157" s="0" t="s">
        <v>473</v>
      </c>
      <c r="D157" s="0" t="s">
        <v>48</v>
      </c>
      <c r="E157" s="0" t="s">
        <v>49</v>
      </c>
      <c r="F157" s="0" t="s">
        <v>474</v>
      </c>
      <c r="G157" s="0" t="n">
        <f aca="false">BoardQty*1</f>
        <v>50</v>
      </c>
      <c r="H157" s="10" t="n">
        <f aca="true">MINA(INDIRECT(ADDRESS(ROW(),COLUMN(newark_part_data)+2)),INDIRECT(ADDRESS(ROW(),COLUMN(digikey_part_data)+2)),INDIRECT(ADDRESS(ROW(),COLUMN(mouser_part_data)+2)))</f>
        <v>0.007</v>
      </c>
      <c r="I157" s="10" t="n">
        <f aca="false">IFERROR(G157*H157,"")</f>
        <v>0.35</v>
      </c>
      <c r="J157" s="0" t="n">
        <v>1972025</v>
      </c>
      <c r="L157" s="10" t="n">
        <f aca="false">IFERROR(LOOKUP(IF(K157="",G157,K157),{0,1,10,25,100,250,500,1000,2500,5000,10000,25000,50000,125000},{0,0.1,0.011,0.008,0.0044,0.00336,0.0027,0.00198,0.00172,0.00129,0.00112,0.00099,0.0009,0.00089}),"")</f>
        <v>0.008</v>
      </c>
      <c r="M157" s="10" t="n">
        <f aca="false">IFERROR(IF(K157="",G157,K157)*L157,"")</f>
        <v>0.4</v>
      </c>
      <c r="N157" s="0" t="s">
        <v>475</v>
      </c>
      <c r="O157" s="11" t="s">
        <v>27</v>
      </c>
      <c r="P157" s="0" t="n">
        <v>118645</v>
      </c>
      <c r="R157" s="10" t="n">
        <f aca="false">IFERROR(LOOKUP(IF(Q157="",G157,Q157),{0,1,10,100,1000,5000,50000},{0,0.099,0.008,0.003,0.002,0.002,0.001}),"")</f>
        <v>0.008</v>
      </c>
      <c r="S157" s="10" t="n">
        <f aca="false">IFERROR(IF(Q157="",G157,Q157)*R157,"")</f>
        <v>0.4</v>
      </c>
      <c r="T157" s="0" t="s">
        <v>476</v>
      </c>
      <c r="U157" s="11" t="s">
        <v>27</v>
      </c>
      <c r="V157" s="0" t="n">
        <v>2570</v>
      </c>
      <c r="X157" s="10" t="n">
        <f aca="false">IFERROR(LOOKUP(IF(W157="",G157,W157),{0,1,10,25,100,250,1000,5000,10000},{0,0.06,0.01,0.007,0.004,0.003,0.002,0.002,0.001}),"")</f>
        <v>0.007</v>
      </c>
      <c r="Y157" s="10" t="n">
        <f aca="false">IFERROR(IF(W157="",G157,W157)*X157,"")</f>
        <v>0.35</v>
      </c>
      <c r="Z157" s="0" t="s">
        <v>477</v>
      </c>
      <c r="AA157" s="11" t="s">
        <v>27</v>
      </c>
    </row>
    <row r="158" customFormat="false" ht="15" hidden="false" customHeight="false" outlineLevel="0" collapsed="false">
      <c r="A158" s="0" t="s">
        <v>848</v>
      </c>
      <c r="B158" s="0" t="s">
        <v>214</v>
      </c>
      <c r="C158" s="0" t="s">
        <v>105</v>
      </c>
      <c r="D158" s="0" t="s">
        <v>106</v>
      </c>
      <c r="E158" s="0" t="s">
        <v>107</v>
      </c>
      <c r="F158" s="0" t="s">
        <v>108</v>
      </c>
      <c r="G158" s="0" t="n">
        <f aca="false">BoardQty*1</f>
        <v>50</v>
      </c>
      <c r="H158" s="10" t="n">
        <f aca="true">MINA(INDIRECT(ADDRESS(ROW(),COLUMN(newark_part_data)+2)),INDIRECT(ADDRESS(ROW(),COLUMN(digikey_part_data)+2)),INDIRECT(ADDRESS(ROW(),COLUMN(mouser_part_data)+2)))</f>
        <v>0.2808</v>
      </c>
      <c r="I158" s="10" t="n">
        <f aca="false">IFERROR(G158*H158,"")</f>
        <v>14.04</v>
      </c>
      <c r="J158" s="0" t="n">
        <v>5923</v>
      </c>
      <c r="L158" s="10" t="n">
        <f aca="false">IFERROR(LOOKUP(IF(K158="",G158,K158),{0,1,10,25,100,250,500,1000,2000,6000,10000,50000,100000},{0,0.51,0.366,0.2808,0.1832,0.13432,0.11396,0.09361,0.074,0.0666,0.0592,0.04995,0.0481}),"")</f>
        <v>0.2808</v>
      </c>
      <c r="M158" s="10" t="n">
        <f aca="false">IFERROR(IF(K158="",G158,K158)*L158,"")</f>
        <v>14.04</v>
      </c>
      <c r="N158" s="0" t="s">
        <v>109</v>
      </c>
      <c r="O158" s="11" t="s">
        <v>27</v>
      </c>
    </row>
    <row r="159" customFormat="false" ht="15" hidden="false" customHeight="false" outlineLevel="0" collapsed="false">
      <c r="A159" s="0" t="s">
        <v>849</v>
      </c>
      <c r="B159" s="0" t="s">
        <v>850</v>
      </c>
      <c r="C159" s="0" t="s">
        <v>851</v>
      </c>
      <c r="D159" s="0" t="s">
        <v>852</v>
      </c>
      <c r="E159" s="0" t="s">
        <v>853</v>
      </c>
      <c r="F159" s="0" t="s">
        <v>854</v>
      </c>
      <c r="G159" s="0" t="n">
        <f aca="false">BoardQty*2</f>
        <v>100</v>
      </c>
      <c r="H159" s="10" t="n">
        <f aca="true">MINA(INDIRECT(ADDRESS(ROW(),COLUMN(newark_part_data)+2)),INDIRECT(ADDRESS(ROW(),COLUMN(digikey_part_data)+2)),INDIRECT(ADDRESS(ROW(),COLUMN(mouser_part_data)+2)))</f>
        <v>0.787</v>
      </c>
      <c r="I159" s="10" t="n">
        <f aca="false">IFERROR(G159*H159,"")</f>
        <v>78.7</v>
      </c>
      <c r="J159" s="0" t="n">
        <v>29</v>
      </c>
      <c r="L159" s="10" t="n">
        <f aca="false">IFERROR(LOOKUP(IF(K159="",G159,K159),{0,1,10},{0,1.1,0.976}),"")</f>
        <v>0.976</v>
      </c>
      <c r="M159" s="10" t="n">
        <f aca="false">IFERROR(IF(K159="",G159,K159)*L159,"")</f>
        <v>97.6</v>
      </c>
      <c r="N159" s="0" t="s">
        <v>855</v>
      </c>
      <c r="O159" s="11" t="s">
        <v>27</v>
      </c>
      <c r="P159" s="0" t="n">
        <v>10</v>
      </c>
      <c r="R159" s="10" t="n">
        <f aca="false">IFERROR(LOOKUP(IF(Q159="",G159,Q159),{0,1,10,25,100,250,500,1000,2500,5000},{0,1.07,0.953,0.891,0.787,0.766,0.746,0.621,0.601,0.58}),"")</f>
        <v>0.787</v>
      </c>
      <c r="S159" s="10" t="n">
        <f aca="false">IFERROR(IF(Q159="",G159,Q159)*R159,"")</f>
        <v>78.7</v>
      </c>
      <c r="T159" s="0" t="s">
        <v>856</v>
      </c>
      <c r="U159" s="11" t="s">
        <v>27</v>
      </c>
    </row>
    <row r="160" customFormat="false" ht="15" hidden="false" customHeight="false" outlineLevel="0" collapsed="false">
      <c r="A160" s="0" t="s">
        <v>857</v>
      </c>
      <c r="B160" s="0" t="s">
        <v>858</v>
      </c>
      <c r="C160" s="0" t="s">
        <v>859</v>
      </c>
      <c r="D160" s="0" t="s">
        <v>860</v>
      </c>
      <c r="E160" s="0" t="s">
        <v>861</v>
      </c>
      <c r="F160" s="0" t="s">
        <v>858</v>
      </c>
      <c r="G160" s="0" t="n">
        <f aca="false">BoardQty*1</f>
        <v>50</v>
      </c>
      <c r="H160" s="10" t="n">
        <f aca="true">MINA(INDIRECT(ADDRESS(ROW(),COLUMN(newark_part_data)+2)),INDIRECT(ADDRESS(ROW(),COLUMN(digikey_part_data)+2)),INDIRECT(ADDRESS(ROW(),COLUMN(mouser_part_data)+2)))</f>
        <v>1.77</v>
      </c>
      <c r="I160" s="10" t="n">
        <f aca="false">IFERROR(G160*H160,"")</f>
        <v>88.5</v>
      </c>
      <c r="P160" s="0" t="n">
        <v>3757</v>
      </c>
      <c r="R160" s="10" t="n">
        <f aca="false">IFERROR(LOOKUP(IF(Q160="",G160,Q160),{0,1,10,25,50,100,250,500,1000,2100},{0,2.25,2.03,2.02,1.98,1.78,1.71,1.69,1.58,1.57}),"")</f>
        <v>1.98</v>
      </c>
      <c r="S160" s="10" t="n">
        <f aca="false">IFERROR(IF(Q160="",G160,Q160)*R160,"")</f>
        <v>99</v>
      </c>
      <c r="T160" s="0" t="s">
        <v>862</v>
      </c>
      <c r="U160" s="11" t="s">
        <v>27</v>
      </c>
      <c r="V160" s="0" t="n">
        <v>1425</v>
      </c>
      <c r="X160" s="10" t="n">
        <f aca="false">IFERROR(LOOKUP(IF(W160="",G160,W160),{0,1,10,25,50,100,200,500},{0,2.13,1.92,1.88,1.77,1.68,1.65,1.61}),"")</f>
        <v>1.77</v>
      </c>
      <c r="Y160" s="10" t="n">
        <f aca="false">IFERROR(IF(W160="",G160,W160)*X160,"")</f>
        <v>88.5</v>
      </c>
      <c r="Z160" s="0" t="s">
        <v>863</v>
      </c>
      <c r="AA160" s="11" t="s">
        <v>27</v>
      </c>
    </row>
    <row r="161" customFormat="false" ht="15" hidden="false" customHeight="false" outlineLevel="0" collapsed="false">
      <c r="A161" s="0" t="s">
        <v>864</v>
      </c>
      <c r="B161" s="0" t="s">
        <v>865</v>
      </c>
      <c r="C161" s="0" t="s">
        <v>866</v>
      </c>
      <c r="D161" s="0" t="s">
        <v>48</v>
      </c>
      <c r="E161" s="0" t="s">
        <v>867</v>
      </c>
      <c r="F161" s="0" t="s">
        <v>868</v>
      </c>
      <c r="G161" s="0" t="n">
        <f aca="false">BoardQty*4</f>
        <v>200</v>
      </c>
      <c r="H161" s="10" t="n">
        <f aca="true">MINA(INDIRECT(ADDRESS(ROW(),COLUMN(newark_part_data)+2)),INDIRECT(ADDRESS(ROW(),COLUMN(digikey_part_data)+2)),INDIRECT(ADDRESS(ROW(),COLUMN(mouser_part_data)+2)))</f>
        <v>0.105</v>
      </c>
      <c r="I161" s="10" t="n">
        <f aca="false">IFERROR(G161*H161,"")</f>
        <v>21</v>
      </c>
      <c r="J161" s="0" t="n">
        <v>4876</v>
      </c>
      <c r="L161" s="10" t="n">
        <f aca="false">IFERROR(LOOKUP(IF(K161="",G161,K161),{0,1,50,100,250,500,1000,5000,10000,25000,50000,125000},{0,0.63,0.2494,0.1924,0.14964,0.10546,0.07695,0.04275,0.0399,0.03791,0.03714,0.03634}),"")</f>
        <v>0.1924</v>
      </c>
      <c r="M161" s="10" t="n">
        <f aca="false">IFERROR(IF(K161="",G161,K161)*L161,"")</f>
        <v>38.48</v>
      </c>
      <c r="N161" s="0" t="s">
        <v>869</v>
      </c>
      <c r="O161" s="11" t="s">
        <v>27</v>
      </c>
      <c r="P161" s="0" t="n">
        <v>5362</v>
      </c>
      <c r="R161" s="10" t="n">
        <f aca="false">IFERROR(LOOKUP(IF(Q161="",G161,Q161),{0,1,10,100,1000,5000,10000,25000},{0,0.621,0.246,0.105,0.076,0.043,0.039,0.037}),"")</f>
        <v>0.105</v>
      </c>
      <c r="S161" s="10" t="n">
        <f aca="false">IFERROR(IF(Q161="",G161,Q161)*R161,"")</f>
        <v>21</v>
      </c>
      <c r="T161" s="0" t="s">
        <v>870</v>
      </c>
      <c r="U161" s="11" t="s">
        <v>27</v>
      </c>
      <c r="AA161" s="11" t="s">
        <v>27</v>
      </c>
    </row>
    <row r="162" customFormat="false" ht="15" hidden="false" customHeight="false" outlineLevel="0" collapsed="false">
      <c r="A162" s="0" t="s">
        <v>871</v>
      </c>
      <c r="B162" s="0" t="s">
        <v>872</v>
      </c>
      <c r="C162" s="0" t="s">
        <v>873</v>
      </c>
      <c r="D162" s="0" t="s">
        <v>48</v>
      </c>
      <c r="E162" s="0" t="s">
        <v>49</v>
      </c>
      <c r="F162" s="0" t="s">
        <v>874</v>
      </c>
      <c r="G162" s="0" t="n">
        <f aca="false">BoardQty*1</f>
        <v>50</v>
      </c>
      <c r="H162" s="10" t="n">
        <f aca="true">MINA(INDIRECT(ADDRESS(ROW(),COLUMN(newark_part_data)+2)),INDIRECT(ADDRESS(ROW(),COLUMN(digikey_part_data)+2)),INDIRECT(ADDRESS(ROW(),COLUMN(mouser_part_data)+2)))</f>
        <v>0.007</v>
      </c>
      <c r="I162" s="10" t="n">
        <f aca="false">IFERROR(G162*H162,"")</f>
        <v>0.35</v>
      </c>
      <c r="J162" s="0" t="n">
        <v>468618</v>
      </c>
      <c r="L162" s="10" t="n">
        <f aca="false">IFERROR(LOOKUP(IF(K162="",G162,K162),{0,1,10,25,100,250,500,1000,2500,5000,10000,25000,50000,125000},{0,0.1,0.011,0.008,0.0044,0.00336,0.0027,0.00198,0.00172,0.00129,0.00112,0.00099,0.0009,0.00089}),"")</f>
        <v>0.008</v>
      </c>
      <c r="M162" s="10" t="n">
        <f aca="false">IFERROR(IF(K162="",G162,K162)*L162,"")</f>
        <v>0.4</v>
      </c>
      <c r="N162" s="0" t="s">
        <v>875</v>
      </c>
      <c r="O162" s="11" t="s">
        <v>27</v>
      </c>
      <c r="P162" s="0" t="n">
        <v>120300</v>
      </c>
      <c r="R162" s="10" t="n">
        <f aca="false">IFERROR(LOOKUP(IF(Q162="",G162,Q162),{0,1,10,100,1000,5000,50000},{0,0.099,0.008,0.003,0.002,0.002,0.001}),"")</f>
        <v>0.008</v>
      </c>
      <c r="S162" s="10" t="n">
        <f aca="false">IFERROR(IF(Q162="",G162,Q162)*R162,"")</f>
        <v>0.4</v>
      </c>
      <c r="T162" s="0" t="s">
        <v>876</v>
      </c>
      <c r="U162" s="11" t="s">
        <v>27</v>
      </c>
      <c r="V162" s="0" t="n">
        <v>2368</v>
      </c>
      <c r="X162" s="10" t="n">
        <f aca="false">IFERROR(LOOKUP(IF(W162="",G162,W162),{0,1,10,25,100,250,1000,5000,10000},{0,0.06,0.01,0.007,0.004,0.003,0.002,0.002,0.001}),"")</f>
        <v>0.007</v>
      </c>
      <c r="Y162" s="10" t="n">
        <f aca="false">IFERROR(IF(W162="",G162,W162)*X162,"")</f>
        <v>0.35</v>
      </c>
      <c r="Z162" s="0" t="s">
        <v>877</v>
      </c>
      <c r="AA162" s="11" t="s">
        <v>27</v>
      </c>
    </row>
    <row r="163" customFormat="false" ht="15" hidden="false" customHeight="false" outlineLevel="0" collapsed="false">
      <c r="A163" s="0" t="s">
        <v>878</v>
      </c>
      <c r="B163" s="0" t="s">
        <v>242</v>
      </c>
      <c r="C163" s="0" t="s">
        <v>243</v>
      </c>
      <c r="D163" s="0" t="s">
        <v>244</v>
      </c>
      <c r="E163" s="0" t="s">
        <v>114</v>
      </c>
      <c r="F163" s="0" t="s">
        <v>245</v>
      </c>
      <c r="G163" s="0" t="n">
        <f aca="false">BoardQty*1</f>
        <v>50</v>
      </c>
      <c r="H163" s="10" t="n">
        <f aca="true">MINA(INDIRECT(ADDRESS(ROW(),COLUMN(newark_part_data)+2)),INDIRECT(ADDRESS(ROW(),COLUMN(digikey_part_data)+2)),INDIRECT(ADDRESS(ROW(),COLUMN(mouser_part_data)+2)))</f>
        <v>0.204</v>
      </c>
      <c r="I163" s="10" t="n">
        <f aca="false">IFERROR(G163*H163,"")</f>
        <v>10.2</v>
      </c>
      <c r="P163" s="0" t="n">
        <v>17233</v>
      </c>
      <c r="R163" s="10" t="n">
        <f aca="false">IFERROR(LOOKUP(IF(Q163="",G163,Q163),{0,1,10,100,500,1000,5000,9000,45000},{0,0.346,0.204,0.134,0.099,0.081,0.072,0.059,0.056}),"")</f>
        <v>0.204</v>
      </c>
      <c r="S163" s="10" t="n">
        <f aca="false">IFERROR(IF(Q163="",G163,Q163)*R163,"")</f>
        <v>10.2</v>
      </c>
      <c r="T163" s="0" t="s">
        <v>246</v>
      </c>
      <c r="U163" s="11" t="s">
        <v>27</v>
      </c>
      <c r="AA163" s="11" t="s">
        <v>27</v>
      </c>
    </row>
    <row r="164" customFormat="false" ht="15" hidden="false" customHeight="false" outlineLevel="0" collapsed="false">
      <c r="A164" s="0" t="s">
        <v>879</v>
      </c>
      <c r="B164" s="0" t="s">
        <v>880</v>
      </c>
      <c r="C164" s="0" t="s">
        <v>64</v>
      </c>
      <c r="D164" s="0" t="s">
        <v>48</v>
      </c>
      <c r="E164" s="0" t="s">
        <v>49</v>
      </c>
      <c r="F164" s="0" t="s">
        <v>65</v>
      </c>
      <c r="G164" s="0" t="n">
        <f aca="false">BoardQty*2</f>
        <v>100</v>
      </c>
      <c r="H164" s="10" t="n">
        <f aca="true">MINA(INDIRECT(ADDRESS(ROW(),COLUMN(newark_part_data)+2)),INDIRECT(ADDRESS(ROW(),COLUMN(digikey_part_data)+2)),INDIRECT(ADDRESS(ROW(),COLUMN(mouser_part_data)+2)))</f>
        <v>0.003</v>
      </c>
      <c r="I164" s="10" t="n">
        <f aca="false">IFERROR(G164*H164,"")</f>
        <v>0.3</v>
      </c>
      <c r="J164" s="0" t="n">
        <v>91896</v>
      </c>
      <c r="L164" s="10" t="n">
        <f aca="false">IFERROR(LOOKUP(IF(K164="",G164,K164),{0,1,10,25,100,250,500,1000,2500,5000,10000,25000,50000,125000},{0,0.1,0.011,0.008,0.0044,0.00336,0.0027,0.00198,0.00172,0.00129,0.00112,0.00099,0.0009,0.00089}),"")</f>
        <v>0.0044</v>
      </c>
      <c r="M164" s="10" t="n">
        <f aca="false">IFERROR(IF(K164="",G164,K164)*L164,"")</f>
        <v>0.44</v>
      </c>
      <c r="N164" s="0" t="s">
        <v>66</v>
      </c>
      <c r="O164" s="11" t="s">
        <v>27</v>
      </c>
      <c r="P164" s="0" t="n">
        <v>12295</v>
      </c>
      <c r="R164" s="10" t="n">
        <f aca="false">IFERROR(LOOKUP(IF(Q164="",G164,Q164),{0,1,10,100,1000,5000,50000},{0,0.099,0.008,0.003,0.002,0.002,0.001}),"")</f>
        <v>0.003</v>
      </c>
      <c r="S164" s="10" t="n">
        <f aca="false">IFERROR(IF(Q164="",G164,Q164)*R164,"")</f>
        <v>0.3</v>
      </c>
      <c r="T164" s="0" t="s">
        <v>67</v>
      </c>
      <c r="U164" s="11" t="s">
        <v>27</v>
      </c>
      <c r="V164" s="0" t="n">
        <v>12721</v>
      </c>
      <c r="X164" s="10" t="n">
        <f aca="false">IFERROR(LOOKUP(IF(W164="",G164,W164),{0,1,10,25,100,250,1000,5000,10000},{0,0.06,0.01,0.007,0.004,0.003,0.002,0.002,0.001}),"")</f>
        <v>0.004</v>
      </c>
      <c r="Y164" s="10" t="n">
        <f aca="false">IFERROR(IF(W164="",G164,W164)*X164,"")</f>
        <v>0.4</v>
      </c>
      <c r="Z164" s="0" t="s">
        <v>68</v>
      </c>
      <c r="AA164" s="11" t="s">
        <v>27</v>
      </c>
    </row>
    <row r="165" customFormat="false" ht="15" hidden="false" customHeight="false" outlineLevel="0" collapsed="false">
      <c r="A165" s="0" t="s">
        <v>881</v>
      </c>
      <c r="B165" s="0" t="s">
        <v>669</v>
      </c>
      <c r="C165" s="0" t="s">
        <v>882</v>
      </c>
      <c r="D165" s="0" t="s">
        <v>48</v>
      </c>
      <c r="E165" s="0" t="s">
        <v>49</v>
      </c>
      <c r="F165" s="0" t="s">
        <v>170</v>
      </c>
      <c r="G165" s="0" t="n">
        <f aca="false">BoardQty*2</f>
        <v>100</v>
      </c>
      <c r="H165" s="10" t="n">
        <f aca="true">MINA(INDIRECT(ADDRESS(ROW(),COLUMN(newark_part_data)+2)),INDIRECT(ADDRESS(ROW(),COLUMN(digikey_part_data)+2)),INDIRECT(ADDRESS(ROW(),COLUMN(mouser_part_data)+2)))</f>
        <v>0.003</v>
      </c>
      <c r="I165" s="10" t="n">
        <f aca="false">IFERROR(G165*H165,"")</f>
        <v>0.3</v>
      </c>
      <c r="J165" s="0" t="n">
        <v>3086200</v>
      </c>
      <c r="L165" s="10" t="n">
        <f aca="false">IFERROR(LOOKUP(IF(K165="",G165,K165),{0,1,10,25,100,250,500,1000,2500,5000,10000,25000,50000,125000},{0,0.1,0.011,0.008,0.0044,0.00336,0.0027,0.00198,0.00172,0.00129,0.00112,0.00099,0.0009,0.00089}),"")</f>
        <v>0.0044</v>
      </c>
      <c r="M165" s="10" t="n">
        <f aca="false">IFERROR(IF(K165="",G165,K165)*L165,"")</f>
        <v>0.44</v>
      </c>
      <c r="N165" s="0" t="s">
        <v>171</v>
      </c>
      <c r="O165" s="11" t="s">
        <v>27</v>
      </c>
      <c r="P165" s="0" t="n">
        <v>284684</v>
      </c>
      <c r="R165" s="10" t="n">
        <f aca="false">IFERROR(LOOKUP(IF(Q165="",G165,Q165),{0,1,10,100,1000,5000,50000},{0,0.099,0.008,0.003,0.002,0.002,0.001}),"")</f>
        <v>0.003</v>
      </c>
      <c r="S165" s="10" t="n">
        <f aca="false">IFERROR(IF(Q165="",G165,Q165)*R165,"")</f>
        <v>0.3</v>
      </c>
      <c r="T165" s="0" t="s">
        <v>172</v>
      </c>
      <c r="U165" s="11" t="s">
        <v>27</v>
      </c>
      <c r="V165" s="0" t="n">
        <v>4389</v>
      </c>
      <c r="X165" s="10" t="n">
        <f aca="false">IFERROR(LOOKUP(IF(W165="",G165,W165),{0,1,10,25,100,250,1000,5000,10000},{0,0.06,0.01,0.007,0.004,0.003,0.002,0.002,0.001}),"")</f>
        <v>0.004</v>
      </c>
      <c r="Y165" s="10" t="n">
        <f aca="false">IFERROR(IF(W165="",G165,W165)*X165,"")</f>
        <v>0.4</v>
      </c>
      <c r="Z165" s="0" t="s">
        <v>173</v>
      </c>
      <c r="AA165" s="11" t="s">
        <v>27</v>
      </c>
    </row>
    <row r="166" customFormat="false" ht="15" hidden="false" customHeight="false" outlineLevel="0" collapsed="false">
      <c r="A166" s="0" t="s">
        <v>883</v>
      </c>
      <c r="B166" s="0" t="s">
        <v>884</v>
      </c>
      <c r="C166" s="0" t="s">
        <v>885</v>
      </c>
      <c r="D166" s="0" t="s">
        <v>113</v>
      </c>
      <c r="E166" s="0" t="s">
        <v>114</v>
      </c>
      <c r="F166" s="0" t="s">
        <v>886</v>
      </c>
      <c r="G166" s="0" t="n">
        <f aca="false">BoardQty*1</f>
        <v>50</v>
      </c>
      <c r="H166" s="10" t="n">
        <f aca="true">MINA(INDIRECT(ADDRESS(ROW(),COLUMN(newark_part_data)+2)),INDIRECT(ADDRESS(ROW(),COLUMN(digikey_part_data)+2)),INDIRECT(ADDRESS(ROW(),COLUMN(mouser_part_data)+2)))</f>
        <v>0.099</v>
      </c>
      <c r="I166" s="10" t="n">
        <f aca="false">IFERROR(G166*H166,"")</f>
        <v>4.95</v>
      </c>
      <c r="J166" s="0" t="n">
        <v>112960</v>
      </c>
      <c r="L166" s="10" t="n">
        <f aca="false">IFERROR(LOOKUP(IF(K166="",G166,K166),{0,1,10,50,100,250,500,1000,4000,8000,12000,28000,100000},{0,0.24,0.165,0.1,0.084,0.068,0.06,0.051,0.04,0.038,0.036,0.034,0.027}),"")</f>
        <v>0.1</v>
      </c>
      <c r="M166" s="10" t="n">
        <f aca="false">IFERROR(IF(K166="",G166,K166)*L166,"")</f>
        <v>5</v>
      </c>
      <c r="N166" s="0" t="s">
        <v>887</v>
      </c>
      <c r="O166" s="11" t="s">
        <v>27</v>
      </c>
      <c r="P166" s="0" t="n">
        <v>21218</v>
      </c>
      <c r="R166" s="10" t="n">
        <f aca="false">IFERROR(LOOKUP(IF(Q166="",G166,Q166),{0,1,10,100,1000,4000,8000,24000,48000,100000},{0,0.237,0.099,0.059,0.05,0.039,0.036,0.034,0.031,0.026}),"")</f>
        <v>0.099</v>
      </c>
      <c r="S166" s="10" t="n">
        <f aca="false">IFERROR(IF(Q166="",G166,Q166)*R166,"")</f>
        <v>4.95</v>
      </c>
      <c r="T166" s="0" t="s">
        <v>888</v>
      </c>
      <c r="U166" s="11" t="s">
        <v>27</v>
      </c>
      <c r="AA166" s="11" t="s">
        <v>27</v>
      </c>
    </row>
    <row r="167" customFormat="false" ht="15" hidden="false" customHeight="false" outlineLevel="0" collapsed="false">
      <c r="A167" s="0" t="s">
        <v>889</v>
      </c>
      <c r="B167" s="0" t="s">
        <v>890</v>
      </c>
      <c r="C167" s="0" t="s">
        <v>56</v>
      </c>
      <c r="D167" s="0" t="s">
        <v>57</v>
      </c>
      <c r="E167" s="0" t="s">
        <v>24</v>
      </c>
      <c r="F167" s="0" t="s">
        <v>58</v>
      </c>
      <c r="G167" s="0" t="n">
        <f aca="false">BoardQty*1</f>
        <v>50</v>
      </c>
      <c r="H167" s="10" t="n">
        <f aca="true">MINA(INDIRECT(ADDRESS(ROW(),COLUMN(newark_part_data)+2)),INDIRECT(ADDRESS(ROW(),COLUMN(digikey_part_data)+2)),INDIRECT(ADDRESS(ROW(),COLUMN(mouser_part_data)+2)))</f>
        <v>0.88</v>
      </c>
      <c r="I167" s="10" t="n">
        <f aca="false">IFERROR(G167*H167,"")</f>
        <v>44</v>
      </c>
      <c r="J167" s="0" t="n">
        <v>644</v>
      </c>
      <c r="L167" s="10" t="n">
        <f aca="false">IFERROR(LOOKUP(IF(K167="",G167,K167),{0,1,10,25,50,100,250,500,1000,2500},{0,1.72,1.304,1.2084,1.0866,1.06,0.92752,0.848,0.7685,0.689}),"")</f>
        <v>1.0866</v>
      </c>
      <c r="M167" s="10" t="n">
        <f aca="false">IFERROR(IF(K167="",G167,K167)*L167,"")</f>
        <v>54.33</v>
      </c>
      <c r="N167" s="0" t="s">
        <v>59</v>
      </c>
      <c r="O167" s="11" t="s">
        <v>27</v>
      </c>
      <c r="P167" s="0" t="n">
        <v>2159</v>
      </c>
      <c r="R167" s="10" t="n">
        <f aca="false">IFERROR(LOOKUP(IF(Q167="",G167,Q167),{0,1,25,50,100,200,500,1000,2000,5000},{0,1.25,1.12,1.07,1.01,0.952,0.907,0.88,0.789,0.711}),"")</f>
        <v>1.07</v>
      </c>
      <c r="S167" s="10" t="n">
        <f aca="false">IFERROR(IF(Q167="",G167,Q167)*R167,"")</f>
        <v>53.5</v>
      </c>
      <c r="T167" s="0" t="s">
        <v>60</v>
      </c>
      <c r="U167" s="11" t="s">
        <v>27</v>
      </c>
      <c r="V167" s="0" t="n">
        <v>496</v>
      </c>
      <c r="X167" s="10" t="n">
        <f aca="false">IFERROR(LOOKUP(IF(W167="",G167,W167),{0,1,50,100,250,500},{0,1.1,0.88,0.81,0.77,0.73}),"")</f>
        <v>0.88</v>
      </c>
      <c r="Y167" s="10" t="n">
        <f aca="false">IFERROR(IF(W167="",G167,W167)*X167,"")</f>
        <v>44</v>
      </c>
      <c r="Z167" s="0" t="s">
        <v>61</v>
      </c>
      <c r="AA167" s="11" t="s">
        <v>27</v>
      </c>
    </row>
    <row r="168" customFormat="false" ht="15" hidden="false" customHeight="false" outlineLevel="0" collapsed="false">
      <c r="A168" s="0" t="s">
        <v>891</v>
      </c>
      <c r="B168" s="0" t="s">
        <v>892</v>
      </c>
      <c r="C168" s="0" t="s">
        <v>893</v>
      </c>
      <c r="D168" s="0" t="s">
        <v>186</v>
      </c>
      <c r="E168" s="0" t="s">
        <v>34</v>
      </c>
      <c r="F168" s="0" t="s">
        <v>892</v>
      </c>
      <c r="G168" s="0" t="n">
        <f aca="false">BoardQty*1</f>
        <v>50</v>
      </c>
      <c r="H168" s="10" t="n">
        <f aca="true">MINA(INDIRECT(ADDRESS(ROW(),COLUMN(newark_part_data)+2)),INDIRECT(ADDRESS(ROW(),COLUMN(digikey_part_data)+2)),INDIRECT(ADDRESS(ROW(),COLUMN(mouser_part_data)+2)))</f>
        <v>0.967</v>
      </c>
      <c r="I168" s="10" t="n">
        <f aca="false">IFERROR(G168*H168,"")</f>
        <v>48.35</v>
      </c>
      <c r="J168" s="0" t="n">
        <v>9493</v>
      </c>
      <c r="L168" s="10" t="n">
        <f aca="false">IFERROR(LOOKUP(IF(K168="",G168,K168),{0,1,10,100,500,1000,3000,6000,15000,30000,75000},{0,1.19,1.064,0.8295,0.686,0.5425,0.49,0.4655,0.448,0.434,0.42}),"")</f>
        <v>1.064</v>
      </c>
      <c r="M168" s="10" t="n">
        <f aca="false">IFERROR(IF(K168="",G168,K168)*L168,"")</f>
        <v>53.2</v>
      </c>
      <c r="N168" s="0" t="s">
        <v>894</v>
      </c>
      <c r="O168" s="11" t="s">
        <v>27</v>
      </c>
      <c r="P168" s="0" t="n">
        <v>8000</v>
      </c>
      <c r="R168" s="10" t="n">
        <f aca="false">IFERROR(LOOKUP(IF(Q168="",G168,Q168),{0,1,10,100,500,1000,3000,6000,9000,24000},{0,1.12,0.967,0.742,0.656,0.518,0.458,0.449,0.441,0.438}),"")</f>
        <v>0.967</v>
      </c>
      <c r="S168" s="10" t="n">
        <f aca="false">IFERROR(IF(Q168="",G168,Q168)*R168,"")</f>
        <v>48.35</v>
      </c>
      <c r="T168" s="0" t="s">
        <v>895</v>
      </c>
      <c r="U168" s="11" t="s">
        <v>27</v>
      </c>
      <c r="V168" s="0" t="n">
        <v>97</v>
      </c>
      <c r="X168" s="10" t="n">
        <f aca="false">IFERROR(LOOKUP(IF(W168="",G168,W168),{0,1,10,100,500,1000,2500,5000,10000},{0,1.15,0.98,0.753,0.665,0.525,0.466,0.455,0.42}),"")</f>
        <v>0.98</v>
      </c>
      <c r="Y168" s="10" t="n">
        <f aca="false">IFERROR(IF(W168="",G168,W168)*X168,"")</f>
        <v>49</v>
      </c>
      <c r="Z168" s="0" t="s">
        <v>896</v>
      </c>
      <c r="AA168" s="11" t="s">
        <v>27</v>
      </c>
    </row>
    <row r="169" customFormat="false" ht="15" hidden="false" customHeight="false" outlineLevel="0" collapsed="false">
      <c r="A169" s="0" t="s">
        <v>897</v>
      </c>
      <c r="B169" s="0" t="s">
        <v>898</v>
      </c>
      <c r="C169" s="0" t="s">
        <v>899</v>
      </c>
      <c r="D169" s="0" t="s">
        <v>48</v>
      </c>
      <c r="E169" s="0" t="s">
        <v>49</v>
      </c>
      <c r="F169" s="0" t="s">
        <v>900</v>
      </c>
      <c r="G169" s="0" t="n">
        <f aca="false">BoardQty*1</f>
        <v>50</v>
      </c>
      <c r="H169" s="10" t="n">
        <f aca="true">MINA(INDIRECT(ADDRESS(ROW(),COLUMN(newark_part_data)+2)),INDIRECT(ADDRESS(ROW(),COLUMN(digikey_part_data)+2)),INDIRECT(ADDRESS(ROW(),COLUMN(mouser_part_data)+2)))</f>
        <v>0.05585</v>
      </c>
      <c r="I169" s="10" t="n">
        <f aca="false">IFERROR(G169*H169,"")</f>
        <v>2.7925</v>
      </c>
      <c r="J169" s="0" t="n">
        <v>0</v>
      </c>
      <c r="L169" s="10" t="n">
        <f aca="false">IFERROR(LOOKUP(IF(K169="",G169,K169),{0,1,5000},{0,0.05585,0.05585}),"")</f>
        <v>0.05585</v>
      </c>
      <c r="M169" s="10" t="n">
        <f aca="false">IFERROR(IF(K169="",G169,K169)*L169,"")</f>
        <v>2.7925</v>
      </c>
      <c r="N169" s="0" t="s">
        <v>901</v>
      </c>
      <c r="O169" s="11" t="s">
        <v>27</v>
      </c>
      <c r="U169" s="11" t="s">
        <v>27</v>
      </c>
    </row>
    <row r="170" customFormat="false" ht="15" hidden="false" customHeight="false" outlineLevel="0" collapsed="false">
      <c r="A170" s="0" t="s">
        <v>902</v>
      </c>
      <c r="B170" s="0" t="s">
        <v>903</v>
      </c>
      <c r="C170" s="0" t="s">
        <v>799</v>
      </c>
      <c r="D170" s="0" t="s">
        <v>106</v>
      </c>
      <c r="E170" s="0" t="s">
        <v>107</v>
      </c>
      <c r="F170" s="0" t="s">
        <v>800</v>
      </c>
      <c r="G170" s="0" t="n">
        <f aca="false">BoardQty*16</f>
        <v>800</v>
      </c>
      <c r="H170" s="10" t="n">
        <f aca="true">MINA(INDIRECT(ADDRESS(ROW(),COLUMN(newark_part_data)+2)),INDIRECT(ADDRESS(ROW(),COLUMN(digikey_part_data)+2)),INDIRECT(ADDRESS(ROW(),COLUMN(mouser_part_data)+2)))</f>
        <v>0.0924</v>
      </c>
      <c r="I170" s="10" t="n">
        <f aca="false">IFERROR(G170*H170,"")</f>
        <v>73.92</v>
      </c>
      <c r="J170" s="0" t="n">
        <v>0</v>
      </c>
      <c r="L170" s="10" t="n">
        <f aca="false">IFERROR(LOOKUP(IF(K170="",G170,K170),{0,1,10,25,100,250,500,1000,2000,6000,10000,50000,100000},{0,0.41,0.297,0.2276,0.1485,0.10892,0.0924,0.0759,0.06,0.054,0.048,0.0405,0.039}),"")</f>
        <v>0.0924</v>
      </c>
      <c r="M170" s="10" t="n">
        <f aca="false">IFERROR(IF(K170="",G170,K170)*L170,"")</f>
        <v>73.92</v>
      </c>
      <c r="N170" s="0" t="s">
        <v>801</v>
      </c>
      <c r="O170" s="11" t="s">
        <v>27</v>
      </c>
    </row>
    <row r="171" customFormat="false" ht="15" hidden="false" customHeight="false" outlineLevel="0" collapsed="false">
      <c r="A171" s="0" t="s">
        <v>904</v>
      </c>
      <c r="B171" s="0" t="s">
        <v>905</v>
      </c>
      <c r="C171" s="0" t="s">
        <v>835</v>
      </c>
      <c r="D171" s="0" t="s">
        <v>48</v>
      </c>
      <c r="E171" s="0" t="s">
        <v>49</v>
      </c>
      <c r="F171" s="0" t="s">
        <v>821</v>
      </c>
      <c r="G171" s="0" t="n">
        <f aca="false">BoardQty*1</f>
        <v>50</v>
      </c>
      <c r="H171" s="10" t="n">
        <f aca="true">MINA(INDIRECT(ADDRESS(ROW(),COLUMN(newark_part_data)+2)),INDIRECT(ADDRESS(ROW(),COLUMN(digikey_part_data)+2)),INDIRECT(ADDRESS(ROW(),COLUMN(mouser_part_data)+2)))</f>
        <v>0.008</v>
      </c>
      <c r="I171" s="10" t="n">
        <f aca="false">IFERROR(G171*H171,"")</f>
        <v>0.4</v>
      </c>
      <c r="J171" s="0" t="n">
        <v>2286580</v>
      </c>
      <c r="L171" s="10" t="n">
        <f aca="false">IFERROR(LOOKUP(IF(K171="",G171,K171),{0,1,10,25,100,250,500,1000,2500,5000,10000,25000,50000,125000},{0,0.1,0.011,0.008,0.0044,0.00336,0.0027,0.00198,0.00172,0.00129,0.00112,0.00099,0.0009,0.00089}),"")</f>
        <v>0.008</v>
      </c>
      <c r="M171" s="10" t="n">
        <f aca="false">IFERROR(IF(K171="",G171,K171)*L171,"")</f>
        <v>0.4</v>
      </c>
      <c r="N171" s="0" t="s">
        <v>822</v>
      </c>
      <c r="O171" s="11" t="s">
        <v>27</v>
      </c>
      <c r="P171" s="0" t="n">
        <v>79056</v>
      </c>
      <c r="R171" s="10" t="n">
        <f aca="false">IFERROR(LOOKUP(IF(Q171="",G171,Q171),{0,1,10,100,1000,5000,50000},{0,0.099,0.008,0.003,0.002,0.002,0.001}),"")</f>
        <v>0.008</v>
      </c>
      <c r="S171" s="10" t="n">
        <f aca="false">IFERROR(IF(Q171="",G171,Q171)*R171,"")</f>
        <v>0.4</v>
      </c>
      <c r="T171" s="0" t="s">
        <v>823</v>
      </c>
      <c r="U171" s="11" t="s">
        <v>27</v>
      </c>
      <c r="V171" s="0" t="n">
        <v>39582</v>
      </c>
      <c r="X171" s="10" t="n">
        <f aca="false">IFERROR(LOOKUP(IF(W171="",G171,W171),{0,1,10,25,100,250,1000},{0,0.008,0.008,0.008,0.005,0.003,0.003}),"")</f>
        <v>0.008</v>
      </c>
      <c r="Y171" s="10" t="n">
        <f aca="false">IFERROR(IF(W171="",G171,W171)*X171,"")</f>
        <v>0.4</v>
      </c>
      <c r="Z171" s="0" t="s">
        <v>824</v>
      </c>
      <c r="AA171" s="11" t="s">
        <v>27</v>
      </c>
    </row>
    <row r="173" customFormat="false" ht="15" hidden="false" customHeight="false" outlineLevel="0" collapsed="false">
      <c r="K173" s="0" t="str">
        <f aca="false">IFERROR(CONCATENATE(TEXT(INDEX($K$7:$K$171,SMALL(IF($N$7:$N$171&lt;&gt;"",IF($K$7:$K$171&lt;&gt;"",ROW($K$7:$K$171)-MIN(ROW($K$7:$K$171))+1,""),""),ROW()-ROW(A$173)+1)),"##0"),","),"")</f>
        <v/>
      </c>
      <c r="L173" s="0" t="str">
        <f aca="false">IFERROR(CONCATENATE((INDEX($N$7:$N$171,SMALL(IF($N$7:$N$171&lt;&gt;"",IF($K$7:$K$171&lt;&gt;"",ROW($K$7:$K$171)-MIN(ROW($K$7:$K$171))+1,""),""),ROW()-ROW(A$173)+1))),","),"")</f>
        <v/>
      </c>
      <c r="M173" s="0" t="str">
        <f aca="false">IFERROR(CONCATENATE((INDEX($A$7:$A$171,SMALL(IF($N$7:$N$171&lt;&gt;"",IF($K$7:$K$171&lt;&gt;"",ROW($K$7:$K$171)-MIN(ROW($K$7:$K$171))+1,""),""),ROW()-ROW(A$173)+1))),),"")</f>
        <v/>
      </c>
      <c r="Q173" s="0" t="str">
        <f aca="false">IFERROR(CONCATENATE((INDEX($T$7:$T$171,SMALL(IF($T$7:$T$171&lt;&gt;"",IF($Q$7:$Q$171&lt;&gt;"",ROW($Q$7:$Q$171)-MIN(ROW($Q$7:$Q$171))+1,""),""),ROW()-ROW(A$173)+1)))," "),"")</f>
        <v/>
      </c>
      <c r="R173" s="0" t="str">
        <f aca="false">IFERROR(CONCATENATE(TEXT(INDEX($Q$7:$Q$171,SMALL(IF($T$7:$T$171&lt;&gt;"",IF($Q$7:$Q$171&lt;&gt;"",ROW($Q$7:$Q$171)-MIN(ROW($Q$7:$Q$171))+1,""),""),ROW()-ROW(A$173)+1)),"##0")," "),"")</f>
        <v/>
      </c>
      <c r="S173" s="0" t="str">
        <f aca="false">IFERROR(CONCATENATE((INDEX($A$7:$A$171,SMALL(IF($T$7:$T$171&lt;&gt;"",IF($Q$7:$Q$171&lt;&gt;"",ROW($Q$7:$Q$171)-MIN(ROW($Q$7:$Q$171))+1,""),""),ROW()-ROW(A$173)+1))),),"")</f>
        <v/>
      </c>
      <c r="W173" s="0" t="str">
        <f aca="false">IFERROR(CONCATENATE((INDEX($Z$7:$Z$171,SMALL(IF($Z$7:$Z$171&lt;&gt;"",IF($W$7:$W$171&lt;&gt;"",ROW($W$7:$W$171)-MIN(ROW($W$7:$W$171))+1,""),""),ROW()-ROW(A$173)+1))),","),"")</f>
        <v/>
      </c>
      <c r="X173" s="0" t="str">
        <f aca="false">IFERROR(CONCATENATE(TEXT(INDEX($W$7:$W$171,SMALL(IF($Z$7:$Z$171&lt;&gt;"",IF($W$7:$W$171&lt;&gt;"",ROW($W$7:$W$171)-MIN(ROW($W$7:$W$171))+1,""),""),ROW()-ROW(A$173)+1)),"##0"),","),"")</f>
        <v/>
      </c>
      <c r="Y173" s="0" t="str">
        <f aca="false">IFERROR(CONCATENATE((INDEX($A$7:$A$171,SMALL(IF($Z$7:$Z$171&lt;&gt;"",IF($W$7:$W$171&lt;&gt;"",ROW($W$7:$W$171)-MIN(ROW($W$7:$W$171))+1,""),""),ROW()-ROW(A$173)+1))),),"")</f>
        <v/>
      </c>
    </row>
    <row r="174" customFormat="false" ht="15" hidden="false" customHeight="false" outlineLevel="0" collapsed="false">
      <c r="K174" s="0" t="str">
        <f aca="false">IFERROR(CONCATENATE(TEXT(INDEX($K$7:$K$171,SMALL(IF($N$7:$N$171&lt;&gt;"",IF($K$7:$K$171&lt;&gt;"",ROW($K$7:$K$171)-MIN(ROW($K$7:$K$171))+1,""),""),ROW()-ROW(A$173)+1)),"##0"),","),"")</f>
        <v/>
      </c>
      <c r="L174" s="0" t="str">
        <f aca="false">IFERROR(CONCATENATE((INDEX($N$7:$N$171,SMALL(IF($N$7:$N$171&lt;&gt;"",IF($K$7:$K$171&lt;&gt;"",ROW($K$7:$K$171)-MIN(ROW($K$7:$K$171))+1,""),""),ROW()-ROW(A$173)+1))),","),"")</f>
        <v/>
      </c>
      <c r="M174" s="0" t="str">
        <f aca="false">IFERROR(CONCATENATE((INDEX($A$7:$A$171,SMALL(IF($N$7:$N$171&lt;&gt;"",IF($K$7:$K$171&lt;&gt;"",ROW($K$7:$K$171)-MIN(ROW($K$7:$K$171))+1,""),""),ROW()-ROW(A$173)+1))),),"")</f>
        <v/>
      </c>
      <c r="Q174" s="0" t="str">
        <f aca="false">IFERROR(CONCATENATE((INDEX($T$7:$T$171,SMALL(IF($T$7:$T$171&lt;&gt;"",IF($Q$7:$Q$171&lt;&gt;"",ROW($Q$7:$Q$171)-MIN(ROW($Q$7:$Q$171))+1,""),""),ROW()-ROW(A$173)+1)))," "),"")</f>
        <v/>
      </c>
      <c r="R174" s="0" t="str">
        <f aca="false">IFERROR(CONCATENATE(TEXT(INDEX($Q$7:$Q$171,SMALL(IF($T$7:$T$171&lt;&gt;"",IF($Q$7:$Q$171&lt;&gt;"",ROW($Q$7:$Q$171)-MIN(ROW($Q$7:$Q$171))+1,""),""),ROW()-ROW(A$173)+1)),"##0")," "),"")</f>
        <v/>
      </c>
      <c r="S174" s="0" t="str">
        <f aca="false">IFERROR(CONCATENATE((INDEX($A$7:$A$171,SMALL(IF($T$7:$T$171&lt;&gt;"",IF($Q$7:$Q$171&lt;&gt;"",ROW($Q$7:$Q$171)-MIN(ROW($Q$7:$Q$171))+1,""),""),ROW()-ROW(A$173)+1))),),"")</f>
        <v/>
      </c>
      <c r="W174" s="0" t="str">
        <f aca="false">IFERROR(CONCATENATE((INDEX($Z$7:$Z$171,SMALL(IF($Z$7:$Z$171&lt;&gt;"",IF($W$7:$W$171&lt;&gt;"",ROW($W$7:$W$171)-MIN(ROW($W$7:$W$171))+1,""),""),ROW()-ROW(A$173)+1))),","),"")</f>
        <v/>
      </c>
      <c r="X174" s="0" t="str">
        <f aca="false">IFERROR(CONCATENATE(TEXT(INDEX($W$7:$W$171,SMALL(IF($Z$7:$Z$171&lt;&gt;"",IF($W$7:$W$171&lt;&gt;"",ROW($W$7:$W$171)-MIN(ROW($W$7:$W$171))+1,""),""),ROW()-ROW(A$173)+1)),"##0"),","),"")</f>
        <v/>
      </c>
      <c r="Y174" s="0" t="str">
        <f aca="false">IFERROR(CONCATENATE((INDEX($A$7:$A$171,SMALL(IF($Z$7:$Z$171&lt;&gt;"",IF($W$7:$W$171&lt;&gt;"",ROW($W$7:$W$171)-MIN(ROW($W$7:$W$171))+1,""),""),ROW()-ROW(A$173)+1))),),"")</f>
        <v/>
      </c>
    </row>
    <row r="175" customFormat="false" ht="15" hidden="false" customHeight="false" outlineLevel="0" collapsed="false">
      <c r="K175" s="0" t="str">
        <f aca="false">IFERROR(CONCATENATE(TEXT(INDEX($K$7:$K$171,SMALL(IF($N$7:$N$171&lt;&gt;"",IF($K$7:$K$171&lt;&gt;"",ROW($K$7:$K$171)-MIN(ROW($K$7:$K$171))+1,""),""),ROW()-ROW(A$173)+1)),"##0"),","),"")</f>
        <v/>
      </c>
      <c r="L175" s="0" t="str">
        <f aca="false">IFERROR(CONCATENATE((INDEX($N$7:$N$171,SMALL(IF($N$7:$N$171&lt;&gt;"",IF($K$7:$K$171&lt;&gt;"",ROW($K$7:$K$171)-MIN(ROW($K$7:$K$171))+1,""),""),ROW()-ROW(A$173)+1))),","),"")</f>
        <v/>
      </c>
      <c r="M175" s="0" t="str">
        <f aca="false">IFERROR(CONCATENATE((INDEX($A$7:$A$171,SMALL(IF($N$7:$N$171&lt;&gt;"",IF($K$7:$K$171&lt;&gt;"",ROW($K$7:$K$171)-MIN(ROW($K$7:$K$171))+1,""),""),ROW()-ROW(A$173)+1))),),"")</f>
        <v/>
      </c>
      <c r="Q175" s="0" t="str">
        <f aca="false">IFERROR(CONCATENATE((INDEX($T$7:$T$171,SMALL(IF($T$7:$T$171&lt;&gt;"",IF($Q$7:$Q$171&lt;&gt;"",ROW($Q$7:$Q$171)-MIN(ROW($Q$7:$Q$171))+1,""),""),ROW()-ROW(A$173)+1)))," "),"")</f>
        <v/>
      </c>
      <c r="R175" s="0" t="str">
        <f aca="false">IFERROR(CONCATENATE(TEXT(INDEX($Q$7:$Q$171,SMALL(IF($T$7:$T$171&lt;&gt;"",IF($Q$7:$Q$171&lt;&gt;"",ROW($Q$7:$Q$171)-MIN(ROW($Q$7:$Q$171))+1,""),""),ROW()-ROW(A$173)+1)),"##0")," "),"")</f>
        <v/>
      </c>
      <c r="S175" s="0" t="str">
        <f aca="false">IFERROR(CONCATENATE((INDEX($A$7:$A$171,SMALL(IF($T$7:$T$171&lt;&gt;"",IF($Q$7:$Q$171&lt;&gt;"",ROW($Q$7:$Q$171)-MIN(ROW($Q$7:$Q$171))+1,""),""),ROW()-ROW(A$173)+1))),),"")</f>
        <v/>
      </c>
      <c r="W175" s="0" t="str">
        <f aca="false">IFERROR(CONCATENATE((INDEX($Z$7:$Z$171,SMALL(IF($Z$7:$Z$171&lt;&gt;"",IF($W$7:$W$171&lt;&gt;"",ROW($W$7:$W$171)-MIN(ROW($W$7:$W$171))+1,""),""),ROW()-ROW(A$173)+1))),","),"")</f>
        <v/>
      </c>
      <c r="X175" s="0" t="str">
        <f aca="false">IFERROR(CONCATENATE(TEXT(INDEX($W$7:$W$171,SMALL(IF($Z$7:$Z$171&lt;&gt;"",IF($W$7:$W$171&lt;&gt;"",ROW($W$7:$W$171)-MIN(ROW($W$7:$W$171))+1,""),""),ROW()-ROW(A$173)+1)),"##0"),","),"")</f>
        <v/>
      </c>
      <c r="Y175" s="0" t="str">
        <f aca="false">IFERROR(CONCATENATE((INDEX($A$7:$A$171,SMALL(IF($Z$7:$Z$171&lt;&gt;"",IF($W$7:$W$171&lt;&gt;"",ROW($W$7:$W$171)-MIN(ROW($W$7:$W$171))+1,""),""),ROW()-ROW(A$173)+1))),),"")</f>
        <v/>
      </c>
    </row>
    <row r="176" customFormat="false" ht="15" hidden="false" customHeight="false" outlineLevel="0" collapsed="false">
      <c r="K176" s="0" t="str">
        <f aca="false">IFERROR(CONCATENATE(TEXT(INDEX($K$7:$K$171,SMALL(IF($N$7:$N$171&lt;&gt;"",IF($K$7:$K$171&lt;&gt;"",ROW($K$7:$K$171)-MIN(ROW($K$7:$K$171))+1,""),""),ROW()-ROW(A$173)+1)),"##0"),","),"")</f>
        <v/>
      </c>
      <c r="L176" s="0" t="str">
        <f aca="false">IFERROR(CONCATENATE((INDEX($N$7:$N$171,SMALL(IF($N$7:$N$171&lt;&gt;"",IF($K$7:$K$171&lt;&gt;"",ROW($K$7:$K$171)-MIN(ROW($K$7:$K$171))+1,""),""),ROW()-ROW(A$173)+1))),","),"")</f>
        <v/>
      </c>
      <c r="M176" s="0" t="str">
        <f aca="false">IFERROR(CONCATENATE((INDEX($A$7:$A$171,SMALL(IF($N$7:$N$171&lt;&gt;"",IF($K$7:$K$171&lt;&gt;"",ROW($K$7:$K$171)-MIN(ROW($K$7:$K$171))+1,""),""),ROW()-ROW(A$173)+1))),),"")</f>
        <v/>
      </c>
      <c r="Q176" s="0" t="str">
        <f aca="false">IFERROR(CONCATENATE((INDEX($T$7:$T$171,SMALL(IF($T$7:$T$171&lt;&gt;"",IF($Q$7:$Q$171&lt;&gt;"",ROW($Q$7:$Q$171)-MIN(ROW($Q$7:$Q$171))+1,""),""),ROW()-ROW(A$173)+1)))," "),"")</f>
        <v/>
      </c>
      <c r="R176" s="0" t="str">
        <f aca="false">IFERROR(CONCATENATE(TEXT(INDEX($Q$7:$Q$171,SMALL(IF($T$7:$T$171&lt;&gt;"",IF($Q$7:$Q$171&lt;&gt;"",ROW($Q$7:$Q$171)-MIN(ROW($Q$7:$Q$171))+1,""),""),ROW()-ROW(A$173)+1)),"##0")," "),"")</f>
        <v/>
      </c>
      <c r="S176" s="0" t="str">
        <f aca="false">IFERROR(CONCATENATE((INDEX($A$7:$A$171,SMALL(IF($T$7:$T$171&lt;&gt;"",IF($Q$7:$Q$171&lt;&gt;"",ROW($Q$7:$Q$171)-MIN(ROW($Q$7:$Q$171))+1,""),""),ROW()-ROW(A$173)+1))),),"")</f>
        <v/>
      </c>
      <c r="W176" s="0" t="str">
        <f aca="false">IFERROR(CONCATENATE((INDEX($Z$7:$Z$171,SMALL(IF($Z$7:$Z$171&lt;&gt;"",IF($W$7:$W$171&lt;&gt;"",ROW($W$7:$W$171)-MIN(ROW($W$7:$W$171))+1,""),""),ROW()-ROW(A$173)+1))),","),"")</f>
        <v/>
      </c>
      <c r="X176" s="0" t="str">
        <f aca="false">IFERROR(CONCATENATE(TEXT(INDEX($W$7:$W$171,SMALL(IF($Z$7:$Z$171&lt;&gt;"",IF($W$7:$W$171&lt;&gt;"",ROW($W$7:$W$171)-MIN(ROW($W$7:$W$171))+1,""),""),ROW()-ROW(A$173)+1)),"##0"),","),"")</f>
        <v/>
      </c>
      <c r="Y176" s="0" t="str">
        <f aca="false">IFERROR(CONCATENATE((INDEX($A$7:$A$171,SMALL(IF($Z$7:$Z$171&lt;&gt;"",IF($W$7:$W$171&lt;&gt;"",ROW($W$7:$W$171)-MIN(ROW($W$7:$W$171))+1,""),""),ROW()-ROW(A$173)+1))),),"")</f>
        <v/>
      </c>
    </row>
    <row r="177" customFormat="false" ht="15" hidden="false" customHeight="false" outlineLevel="0" collapsed="false">
      <c r="K177" s="0" t="str">
        <f aca="false">IFERROR(CONCATENATE(TEXT(INDEX($K$7:$K$171,SMALL(IF($N$7:$N$171&lt;&gt;"",IF($K$7:$K$171&lt;&gt;"",ROW($K$7:$K$171)-MIN(ROW($K$7:$K$171))+1,""),""),ROW()-ROW(A$173)+1)),"##0"),","),"")</f>
        <v/>
      </c>
      <c r="L177" s="0" t="str">
        <f aca="false">IFERROR(CONCATENATE((INDEX($N$7:$N$171,SMALL(IF($N$7:$N$171&lt;&gt;"",IF($K$7:$K$171&lt;&gt;"",ROW($K$7:$K$171)-MIN(ROW($K$7:$K$171))+1,""),""),ROW()-ROW(A$173)+1))),","),"")</f>
        <v/>
      </c>
      <c r="M177" s="0" t="str">
        <f aca="false">IFERROR(CONCATENATE((INDEX($A$7:$A$171,SMALL(IF($N$7:$N$171&lt;&gt;"",IF($K$7:$K$171&lt;&gt;"",ROW($K$7:$K$171)-MIN(ROW($K$7:$K$171))+1,""),""),ROW()-ROW(A$173)+1))),),"")</f>
        <v/>
      </c>
      <c r="Q177" s="0" t="str">
        <f aca="false">IFERROR(CONCATENATE((INDEX($T$7:$T$171,SMALL(IF($T$7:$T$171&lt;&gt;"",IF($Q$7:$Q$171&lt;&gt;"",ROW($Q$7:$Q$171)-MIN(ROW($Q$7:$Q$171))+1,""),""),ROW()-ROW(A$173)+1)))," "),"")</f>
        <v/>
      </c>
      <c r="R177" s="0" t="str">
        <f aca="false">IFERROR(CONCATENATE(TEXT(INDEX($Q$7:$Q$171,SMALL(IF($T$7:$T$171&lt;&gt;"",IF($Q$7:$Q$171&lt;&gt;"",ROW($Q$7:$Q$171)-MIN(ROW($Q$7:$Q$171))+1,""),""),ROW()-ROW(A$173)+1)),"##0")," "),"")</f>
        <v/>
      </c>
      <c r="S177" s="0" t="str">
        <f aca="false">IFERROR(CONCATENATE((INDEX($A$7:$A$171,SMALL(IF($T$7:$T$171&lt;&gt;"",IF($Q$7:$Q$171&lt;&gt;"",ROW($Q$7:$Q$171)-MIN(ROW($Q$7:$Q$171))+1,""),""),ROW()-ROW(A$173)+1))),),"")</f>
        <v/>
      </c>
      <c r="W177" s="0" t="str">
        <f aca="false">IFERROR(CONCATENATE((INDEX($Z$7:$Z$171,SMALL(IF($Z$7:$Z$171&lt;&gt;"",IF($W$7:$W$171&lt;&gt;"",ROW($W$7:$W$171)-MIN(ROW($W$7:$W$171))+1,""),""),ROW()-ROW(A$173)+1))),","),"")</f>
        <v/>
      </c>
      <c r="X177" s="0" t="str">
        <f aca="false">IFERROR(CONCATENATE(TEXT(INDEX($W$7:$W$171,SMALL(IF($Z$7:$Z$171&lt;&gt;"",IF($W$7:$W$171&lt;&gt;"",ROW($W$7:$W$171)-MIN(ROW($W$7:$W$171))+1,""),""),ROW()-ROW(A$173)+1)),"##0"),","),"")</f>
        <v/>
      </c>
      <c r="Y177" s="0" t="str">
        <f aca="false">IFERROR(CONCATENATE((INDEX($A$7:$A$171,SMALL(IF($Z$7:$Z$171&lt;&gt;"",IF($W$7:$W$171&lt;&gt;"",ROW($W$7:$W$171)-MIN(ROW($W$7:$W$171))+1,""),""),ROW()-ROW(A$173)+1))),),"")</f>
        <v/>
      </c>
    </row>
    <row r="178" customFormat="false" ht="15" hidden="false" customHeight="false" outlineLevel="0" collapsed="false">
      <c r="K178" s="0" t="str">
        <f aca="false">IFERROR(CONCATENATE(TEXT(INDEX($K$7:$K$171,SMALL(IF($N$7:$N$171&lt;&gt;"",IF($K$7:$K$171&lt;&gt;"",ROW($K$7:$K$171)-MIN(ROW($K$7:$K$171))+1,""),""),ROW()-ROW(A$173)+1)),"##0"),","),"")</f>
        <v/>
      </c>
      <c r="L178" s="0" t="str">
        <f aca="false">IFERROR(CONCATENATE((INDEX($N$7:$N$171,SMALL(IF($N$7:$N$171&lt;&gt;"",IF($K$7:$K$171&lt;&gt;"",ROW($K$7:$K$171)-MIN(ROW($K$7:$K$171))+1,""),""),ROW()-ROW(A$173)+1))),","),"")</f>
        <v/>
      </c>
      <c r="M178" s="0" t="str">
        <f aca="false">IFERROR(CONCATENATE((INDEX($A$7:$A$171,SMALL(IF($N$7:$N$171&lt;&gt;"",IF($K$7:$K$171&lt;&gt;"",ROW($K$7:$K$171)-MIN(ROW($K$7:$K$171))+1,""),""),ROW()-ROW(A$173)+1))),),"")</f>
        <v/>
      </c>
      <c r="Q178" s="0" t="str">
        <f aca="false">IFERROR(CONCATENATE((INDEX($T$7:$T$171,SMALL(IF($T$7:$T$171&lt;&gt;"",IF($Q$7:$Q$171&lt;&gt;"",ROW($Q$7:$Q$171)-MIN(ROW($Q$7:$Q$171))+1,""),""),ROW()-ROW(A$173)+1)))," "),"")</f>
        <v/>
      </c>
      <c r="R178" s="0" t="str">
        <f aca="false">IFERROR(CONCATENATE(TEXT(INDEX($Q$7:$Q$171,SMALL(IF($T$7:$T$171&lt;&gt;"",IF($Q$7:$Q$171&lt;&gt;"",ROW($Q$7:$Q$171)-MIN(ROW($Q$7:$Q$171))+1,""),""),ROW()-ROW(A$173)+1)),"##0")," "),"")</f>
        <v/>
      </c>
      <c r="S178" s="0" t="str">
        <f aca="false">IFERROR(CONCATENATE((INDEX($A$7:$A$171,SMALL(IF($T$7:$T$171&lt;&gt;"",IF($Q$7:$Q$171&lt;&gt;"",ROW($Q$7:$Q$171)-MIN(ROW($Q$7:$Q$171))+1,""),""),ROW()-ROW(A$173)+1))),),"")</f>
        <v/>
      </c>
      <c r="W178" s="0" t="str">
        <f aca="false">IFERROR(CONCATENATE((INDEX($Z$7:$Z$171,SMALL(IF($Z$7:$Z$171&lt;&gt;"",IF($W$7:$W$171&lt;&gt;"",ROW($W$7:$W$171)-MIN(ROW($W$7:$W$171))+1,""),""),ROW()-ROW(A$173)+1))),","),"")</f>
        <v/>
      </c>
      <c r="X178" s="0" t="str">
        <f aca="false">IFERROR(CONCATENATE(TEXT(INDEX($W$7:$W$171,SMALL(IF($Z$7:$Z$171&lt;&gt;"",IF($W$7:$W$171&lt;&gt;"",ROW($W$7:$W$171)-MIN(ROW($W$7:$W$171))+1,""),""),ROW()-ROW(A$173)+1)),"##0"),","),"")</f>
        <v/>
      </c>
      <c r="Y178" s="0" t="str">
        <f aca="false">IFERROR(CONCATENATE((INDEX($A$7:$A$171,SMALL(IF($Z$7:$Z$171&lt;&gt;"",IF($W$7:$W$171&lt;&gt;"",ROW($W$7:$W$171)-MIN(ROW($W$7:$W$171))+1,""),""),ROW()-ROW(A$173)+1))),),"")</f>
        <v/>
      </c>
    </row>
    <row r="179" customFormat="false" ht="15" hidden="false" customHeight="false" outlineLevel="0" collapsed="false">
      <c r="K179" s="0" t="str">
        <f aca="false">IFERROR(CONCATENATE(TEXT(INDEX($K$7:$K$171,SMALL(IF($N$7:$N$171&lt;&gt;"",IF($K$7:$K$171&lt;&gt;"",ROW($K$7:$K$171)-MIN(ROW($K$7:$K$171))+1,""),""),ROW()-ROW(A$173)+1)),"##0"),","),"")</f>
        <v/>
      </c>
      <c r="L179" s="0" t="str">
        <f aca="false">IFERROR(CONCATENATE((INDEX($N$7:$N$171,SMALL(IF($N$7:$N$171&lt;&gt;"",IF($K$7:$K$171&lt;&gt;"",ROW($K$7:$K$171)-MIN(ROW($K$7:$K$171))+1,""),""),ROW()-ROW(A$173)+1))),","),"")</f>
        <v/>
      </c>
      <c r="M179" s="0" t="str">
        <f aca="false">IFERROR(CONCATENATE((INDEX($A$7:$A$171,SMALL(IF($N$7:$N$171&lt;&gt;"",IF($K$7:$K$171&lt;&gt;"",ROW($K$7:$K$171)-MIN(ROW($K$7:$K$171))+1,""),""),ROW()-ROW(A$173)+1))),),"")</f>
        <v/>
      </c>
      <c r="Q179" s="0" t="str">
        <f aca="false">IFERROR(CONCATENATE((INDEX($T$7:$T$171,SMALL(IF($T$7:$T$171&lt;&gt;"",IF($Q$7:$Q$171&lt;&gt;"",ROW($Q$7:$Q$171)-MIN(ROW($Q$7:$Q$171))+1,""),""),ROW()-ROW(A$173)+1)))," "),"")</f>
        <v/>
      </c>
      <c r="R179" s="0" t="str">
        <f aca="false">IFERROR(CONCATENATE(TEXT(INDEX($Q$7:$Q$171,SMALL(IF($T$7:$T$171&lt;&gt;"",IF($Q$7:$Q$171&lt;&gt;"",ROW($Q$7:$Q$171)-MIN(ROW($Q$7:$Q$171))+1,""),""),ROW()-ROW(A$173)+1)),"##0")," "),"")</f>
        <v/>
      </c>
      <c r="S179" s="0" t="str">
        <f aca="false">IFERROR(CONCATENATE((INDEX($A$7:$A$171,SMALL(IF($T$7:$T$171&lt;&gt;"",IF($Q$7:$Q$171&lt;&gt;"",ROW($Q$7:$Q$171)-MIN(ROW($Q$7:$Q$171))+1,""),""),ROW()-ROW(A$173)+1))),),"")</f>
        <v/>
      </c>
      <c r="W179" s="0" t="str">
        <f aca="false">IFERROR(CONCATENATE((INDEX($Z$7:$Z$171,SMALL(IF($Z$7:$Z$171&lt;&gt;"",IF($W$7:$W$171&lt;&gt;"",ROW($W$7:$W$171)-MIN(ROW($W$7:$W$171))+1,""),""),ROW()-ROW(A$173)+1))),","),"")</f>
        <v/>
      </c>
      <c r="X179" s="0" t="str">
        <f aca="false">IFERROR(CONCATENATE(TEXT(INDEX($W$7:$W$171,SMALL(IF($Z$7:$Z$171&lt;&gt;"",IF($W$7:$W$171&lt;&gt;"",ROW($W$7:$W$171)-MIN(ROW($W$7:$W$171))+1,""),""),ROW()-ROW(A$173)+1)),"##0"),","),"")</f>
        <v/>
      </c>
      <c r="Y179" s="0" t="str">
        <f aca="false">IFERROR(CONCATENATE((INDEX($A$7:$A$171,SMALL(IF($Z$7:$Z$171&lt;&gt;"",IF($W$7:$W$171&lt;&gt;"",ROW($W$7:$W$171)-MIN(ROW($W$7:$W$171))+1,""),""),ROW()-ROW(A$173)+1))),),"")</f>
        <v/>
      </c>
    </row>
    <row r="180" customFormat="false" ht="15" hidden="false" customHeight="false" outlineLevel="0" collapsed="false">
      <c r="K180" s="0" t="str">
        <f aca="false">IFERROR(CONCATENATE(TEXT(INDEX($K$7:$K$171,SMALL(IF($N$7:$N$171&lt;&gt;"",IF($K$7:$K$171&lt;&gt;"",ROW($K$7:$K$171)-MIN(ROW($K$7:$K$171))+1,""),""),ROW()-ROW(A$173)+1)),"##0"),","),"")</f>
        <v/>
      </c>
      <c r="L180" s="0" t="str">
        <f aca="false">IFERROR(CONCATENATE((INDEX($N$7:$N$171,SMALL(IF($N$7:$N$171&lt;&gt;"",IF($K$7:$K$171&lt;&gt;"",ROW($K$7:$K$171)-MIN(ROW($K$7:$K$171))+1,""),""),ROW()-ROW(A$173)+1))),","),"")</f>
        <v/>
      </c>
      <c r="M180" s="0" t="str">
        <f aca="false">IFERROR(CONCATENATE((INDEX($A$7:$A$171,SMALL(IF($N$7:$N$171&lt;&gt;"",IF($K$7:$K$171&lt;&gt;"",ROW($K$7:$K$171)-MIN(ROW($K$7:$K$171))+1,""),""),ROW()-ROW(A$173)+1))),),"")</f>
        <v/>
      </c>
      <c r="Q180" s="0" t="str">
        <f aca="false">IFERROR(CONCATENATE((INDEX($T$7:$T$171,SMALL(IF($T$7:$T$171&lt;&gt;"",IF($Q$7:$Q$171&lt;&gt;"",ROW($Q$7:$Q$171)-MIN(ROW($Q$7:$Q$171))+1,""),""),ROW()-ROW(A$173)+1)))," "),"")</f>
        <v/>
      </c>
      <c r="R180" s="0" t="str">
        <f aca="false">IFERROR(CONCATENATE(TEXT(INDEX($Q$7:$Q$171,SMALL(IF($T$7:$T$171&lt;&gt;"",IF($Q$7:$Q$171&lt;&gt;"",ROW($Q$7:$Q$171)-MIN(ROW($Q$7:$Q$171))+1,""),""),ROW()-ROW(A$173)+1)),"##0")," "),"")</f>
        <v/>
      </c>
      <c r="S180" s="0" t="str">
        <f aca="false">IFERROR(CONCATENATE((INDEX($A$7:$A$171,SMALL(IF($T$7:$T$171&lt;&gt;"",IF($Q$7:$Q$171&lt;&gt;"",ROW($Q$7:$Q$171)-MIN(ROW($Q$7:$Q$171))+1,""),""),ROW()-ROW(A$173)+1))),),"")</f>
        <v/>
      </c>
      <c r="W180" s="0" t="str">
        <f aca="false">IFERROR(CONCATENATE((INDEX($Z$7:$Z$171,SMALL(IF($Z$7:$Z$171&lt;&gt;"",IF($W$7:$W$171&lt;&gt;"",ROW($W$7:$W$171)-MIN(ROW($W$7:$W$171))+1,""),""),ROW()-ROW(A$173)+1))),","),"")</f>
        <v/>
      </c>
      <c r="X180" s="0" t="str">
        <f aca="false">IFERROR(CONCATENATE(TEXT(INDEX($W$7:$W$171,SMALL(IF($Z$7:$Z$171&lt;&gt;"",IF($W$7:$W$171&lt;&gt;"",ROW($W$7:$W$171)-MIN(ROW($W$7:$W$171))+1,""),""),ROW()-ROW(A$173)+1)),"##0"),","),"")</f>
        <v/>
      </c>
      <c r="Y180" s="0" t="str">
        <f aca="false">IFERROR(CONCATENATE((INDEX($A$7:$A$171,SMALL(IF($Z$7:$Z$171&lt;&gt;"",IF($W$7:$W$171&lt;&gt;"",ROW($W$7:$W$171)-MIN(ROW($W$7:$W$171))+1,""),""),ROW()-ROW(A$173)+1))),),"")</f>
        <v/>
      </c>
    </row>
    <row r="181" customFormat="false" ht="15" hidden="false" customHeight="false" outlineLevel="0" collapsed="false">
      <c r="K181" s="0" t="str">
        <f aca="false">IFERROR(CONCATENATE(TEXT(INDEX($K$7:$K$171,SMALL(IF($N$7:$N$171&lt;&gt;"",IF($K$7:$K$171&lt;&gt;"",ROW($K$7:$K$171)-MIN(ROW($K$7:$K$171))+1,""),""),ROW()-ROW(A$173)+1)),"##0"),","),"")</f>
        <v/>
      </c>
      <c r="L181" s="0" t="str">
        <f aca="false">IFERROR(CONCATENATE((INDEX($N$7:$N$171,SMALL(IF($N$7:$N$171&lt;&gt;"",IF($K$7:$K$171&lt;&gt;"",ROW($K$7:$K$171)-MIN(ROW($K$7:$K$171))+1,""),""),ROW()-ROW(A$173)+1))),","),"")</f>
        <v/>
      </c>
      <c r="M181" s="0" t="str">
        <f aca="false">IFERROR(CONCATENATE((INDEX($A$7:$A$171,SMALL(IF($N$7:$N$171&lt;&gt;"",IF($K$7:$K$171&lt;&gt;"",ROW($K$7:$K$171)-MIN(ROW($K$7:$K$171))+1,""),""),ROW()-ROW(A$173)+1))),),"")</f>
        <v/>
      </c>
      <c r="Q181" s="0" t="str">
        <f aca="false">IFERROR(CONCATENATE((INDEX($T$7:$T$171,SMALL(IF($T$7:$T$171&lt;&gt;"",IF($Q$7:$Q$171&lt;&gt;"",ROW($Q$7:$Q$171)-MIN(ROW($Q$7:$Q$171))+1,""),""),ROW()-ROW(A$173)+1)))," "),"")</f>
        <v/>
      </c>
      <c r="R181" s="0" t="str">
        <f aca="false">IFERROR(CONCATENATE(TEXT(INDEX($Q$7:$Q$171,SMALL(IF($T$7:$T$171&lt;&gt;"",IF($Q$7:$Q$171&lt;&gt;"",ROW($Q$7:$Q$171)-MIN(ROW($Q$7:$Q$171))+1,""),""),ROW()-ROW(A$173)+1)),"##0")," "),"")</f>
        <v/>
      </c>
      <c r="S181" s="0" t="str">
        <f aca="false">IFERROR(CONCATENATE((INDEX($A$7:$A$171,SMALL(IF($T$7:$T$171&lt;&gt;"",IF($Q$7:$Q$171&lt;&gt;"",ROW($Q$7:$Q$171)-MIN(ROW($Q$7:$Q$171))+1,""),""),ROW()-ROW(A$173)+1))),),"")</f>
        <v/>
      </c>
      <c r="W181" s="0" t="str">
        <f aca="false">IFERROR(CONCATENATE((INDEX($Z$7:$Z$171,SMALL(IF($Z$7:$Z$171&lt;&gt;"",IF($W$7:$W$171&lt;&gt;"",ROW($W$7:$W$171)-MIN(ROW($W$7:$W$171))+1,""),""),ROW()-ROW(A$173)+1))),","),"")</f>
        <v/>
      </c>
      <c r="X181" s="0" t="str">
        <f aca="false">IFERROR(CONCATENATE(TEXT(INDEX($W$7:$W$171,SMALL(IF($Z$7:$Z$171&lt;&gt;"",IF($W$7:$W$171&lt;&gt;"",ROW($W$7:$W$171)-MIN(ROW($W$7:$W$171))+1,""),""),ROW()-ROW(A$173)+1)),"##0"),","),"")</f>
        <v/>
      </c>
      <c r="Y181" s="0" t="str">
        <f aca="false">IFERROR(CONCATENATE((INDEX($A$7:$A$171,SMALL(IF($Z$7:$Z$171&lt;&gt;"",IF($W$7:$W$171&lt;&gt;"",ROW($W$7:$W$171)-MIN(ROW($W$7:$W$171))+1,""),""),ROW()-ROW(A$173)+1))),),"")</f>
        <v/>
      </c>
    </row>
    <row r="182" customFormat="false" ht="15" hidden="false" customHeight="false" outlineLevel="0" collapsed="false">
      <c r="K182" s="0" t="str">
        <f aca="false">IFERROR(CONCATENATE(TEXT(INDEX($K$7:$K$171,SMALL(IF($N$7:$N$171&lt;&gt;"",IF($K$7:$K$171&lt;&gt;"",ROW($K$7:$K$171)-MIN(ROW($K$7:$K$171))+1,""),""),ROW()-ROW(A$173)+1)),"##0"),","),"")</f>
        <v/>
      </c>
      <c r="L182" s="0" t="str">
        <f aca="false">IFERROR(CONCATENATE((INDEX($N$7:$N$171,SMALL(IF($N$7:$N$171&lt;&gt;"",IF($K$7:$K$171&lt;&gt;"",ROW($K$7:$K$171)-MIN(ROW($K$7:$K$171))+1,""),""),ROW()-ROW(A$173)+1))),","),"")</f>
        <v/>
      </c>
      <c r="M182" s="0" t="str">
        <f aca="false">IFERROR(CONCATENATE((INDEX($A$7:$A$171,SMALL(IF($N$7:$N$171&lt;&gt;"",IF($K$7:$K$171&lt;&gt;"",ROW($K$7:$K$171)-MIN(ROW($K$7:$K$171))+1,""),""),ROW()-ROW(A$173)+1))),),"")</f>
        <v/>
      </c>
      <c r="Q182" s="0" t="str">
        <f aca="false">IFERROR(CONCATENATE((INDEX($T$7:$T$171,SMALL(IF($T$7:$T$171&lt;&gt;"",IF($Q$7:$Q$171&lt;&gt;"",ROW($Q$7:$Q$171)-MIN(ROW($Q$7:$Q$171))+1,""),""),ROW()-ROW(A$173)+1)))," "),"")</f>
        <v/>
      </c>
      <c r="R182" s="0" t="str">
        <f aca="false">IFERROR(CONCATENATE(TEXT(INDEX($Q$7:$Q$171,SMALL(IF($T$7:$T$171&lt;&gt;"",IF($Q$7:$Q$171&lt;&gt;"",ROW($Q$7:$Q$171)-MIN(ROW($Q$7:$Q$171))+1,""),""),ROW()-ROW(A$173)+1)),"##0")," "),"")</f>
        <v/>
      </c>
      <c r="S182" s="0" t="str">
        <f aca="false">IFERROR(CONCATENATE((INDEX($A$7:$A$171,SMALL(IF($T$7:$T$171&lt;&gt;"",IF($Q$7:$Q$171&lt;&gt;"",ROW($Q$7:$Q$171)-MIN(ROW($Q$7:$Q$171))+1,""),""),ROW()-ROW(A$173)+1))),),"")</f>
        <v/>
      </c>
      <c r="W182" s="0" t="str">
        <f aca="false">IFERROR(CONCATENATE((INDEX($Z$7:$Z$171,SMALL(IF($Z$7:$Z$171&lt;&gt;"",IF($W$7:$W$171&lt;&gt;"",ROW($W$7:$W$171)-MIN(ROW($W$7:$W$171))+1,""),""),ROW()-ROW(A$173)+1))),","),"")</f>
        <v/>
      </c>
      <c r="X182" s="0" t="str">
        <f aca="false">IFERROR(CONCATENATE(TEXT(INDEX($W$7:$W$171,SMALL(IF($Z$7:$Z$171&lt;&gt;"",IF($W$7:$W$171&lt;&gt;"",ROW($W$7:$W$171)-MIN(ROW($W$7:$W$171))+1,""),""),ROW()-ROW(A$173)+1)),"##0"),","),"")</f>
        <v/>
      </c>
      <c r="Y182" s="0" t="str">
        <f aca="false">IFERROR(CONCATENATE((INDEX($A$7:$A$171,SMALL(IF($Z$7:$Z$171&lt;&gt;"",IF($W$7:$W$171&lt;&gt;"",ROW($W$7:$W$171)-MIN(ROW($W$7:$W$171))+1,""),""),ROW()-ROW(A$173)+1))),),"")</f>
        <v/>
      </c>
    </row>
    <row r="183" customFormat="false" ht="15" hidden="false" customHeight="false" outlineLevel="0" collapsed="false">
      <c r="K183" s="0" t="str">
        <f aca="false">IFERROR(CONCATENATE(TEXT(INDEX($K$7:$K$171,SMALL(IF($N$7:$N$171&lt;&gt;"",IF($K$7:$K$171&lt;&gt;"",ROW($K$7:$K$171)-MIN(ROW($K$7:$K$171))+1,""),""),ROW()-ROW(A$173)+1)),"##0"),","),"")</f>
        <v/>
      </c>
      <c r="L183" s="0" t="str">
        <f aca="false">IFERROR(CONCATENATE((INDEX($N$7:$N$171,SMALL(IF($N$7:$N$171&lt;&gt;"",IF($K$7:$K$171&lt;&gt;"",ROW($K$7:$K$171)-MIN(ROW($K$7:$K$171))+1,""),""),ROW()-ROW(A$173)+1))),","),"")</f>
        <v/>
      </c>
      <c r="M183" s="0" t="str">
        <f aca="false">IFERROR(CONCATENATE((INDEX($A$7:$A$171,SMALL(IF($N$7:$N$171&lt;&gt;"",IF($K$7:$K$171&lt;&gt;"",ROW($K$7:$K$171)-MIN(ROW($K$7:$K$171))+1,""),""),ROW()-ROW(A$173)+1))),),"")</f>
        <v/>
      </c>
      <c r="Q183" s="0" t="str">
        <f aca="false">IFERROR(CONCATENATE((INDEX($T$7:$T$171,SMALL(IF($T$7:$T$171&lt;&gt;"",IF($Q$7:$Q$171&lt;&gt;"",ROW($Q$7:$Q$171)-MIN(ROW($Q$7:$Q$171))+1,""),""),ROW()-ROW(A$173)+1)))," "),"")</f>
        <v/>
      </c>
      <c r="R183" s="0" t="str">
        <f aca="false">IFERROR(CONCATENATE(TEXT(INDEX($Q$7:$Q$171,SMALL(IF($T$7:$T$171&lt;&gt;"",IF($Q$7:$Q$171&lt;&gt;"",ROW($Q$7:$Q$171)-MIN(ROW($Q$7:$Q$171))+1,""),""),ROW()-ROW(A$173)+1)),"##0")," "),"")</f>
        <v/>
      </c>
      <c r="S183" s="0" t="str">
        <f aca="false">IFERROR(CONCATENATE((INDEX($A$7:$A$171,SMALL(IF($T$7:$T$171&lt;&gt;"",IF($Q$7:$Q$171&lt;&gt;"",ROW($Q$7:$Q$171)-MIN(ROW($Q$7:$Q$171))+1,""),""),ROW()-ROW(A$173)+1))),),"")</f>
        <v/>
      </c>
      <c r="W183" s="0" t="str">
        <f aca="false">IFERROR(CONCATENATE((INDEX($Z$7:$Z$171,SMALL(IF($Z$7:$Z$171&lt;&gt;"",IF($W$7:$W$171&lt;&gt;"",ROW($W$7:$W$171)-MIN(ROW($W$7:$W$171))+1,""),""),ROW()-ROW(A$173)+1))),","),"")</f>
        <v/>
      </c>
      <c r="X183" s="0" t="str">
        <f aca="false">IFERROR(CONCATENATE(TEXT(INDEX($W$7:$W$171,SMALL(IF($Z$7:$Z$171&lt;&gt;"",IF($W$7:$W$171&lt;&gt;"",ROW($W$7:$W$171)-MIN(ROW($W$7:$W$171))+1,""),""),ROW()-ROW(A$173)+1)),"##0"),","),"")</f>
        <v/>
      </c>
      <c r="Y183" s="0" t="str">
        <f aca="false">IFERROR(CONCATENATE((INDEX($A$7:$A$171,SMALL(IF($Z$7:$Z$171&lt;&gt;"",IF($W$7:$W$171&lt;&gt;"",ROW($W$7:$W$171)-MIN(ROW($W$7:$W$171))+1,""),""),ROW()-ROW(A$173)+1))),),"")</f>
        <v/>
      </c>
    </row>
    <row r="184" customFormat="false" ht="15" hidden="false" customHeight="false" outlineLevel="0" collapsed="false">
      <c r="K184" s="0" t="str">
        <f aca="false">IFERROR(CONCATENATE(TEXT(INDEX($K$7:$K$171,SMALL(IF($N$7:$N$171&lt;&gt;"",IF($K$7:$K$171&lt;&gt;"",ROW($K$7:$K$171)-MIN(ROW($K$7:$K$171))+1,""),""),ROW()-ROW(A$173)+1)),"##0"),","),"")</f>
        <v/>
      </c>
      <c r="L184" s="0" t="str">
        <f aca="false">IFERROR(CONCATENATE((INDEX($N$7:$N$171,SMALL(IF($N$7:$N$171&lt;&gt;"",IF($K$7:$K$171&lt;&gt;"",ROW($K$7:$K$171)-MIN(ROW($K$7:$K$171))+1,""),""),ROW()-ROW(A$173)+1))),","),"")</f>
        <v/>
      </c>
      <c r="M184" s="0" t="str">
        <f aca="false">IFERROR(CONCATENATE((INDEX($A$7:$A$171,SMALL(IF($N$7:$N$171&lt;&gt;"",IF($K$7:$K$171&lt;&gt;"",ROW($K$7:$K$171)-MIN(ROW($K$7:$K$171))+1,""),""),ROW()-ROW(A$173)+1))),),"")</f>
        <v/>
      </c>
      <c r="Q184" s="0" t="str">
        <f aca="false">IFERROR(CONCATENATE((INDEX($T$7:$T$171,SMALL(IF($T$7:$T$171&lt;&gt;"",IF($Q$7:$Q$171&lt;&gt;"",ROW($Q$7:$Q$171)-MIN(ROW($Q$7:$Q$171))+1,""),""),ROW()-ROW(A$173)+1)))," "),"")</f>
        <v/>
      </c>
      <c r="R184" s="0" t="str">
        <f aca="false">IFERROR(CONCATENATE(TEXT(INDEX($Q$7:$Q$171,SMALL(IF($T$7:$T$171&lt;&gt;"",IF($Q$7:$Q$171&lt;&gt;"",ROW($Q$7:$Q$171)-MIN(ROW($Q$7:$Q$171))+1,""),""),ROW()-ROW(A$173)+1)),"##0")," "),"")</f>
        <v/>
      </c>
      <c r="S184" s="0" t="str">
        <f aca="false">IFERROR(CONCATENATE((INDEX($A$7:$A$171,SMALL(IF($T$7:$T$171&lt;&gt;"",IF($Q$7:$Q$171&lt;&gt;"",ROW($Q$7:$Q$171)-MIN(ROW($Q$7:$Q$171))+1,""),""),ROW()-ROW(A$173)+1))),),"")</f>
        <v/>
      </c>
      <c r="W184" s="0" t="str">
        <f aca="false">IFERROR(CONCATENATE((INDEX($Z$7:$Z$171,SMALL(IF($Z$7:$Z$171&lt;&gt;"",IF($W$7:$W$171&lt;&gt;"",ROW($W$7:$W$171)-MIN(ROW($W$7:$W$171))+1,""),""),ROW()-ROW(A$173)+1))),","),"")</f>
        <v/>
      </c>
      <c r="X184" s="0" t="str">
        <f aca="false">IFERROR(CONCATENATE(TEXT(INDEX($W$7:$W$171,SMALL(IF($Z$7:$Z$171&lt;&gt;"",IF($W$7:$W$171&lt;&gt;"",ROW($W$7:$W$171)-MIN(ROW($W$7:$W$171))+1,""),""),ROW()-ROW(A$173)+1)),"##0"),","),"")</f>
        <v/>
      </c>
      <c r="Y184" s="0" t="str">
        <f aca="false">IFERROR(CONCATENATE((INDEX($A$7:$A$171,SMALL(IF($Z$7:$Z$171&lt;&gt;"",IF($W$7:$W$171&lt;&gt;"",ROW($W$7:$W$171)-MIN(ROW($W$7:$W$171))+1,""),""),ROW()-ROW(A$173)+1))),),"")</f>
        <v/>
      </c>
    </row>
    <row r="185" customFormat="false" ht="15" hidden="false" customHeight="false" outlineLevel="0" collapsed="false">
      <c r="K185" s="0" t="str">
        <f aca="false">IFERROR(CONCATENATE(TEXT(INDEX($K$7:$K$171,SMALL(IF($N$7:$N$171&lt;&gt;"",IF($K$7:$K$171&lt;&gt;"",ROW($K$7:$K$171)-MIN(ROW($K$7:$K$171))+1,""),""),ROW()-ROW(A$173)+1)),"##0"),","),"")</f>
        <v/>
      </c>
      <c r="L185" s="0" t="str">
        <f aca="false">IFERROR(CONCATENATE((INDEX($N$7:$N$171,SMALL(IF($N$7:$N$171&lt;&gt;"",IF($K$7:$K$171&lt;&gt;"",ROW($K$7:$K$171)-MIN(ROW($K$7:$K$171))+1,""),""),ROW()-ROW(A$173)+1))),","),"")</f>
        <v/>
      </c>
      <c r="M185" s="0" t="str">
        <f aca="false">IFERROR(CONCATENATE((INDEX($A$7:$A$171,SMALL(IF($N$7:$N$171&lt;&gt;"",IF($K$7:$K$171&lt;&gt;"",ROW($K$7:$K$171)-MIN(ROW($K$7:$K$171))+1,""),""),ROW()-ROW(A$173)+1))),),"")</f>
        <v/>
      </c>
      <c r="Q185" s="0" t="str">
        <f aca="false">IFERROR(CONCATENATE((INDEX($T$7:$T$171,SMALL(IF($T$7:$T$171&lt;&gt;"",IF($Q$7:$Q$171&lt;&gt;"",ROW($Q$7:$Q$171)-MIN(ROW($Q$7:$Q$171))+1,""),""),ROW()-ROW(A$173)+1)))," "),"")</f>
        <v/>
      </c>
      <c r="R185" s="0" t="str">
        <f aca="false">IFERROR(CONCATENATE(TEXT(INDEX($Q$7:$Q$171,SMALL(IF($T$7:$T$171&lt;&gt;"",IF($Q$7:$Q$171&lt;&gt;"",ROW($Q$7:$Q$171)-MIN(ROW($Q$7:$Q$171))+1,""),""),ROW()-ROW(A$173)+1)),"##0")," "),"")</f>
        <v/>
      </c>
      <c r="S185" s="0" t="str">
        <f aca="false">IFERROR(CONCATENATE((INDEX($A$7:$A$171,SMALL(IF($T$7:$T$171&lt;&gt;"",IF($Q$7:$Q$171&lt;&gt;"",ROW($Q$7:$Q$171)-MIN(ROW($Q$7:$Q$171))+1,""),""),ROW()-ROW(A$173)+1))),),"")</f>
        <v/>
      </c>
      <c r="W185" s="0" t="str">
        <f aca="false">IFERROR(CONCATENATE((INDEX($Z$7:$Z$171,SMALL(IF($Z$7:$Z$171&lt;&gt;"",IF($W$7:$W$171&lt;&gt;"",ROW($W$7:$W$171)-MIN(ROW($W$7:$W$171))+1,""),""),ROW()-ROW(A$173)+1))),","),"")</f>
        <v/>
      </c>
      <c r="X185" s="0" t="str">
        <f aca="false">IFERROR(CONCATENATE(TEXT(INDEX($W$7:$W$171,SMALL(IF($Z$7:$Z$171&lt;&gt;"",IF($W$7:$W$171&lt;&gt;"",ROW($W$7:$W$171)-MIN(ROW($W$7:$W$171))+1,""),""),ROW()-ROW(A$173)+1)),"##0"),","),"")</f>
        <v/>
      </c>
      <c r="Y185" s="0" t="str">
        <f aca="false">IFERROR(CONCATENATE((INDEX($A$7:$A$171,SMALL(IF($Z$7:$Z$171&lt;&gt;"",IF($W$7:$W$171&lt;&gt;"",ROW($W$7:$W$171)-MIN(ROW($W$7:$W$171))+1,""),""),ROW()-ROW(A$173)+1))),),"")</f>
        <v/>
      </c>
    </row>
    <row r="186" customFormat="false" ht="15" hidden="false" customHeight="false" outlineLevel="0" collapsed="false">
      <c r="K186" s="0" t="str">
        <f aca="false">IFERROR(CONCATENATE(TEXT(INDEX($K$7:$K$171,SMALL(IF($N$7:$N$171&lt;&gt;"",IF($K$7:$K$171&lt;&gt;"",ROW($K$7:$K$171)-MIN(ROW($K$7:$K$171))+1,""),""),ROW()-ROW(A$173)+1)),"##0"),","),"")</f>
        <v/>
      </c>
      <c r="L186" s="0" t="str">
        <f aca="false">IFERROR(CONCATENATE((INDEX($N$7:$N$171,SMALL(IF($N$7:$N$171&lt;&gt;"",IF($K$7:$K$171&lt;&gt;"",ROW($K$7:$K$171)-MIN(ROW($K$7:$K$171))+1,""),""),ROW()-ROW(A$173)+1))),","),"")</f>
        <v/>
      </c>
      <c r="M186" s="0" t="str">
        <f aca="false">IFERROR(CONCATENATE((INDEX($A$7:$A$171,SMALL(IF($N$7:$N$171&lt;&gt;"",IF($K$7:$K$171&lt;&gt;"",ROW($K$7:$K$171)-MIN(ROW($K$7:$K$171))+1,""),""),ROW()-ROW(A$173)+1))),),"")</f>
        <v/>
      </c>
      <c r="Q186" s="0" t="str">
        <f aca="false">IFERROR(CONCATENATE((INDEX($T$7:$T$171,SMALL(IF($T$7:$T$171&lt;&gt;"",IF($Q$7:$Q$171&lt;&gt;"",ROW($Q$7:$Q$171)-MIN(ROW($Q$7:$Q$171))+1,""),""),ROW()-ROW(A$173)+1)))," "),"")</f>
        <v/>
      </c>
      <c r="R186" s="0" t="str">
        <f aca="false">IFERROR(CONCATENATE(TEXT(INDEX($Q$7:$Q$171,SMALL(IF($T$7:$T$171&lt;&gt;"",IF($Q$7:$Q$171&lt;&gt;"",ROW($Q$7:$Q$171)-MIN(ROW($Q$7:$Q$171))+1,""),""),ROW()-ROW(A$173)+1)),"##0")," "),"")</f>
        <v/>
      </c>
      <c r="S186" s="0" t="str">
        <f aca="false">IFERROR(CONCATENATE((INDEX($A$7:$A$171,SMALL(IF($T$7:$T$171&lt;&gt;"",IF($Q$7:$Q$171&lt;&gt;"",ROW($Q$7:$Q$171)-MIN(ROW($Q$7:$Q$171))+1,""),""),ROW()-ROW(A$173)+1))),),"")</f>
        <v/>
      </c>
      <c r="W186" s="0" t="str">
        <f aca="false">IFERROR(CONCATENATE((INDEX($Z$7:$Z$171,SMALL(IF($Z$7:$Z$171&lt;&gt;"",IF($W$7:$W$171&lt;&gt;"",ROW($W$7:$W$171)-MIN(ROW($W$7:$W$171))+1,""),""),ROW()-ROW(A$173)+1))),","),"")</f>
        <v/>
      </c>
      <c r="X186" s="0" t="str">
        <f aca="false">IFERROR(CONCATENATE(TEXT(INDEX($W$7:$W$171,SMALL(IF($Z$7:$Z$171&lt;&gt;"",IF($W$7:$W$171&lt;&gt;"",ROW($W$7:$W$171)-MIN(ROW($W$7:$W$171))+1,""),""),ROW()-ROW(A$173)+1)),"##0"),","),"")</f>
        <v/>
      </c>
      <c r="Y186" s="0" t="str">
        <f aca="false">IFERROR(CONCATENATE((INDEX($A$7:$A$171,SMALL(IF($Z$7:$Z$171&lt;&gt;"",IF($W$7:$W$171&lt;&gt;"",ROW($W$7:$W$171)-MIN(ROW($W$7:$W$171))+1,""),""),ROW()-ROW(A$173)+1))),),"")</f>
        <v/>
      </c>
    </row>
    <row r="187" customFormat="false" ht="15" hidden="false" customHeight="false" outlineLevel="0" collapsed="false">
      <c r="K187" s="0" t="str">
        <f aca="false">IFERROR(CONCATENATE(TEXT(INDEX($K$7:$K$171,SMALL(IF($N$7:$N$171&lt;&gt;"",IF($K$7:$K$171&lt;&gt;"",ROW($K$7:$K$171)-MIN(ROW($K$7:$K$171))+1,""),""),ROW()-ROW(A$173)+1)),"##0"),","),"")</f>
        <v/>
      </c>
      <c r="L187" s="0" t="str">
        <f aca="false">IFERROR(CONCATENATE((INDEX($N$7:$N$171,SMALL(IF($N$7:$N$171&lt;&gt;"",IF($K$7:$K$171&lt;&gt;"",ROW($K$7:$K$171)-MIN(ROW($K$7:$K$171))+1,""),""),ROW()-ROW(A$173)+1))),","),"")</f>
        <v/>
      </c>
      <c r="M187" s="0" t="str">
        <f aca="false">IFERROR(CONCATENATE((INDEX($A$7:$A$171,SMALL(IF($N$7:$N$171&lt;&gt;"",IF($K$7:$K$171&lt;&gt;"",ROW($K$7:$K$171)-MIN(ROW($K$7:$K$171))+1,""),""),ROW()-ROW(A$173)+1))),),"")</f>
        <v/>
      </c>
      <c r="Q187" s="0" t="str">
        <f aca="false">IFERROR(CONCATENATE((INDEX($T$7:$T$171,SMALL(IF($T$7:$T$171&lt;&gt;"",IF($Q$7:$Q$171&lt;&gt;"",ROW($Q$7:$Q$171)-MIN(ROW($Q$7:$Q$171))+1,""),""),ROW()-ROW(A$173)+1)))," "),"")</f>
        <v/>
      </c>
      <c r="R187" s="0" t="str">
        <f aca="false">IFERROR(CONCATENATE(TEXT(INDEX($Q$7:$Q$171,SMALL(IF($T$7:$T$171&lt;&gt;"",IF($Q$7:$Q$171&lt;&gt;"",ROW($Q$7:$Q$171)-MIN(ROW($Q$7:$Q$171))+1,""),""),ROW()-ROW(A$173)+1)),"##0")," "),"")</f>
        <v/>
      </c>
      <c r="S187" s="0" t="str">
        <f aca="false">IFERROR(CONCATENATE((INDEX($A$7:$A$171,SMALL(IF($T$7:$T$171&lt;&gt;"",IF($Q$7:$Q$171&lt;&gt;"",ROW($Q$7:$Q$171)-MIN(ROW($Q$7:$Q$171))+1,""),""),ROW()-ROW(A$173)+1))),),"")</f>
        <v/>
      </c>
      <c r="W187" s="0" t="str">
        <f aca="false">IFERROR(CONCATENATE((INDEX($Z$7:$Z$171,SMALL(IF($Z$7:$Z$171&lt;&gt;"",IF($W$7:$W$171&lt;&gt;"",ROW($W$7:$W$171)-MIN(ROW($W$7:$W$171))+1,""),""),ROW()-ROW(A$173)+1))),","),"")</f>
        <v/>
      </c>
      <c r="X187" s="0" t="str">
        <f aca="false">IFERROR(CONCATENATE(TEXT(INDEX($W$7:$W$171,SMALL(IF($Z$7:$Z$171&lt;&gt;"",IF($W$7:$W$171&lt;&gt;"",ROW($W$7:$W$171)-MIN(ROW($W$7:$W$171))+1,""),""),ROW()-ROW(A$173)+1)),"##0"),","),"")</f>
        <v/>
      </c>
      <c r="Y187" s="0" t="str">
        <f aca="false">IFERROR(CONCATENATE((INDEX($A$7:$A$171,SMALL(IF($Z$7:$Z$171&lt;&gt;"",IF($W$7:$W$171&lt;&gt;"",ROW($W$7:$W$171)-MIN(ROW($W$7:$W$171))+1,""),""),ROW()-ROW(A$173)+1))),),"")</f>
        <v/>
      </c>
    </row>
    <row r="188" customFormat="false" ht="15" hidden="false" customHeight="false" outlineLevel="0" collapsed="false">
      <c r="K188" s="0" t="str">
        <f aca="false">IFERROR(CONCATENATE(TEXT(INDEX($K$7:$K$171,SMALL(IF($N$7:$N$171&lt;&gt;"",IF($K$7:$K$171&lt;&gt;"",ROW($K$7:$K$171)-MIN(ROW($K$7:$K$171))+1,""),""),ROW()-ROW(A$173)+1)),"##0"),","),"")</f>
        <v/>
      </c>
      <c r="L188" s="0" t="str">
        <f aca="false">IFERROR(CONCATENATE((INDEX($N$7:$N$171,SMALL(IF($N$7:$N$171&lt;&gt;"",IF($K$7:$K$171&lt;&gt;"",ROW($K$7:$K$171)-MIN(ROW($K$7:$K$171))+1,""),""),ROW()-ROW(A$173)+1))),","),"")</f>
        <v/>
      </c>
      <c r="M188" s="0" t="str">
        <f aca="false">IFERROR(CONCATENATE((INDEX($A$7:$A$171,SMALL(IF($N$7:$N$171&lt;&gt;"",IF($K$7:$K$171&lt;&gt;"",ROW($K$7:$K$171)-MIN(ROW($K$7:$K$171))+1,""),""),ROW()-ROW(A$173)+1))),),"")</f>
        <v/>
      </c>
      <c r="Q188" s="0" t="str">
        <f aca="false">IFERROR(CONCATENATE((INDEX($T$7:$T$171,SMALL(IF($T$7:$T$171&lt;&gt;"",IF($Q$7:$Q$171&lt;&gt;"",ROW($Q$7:$Q$171)-MIN(ROW($Q$7:$Q$171))+1,""),""),ROW()-ROW(A$173)+1)))," "),"")</f>
        <v/>
      </c>
      <c r="R188" s="0" t="str">
        <f aca="false">IFERROR(CONCATENATE(TEXT(INDEX($Q$7:$Q$171,SMALL(IF($T$7:$T$171&lt;&gt;"",IF($Q$7:$Q$171&lt;&gt;"",ROW($Q$7:$Q$171)-MIN(ROW($Q$7:$Q$171))+1,""),""),ROW()-ROW(A$173)+1)),"##0")," "),"")</f>
        <v/>
      </c>
      <c r="S188" s="0" t="str">
        <f aca="false">IFERROR(CONCATENATE((INDEX($A$7:$A$171,SMALL(IF($T$7:$T$171&lt;&gt;"",IF($Q$7:$Q$171&lt;&gt;"",ROW($Q$7:$Q$171)-MIN(ROW($Q$7:$Q$171))+1,""),""),ROW()-ROW(A$173)+1))),),"")</f>
        <v/>
      </c>
      <c r="W188" s="0" t="str">
        <f aca="false">IFERROR(CONCATENATE((INDEX($Z$7:$Z$171,SMALL(IF($Z$7:$Z$171&lt;&gt;"",IF($W$7:$W$171&lt;&gt;"",ROW($W$7:$W$171)-MIN(ROW($W$7:$W$171))+1,""),""),ROW()-ROW(A$173)+1))),","),"")</f>
        <v/>
      </c>
      <c r="X188" s="0" t="str">
        <f aca="false">IFERROR(CONCATENATE(TEXT(INDEX($W$7:$W$171,SMALL(IF($Z$7:$Z$171&lt;&gt;"",IF($W$7:$W$171&lt;&gt;"",ROW($W$7:$W$171)-MIN(ROW($W$7:$W$171))+1,""),""),ROW()-ROW(A$173)+1)),"##0"),","),"")</f>
        <v/>
      </c>
      <c r="Y188" s="0" t="str">
        <f aca="false">IFERROR(CONCATENATE((INDEX($A$7:$A$171,SMALL(IF($Z$7:$Z$171&lt;&gt;"",IF($W$7:$W$171&lt;&gt;"",ROW($W$7:$W$171)-MIN(ROW($W$7:$W$171))+1,""),""),ROW()-ROW(A$173)+1))),),"")</f>
        <v/>
      </c>
    </row>
    <row r="189" customFormat="false" ht="15" hidden="false" customHeight="false" outlineLevel="0" collapsed="false">
      <c r="K189" s="0" t="str">
        <f aca="false">IFERROR(CONCATENATE(TEXT(INDEX($K$7:$K$171,SMALL(IF($N$7:$N$171&lt;&gt;"",IF($K$7:$K$171&lt;&gt;"",ROW($K$7:$K$171)-MIN(ROW($K$7:$K$171))+1,""),""),ROW()-ROW(A$173)+1)),"##0"),","),"")</f>
        <v/>
      </c>
      <c r="L189" s="0" t="str">
        <f aca="false">IFERROR(CONCATENATE((INDEX($N$7:$N$171,SMALL(IF($N$7:$N$171&lt;&gt;"",IF($K$7:$K$171&lt;&gt;"",ROW($K$7:$K$171)-MIN(ROW($K$7:$K$171))+1,""),""),ROW()-ROW(A$173)+1))),","),"")</f>
        <v/>
      </c>
      <c r="M189" s="0" t="str">
        <f aca="false">IFERROR(CONCATENATE((INDEX($A$7:$A$171,SMALL(IF($N$7:$N$171&lt;&gt;"",IF($K$7:$K$171&lt;&gt;"",ROW($K$7:$K$171)-MIN(ROW($K$7:$K$171))+1,""),""),ROW()-ROW(A$173)+1))),),"")</f>
        <v/>
      </c>
      <c r="Q189" s="0" t="str">
        <f aca="false">IFERROR(CONCATENATE((INDEX($T$7:$T$171,SMALL(IF($T$7:$T$171&lt;&gt;"",IF($Q$7:$Q$171&lt;&gt;"",ROW($Q$7:$Q$171)-MIN(ROW($Q$7:$Q$171))+1,""),""),ROW()-ROW(A$173)+1)))," "),"")</f>
        <v/>
      </c>
      <c r="R189" s="0" t="str">
        <f aca="false">IFERROR(CONCATENATE(TEXT(INDEX($Q$7:$Q$171,SMALL(IF($T$7:$T$171&lt;&gt;"",IF($Q$7:$Q$171&lt;&gt;"",ROW($Q$7:$Q$171)-MIN(ROW($Q$7:$Q$171))+1,""),""),ROW()-ROW(A$173)+1)),"##0")," "),"")</f>
        <v/>
      </c>
      <c r="S189" s="0" t="str">
        <f aca="false">IFERROR(CONCATENATE((INDEX($A$7:$A$171,SMALL(IF($T$7:$T$171&lt;&gt;"",IF($Q$7:$Q$171&lt;&gt;"",ROW($Q$7:$Q$171)-MIN(ROW($Q$7:$Q$171))+1,""),""),ROW()-ROW(A$173)+1))),),"")</f>
        <v/>
      </c>
      <c r="W189" s="0" t="str">
        <f aca="false">IFERROR(CONCATENATE((INDEX($Z$7:$Z$171,SMALL(IF($Z$7:$Z$171&lt;&gt;"",IF($W$7:$W$171&lt;&gt;"",ROW($W$7:$W$171)-MIN(ROW($W$7:$W$171))+1,""),""),ROW()-ROW(A$173)+1))),","),"")</f>
        <v/>
      </c>
      <c r="X189" s="0" t="str">
        <f aca="false">IFERROR(CONCATENATE(TEXT(INDEX($W$7:$W$171,SMALL(IF($Z$7:$Z$171&lt;&gt;"",IF($W$7:$W$171&lt;&gt;"",ROW($W$7:$W$171)-MIN(ROW($W$7:$W$171))+1,""),""),ROW()-ROW(A$173)+1)),"##0"),","),"")</f>
        <v/>
      </c>
      <c r="Y189" s="0" t="str">
        <f aca="false">IFERROR(CONCATENATE((INDEX($A$7:$A$171,SMALL(IF($Z$7:$Z$171&lt;&gt;"",IF($W$7:$W$171&lt;&gt;"",ROW($W$7:$W$171)-MIN(ROW($W$7:$W$171))+1,""),""),ROW()-ROW(A$173)+1))),),"")</f>
        <v/>
      </c>
    </row>
    <row r="190" customFormat="false" ht="15" hidden="false" customHeight="false" outlineLevel="0" collapsed="false">
      <c r="K190" s="0" t="str">
        <f aca="false">IFERROR(CONCATENATE(TEXT(INDEX($K$7:$K$171,SMALL(IF($N$7:$N$171&lt;&gt;"",IF($K$7:$K$171&lt;&gt;"",ROW($K$7:$K$171)-MIN(ROW($K$7:$K$171))+1,""),""),ROW()-ROW(A$173)+1)),"##0"),","),"")</f>
        <v/>
      </c>
      <c r="L190" s="0" t="str">
        <f aca="false">IFERROR(CONCATENATE((INDEX($N$7:$N$171,SMALL(IF($N$7:$N$171&lt;&gt;"",IF($K$7:$K$171&lt;&gt;"",ROW($K$7:$K$171)-MIN(ROW($K$7:$K$171))+1,""),""),ROW()-ROW(A$173)+1))),","),"")</f>
        <v/>
      </c>
      <c r="M190" s="0" t="str">
        <f aca="false">IFERROR(CONCATENATE((INDEX($A$7:$A$171,SMALL(IF($N$7:$N$171&lt;&gt;"",IF($K$7:$K$171&lt;&gt;"",ROW($K$7:$K$171)-MIN(ROW($K$7:$K$171))+1,""),""),ROW()-ROW(A$173)+1))),),"")</f>
        <v/>
      </c>
      <c r="Q190" s="0" t="str">
        <f aca="false">IFERROR(CONCATENATE((INDEX($T$7:$T$171,SMALL(IF($T$7:$T$171&lt;&gt;"",IF($Q$7:$Q$171&lt;&gt;"",ROW($Q$7:$Q$171)-MIN(ROW($Q$7:$Q$171))+1,""),""),ROW()-ROW(A$173)+1)))," "),"")</f>
        <v/>
      </c>
      <c r="R190" s="0" t="str">
        <f aca="false">IFERROR(CONCATENATE(TEXT(INDEX($Q$7:$Q$171,SMALL(IF($T$7:$T$171&lt;&gt;"",IF($Q$7:$Q$171&lt;&gt;"",ROW($Q$7:$Q$171)-MIN(ROW($Q$7:$Q$171))+1,""),""),ROW()-ROW(A$173)+1)),"##0")," "),"")</f>
        <v/>
      </c>
      <c r="S190" s="0" t="str">
        <f aca="false">IFERROR(CONCATENATE((INDEX($A$7:$A$171,SMALL(IF($T$7:$T$171&lt;&gt;"",IF($Q$7:$Q$171&lt;&gt;"",ROW($Q$7:$Q$171)-MIN(ROW($Q$7:$Q$171))+1,""),""),ROW()-ROW(A$173)+1))),),"")</f>
        <v/>
      </c>
      <c r="W190" s="0" t="str">
        <f aca="false">IFERROR(CONCATENATE((INDEX($Z$7:$Z$171,SMALL(IF($Z$7:$Z$171&lt;&gt;"",IF($W$7:$W$171&lt;&gt;"",ROW($W$7:$W$171)-MIN(ROW($W$7:$W$171))+1,""),""),ROW()-ROW(A$173)+1))),","),"")</f>
        <v/>
      </c>
      <c r="X190" s="0" t="str">
        <f aca="false">IFERROR(CONCATENATE(TEXT(INDEX($W$7:$W$171,SMALL(IF($Z$7:$Z$171&lt;&gt;"",IF($W$7:$W$171&lt;&gt;"",ROW($W$7:$W$171)-MIN(ROW($W$7:$W$171))+1,""),""),ROW()-ROW(A$173)+1)),"##0"),","),"")</f>
        <v/>
      </c>
      <c r="Y190" s="0" t="str">
        <f aca="false">IFERROR(CONCATENATE((INDEX($A$7:$A$171,SMALL(IF($Z$7:$Z$171&lt;&gt;"",IF($W$7:$W$171&lt;&gt;"",ROW($W$7:$W$171)-MIN(ROW($W$7:$W$171))+1,""),""),ROW()-ROW(A$173)+1))),),"")</f>
        <v/>
      </c>
    </row>
    <row r="191" customFormat="false" ht="15" hidden="false" customHeight="false" outlineLevel="0" collapsed="false">
      <c r="K191" s="0" t="str">
        <f aca="false">IFERROR(CONCATENATE(TEXT(INDEX($K$7:$K$171,SMALL(IF($N$7:$N$171&lt;&gt;"",IF($K$7:$K$171&lt;&gt;"",ROW($K$7:$K$171)-MIN(ROW($K$7:$K$171))+1,""),""),ROW()-ROW(A$173)+1)),"##0"),","),"")</f>
        <v/>
      </c>
      <c r="L191" s="0" t="str">
        <f aca="false">IFERROR(CONCATENATE((INDEX($N$7:$N$171,SMALL(IF($N$7:$N$171&lt;&gt;"",IF($K$7:$K$171&lt;&gt;"",ROW($K$7:$K$171)-MIN(ROW($K$7:$K$171))+1,""),""),ROW()-ROW(A$173)+1))),","),"")</f>
        <v/>
      </c>
      <c r="M191" s="0" t="str">
        <f aca="false">IFERROR(CONCATENATE((INDEX($A$7:$A$171,SMALL(IF($N$7:$N$171&lt;&gt;"",IF($K$7:$K$171&lt;&gt;"",ROW($K$7:$K$171)-MIN(ROW($K$7:$K$171))+1,""),""),ROW()-ROW(A$173)+1))),),"")</f>
        <v/>
      </c>
      <c r="Q191" s="0" t="str">
        <f aca="false">IFERROR(CONCATENATE((INDEX($T$7:$T$171,SMALL(IF($T$7:$T$171&lt;&gt;"",IF($Q$7:$Q$171&lt;&gt;"",ROW($Q$7:$Q$171)-MIN(ROW($Q$7:$Q$171))+1,""),""),ROW()-ROW(A$173)+1)))," "),"")</f>
        <v/>
      </c>
      <c r="R191" s="0" t="str">
        <f aca="false">IFERROR(CONCATENATE(TEXT(INDEX($Q$7:$Q$171,SMALL(IF($T$7:$T$171&lt;&gt;"",IF($Q$7:$Q$171&lt;&gt;"",ROW($Q$7:$Q$171)-MIN(ROW($Q$7:$Q$171))+1,""),""),ROW()-ROW(A$173)+1)),"##0")," "),"")</f>
        <v/>
      </c>
      <c r="S191" s="0" t="str">
        <f aca="false">IFERROR(CONCATENATE((INDEX($A$7:$A$171,SMALL(IF($T$7:$T$171&lt;&gt;"",IF($Q$7:$Q$171&lt;&gt;"",ROW($Q$7:$Q$171)-MIN(ROW($Q$7:$Q$171))+1,""),""),ROW()-ROW(A$173)+1))),),"")</f>
        <v/>
      </c>
      <c r="W191" s="0" t="str">
        <f aca="false">IFERROR(CONCATENATE((INDEX($Z$7:$Z$171,SMALL(IF($Z$7:$Z$171&lt;&gt;"",IF($W$7:$W$171&lt;&gt;"",ROW($W$7:$W$171)-MIN(ROW($W$7:$W$171))+1,""),""),ROW()-ROW(A$173)+1))),","),"")</f>
        <v/>
      </c>
      <c r="X191" s="0" t="str">
        <f aca="false">IFERROR(CONCATENATE(TEXT(INDEX($W$7:$W$171,SMALL(IF($Z$7:$Z$171&lt;&gt;"",IF($W$7:$W$171&lt;&gt;"",ROW($W$7:$W$171)-MIN(ROW($W$7:$W$171))+1,""),""),ROW()-ROW(A$173)+1)),"##0"),","),"")</f>
        <v/>
      </c>
      <c r="Y191" s="0" t="str">
        <f aca="false">IFERROR(CONCATENATE((INDEX($A$7:$A$171,SMALL(IF($Z$7:$Z$171&lt;&gt;"",IF($W$7:$W$171&lt;&gt;"",ROW($W$7:$W$171)-MIN(ROW($W$7:$W$171))+1,""),""),ROW()-ROW(A$173)+1))),),"")</f>
        <v/>
      </c>
    </row>
    <row r="192" customFormat="false" ht="15" hidden="false" customHeight="false" outlineLevel="0" collapsed="false">
      <c r="K192" s="0" t="str">
        <f aca="false">IFERROR(CONCATENATE(TEXT(INDEX($K$7:$K$171,SMALL(IF($N$7:$N$171&lt;&gt;"",IF($K$7:$K$171&lt;&gt;"",ROW($K$7:$K$171)-MIN(ROW($K$7:$K$171))+1,""),""),ROW()-ROW(A$173)+1)),"##0"),","),"")</f>
        <v/>
      </c>
      <c r="L192" s="0" t="str">
        <f aca="false">IFERROR(CONCATENATE((INDEX($N$7:$N$171,SMALL(IF($N$7:$N$171&lt;&gt;"",IF($K$7:$K$171&lt;&gt;"",ROW($K$7:$K$171)-MIN(ROW($K$7:$K$171))+1,""),""),ROW()-ROW(A$173)+1))),","),"")</f>
        <v/>
      </c>
      <c r="M192" s="0" t="str">
        <f aca="false">IFERROR(CONCATENATE((INDEX($A$7:$A$171,SMALL(IF($N$7:$N$171&lt;&gt;"",IF($K$7:$K$171&lt;&gt;"",ROW($K$7:$K$171)-MIN(ROW($K$7:$K$171))+1,""),""),ROW()-ROW(A$173)+1))),),"")</f>
        <v/>
      </c>
      <c r="Q192" s="0" t="str">
        <f aca="false">IFERROR(CONCATENATE((INDEX($T$7:$T$171,SMALL(IF($T$7:$T$171&lt;&gt;"",IF($Q$7:$Q$171&lt;&gt;"",ROW($Q$7:$Q$171)-MIN(ROW($Q$7:$Q$171))+1,""),""),ROW()-ROW(A$173)+1)))," "),"")</f>
        <v/>
      </c>
      <c r="R192" s="0" t="str">
        <f aca="false">IFERROR(CONCATENATE(TEXT(INDEX($Q$7:$Q$171,SMALL(IF($T$7:$T$171&lt;&gt;"",IF($Q$7:$Q$171&lt;&gt;"",ROW($Q$7:$Q$171)-MIN(ROW($Q$7:$Q$171))+1,""),""),ROW()-ROW(A$173)+1)),"##0")," "),"")</f>
        <v/>
      </c>
      <c r="S192" s="0" t="str">
        <f aca="false">IFERROR(CONCATENATE((INDEX($A$7:$A$171,SMALL(IF($T$7:$T$171&lt;&gt;"",IF($Q$7:$Q$171&lt;&gt;"",ROW($Q$7:$Q$171)-MIN(ROW($Q$7:$Q$171))+1,""),""),ROW()-ROW(A$173)+1))),),"")</f>
        <v/>
      </c>
      <c r="W192" s="0" t="str">
        <f aca="false">IFERROR(CONCATENATE((INDEX($Z$7:$Z$171,SMALL(IF($Z$7:$Z$171&lt;&gt;"",IF($W$7:$W$171&lt;&gt;"",ROW($W$7:$W$171)-MIN(ROW($W$7:$W$171))+1,""),""),ROW()-ROW(A$173)+1))),","),"")</f>
        <v/>
      </c>
      <c r="X192" s="0" t="str">
        <f aca="false">IFERROR(CONCATENATE(TEXT(INDEX($W$7:$W$171,SMALL(IF($Z$7:$Z$171&lt;&gt;"",IF($W$7:$W$171&lt;&gt;"",ROW($W$7:$W$171)-MIN(ROW($W$7:$W$171))+1,""),""),ROW()-ROW(A$173)+1)),"##0"),","),"")</f>
        <v/>
      </c>
      <c r="Y192" s="0" t="str">
        <f aca="false">IFERROR(CONCATENATE((INDEX($A$7:$A$171,SMALL(IF($Z$7:$Z$171&lt;&gt;"",IF($W$7:$W$171&lt;&gt;"",ROW($W$7:$W$171)-MIN(ROW($W$7:$W$171))+1,""),""),ROW()-ROW(A$173)+1))),),"")</f>
        <v/>
      </c>
    </row>
    <row r="193" customFormat="false" ht="15" hidden="false" customHeight="false" outlineLevel="0" collapsed="false">
      <c r="K193" s="0" t="str">
        <f aca="false">IFERROR(CONCATENATE(TEXT(INDEX($K$7:$K$171,SMALL(IF($N$7:$N$171&lt;&gt;"",IF($K$7:$K$171&lt;&gt;"",ROW($K$7:$K$171)-MIN(ROW($K$7:$K$171))+1,""),""),ROW()-ROW(A$173)+1)),"##0"),","),"")</f>
        <v/>
      </c>
      <c r="L193" s="0" t="str">
        <f aca="false">IFERROR(CONCATENATE((INDEX($N$7:$N$171,SMALL(IF($N$7:$N$171&lt;&gt;"",IF($K$7:$K$171&lt;&gt;"",ROW($K$7:$K$171)-MIN(ROW($K$7:$K$171))+1,""),""),ROW()-ROW(A$173)+1))),","),"")</f>
        <v/>
      </c>
      <c r="M193" s="0" t="str">
        <f aca="false">IFERROR(CONCATENATE((INDEX($A$7:$A$171,SMALL(IF($N$7:$N$171&lt;&gt;"",IF($K$7:$K$171&lt;&gt;"",ROW($K$7:$K$171)-MIN(ROW($K$7:$K$171))+1,""),""),ROW()-ROW(A$173)+1))),),"")</f>
        <v/>
      </c>
      <c r="Q193" s="0" t="str">
        <f aca="false">IFERROR(CONCATENATE((INDEX($T$7:$T$171,SMALL(IF($T$7:$T$171&lt;&gt;"",IF($Q$7:$Q$171&lt;&gt;"",ROW($Q$7:$Q$171)-MIN(ROW($Q$7:$Q$171))+1,""),""),ROW()-ROW(A$173)+1)))," "),"")</f>
        <v/>
      </c>
      <c r="R193" s="0" t="str">
        <f aca="false">IFERROR(CONCATENATE(TEXT(INDEX($Q$7:$Q$171,SMALL(IF($T$7:$T$171&lt;&gt;"",IF($Q$7:$Q$171&lt;&gt;"",ROW($Q$7:$Q$171)-MIN(ROW($Q$7:$Q$171))+1,""),""),ROW()-ROW(A$173)+1)),"##0")," "),"")</f>
        <v/>
      </c>
      <c r="S193" s="0" t="str">
        <f aca="false">IFERROR(CONCATENATE((INDEX($A$7:$A$171,SMALL(IF($T$7:$T$171&lt;&gt;"",IF($Q$7:$Q$171&lt;&gt;"",ROW($Q$7:$Q$171)-MIN(ROW($Q$7:$Q$171))+1,""),""),ROW()-ROW(A$173)+1))),),"")</f>
        <v/>
      </c>
      <c r="W193" s="0" t="str">
        <f aca="false">IFERROR(CONCATENATE((INDEX($Z$7:$Z$171,SMALL(IF($Z$7:$Z$171&lt;&gt;"",IF($W$7:$W$171&lt;&gt;"",ROW($W$7:$W$171)-MIN(ROW($W$7:$W$171))+1,""),""),ROW()-ROW(A$173)+1))),","),"")</f>
        <v/>
      </c>
      <c r="X193" s="0" t="str">
        <f aca="false">IFERROR(CONCATENATE(TEXT(INDEX($W$7:$W$171,SMALL(IF($Z$7:$Z$171&lt;&gt;"",IF($W$7:$W$171&lt;&gt;"",ROW($W$7:$W$171)-MIN(ROW($W$7:$W$171))+1,""),""),ROW()-ROW(A$173)+1)),"##0"),","),"")</f>
        <v/>
      </c>
      <c r="Y193" s="0" t="str">
        <f aca="false">IFERROR(CONCATENATE((INDEX($A$7:$A$171,SMALL(IF($Z$7:$Z$171&lt;&gt;"",IF($W$7:$W$171&lt;&gt;"",ROW($W$7:$W$171)-MIN(ROW($W$7:$W$171))+1,""),""),ROW()-ROW(A$173)+1))),),"")</f>
        <v/>
      </c>
    </row>
    <row r="194" customFormat="false" ht="15" hidden="false" customHeight="false" outlineLevel="0" collapsed="false">
      <c r="K194" s="0" t="str">
        <f aca="false">IFERROR(CONCATENATE(TEXT(INDEX($K$7:$K$171,SMALL(IF($N$7:$N$171&lt;&gt;"",IF($K$7:$K$171&lt;&gt;"",ROW($K$7:$K$171)-MIN(ROW($K$7:$K$171))+1,""),""),ROW()-ROW(A$173)+1)),"##0"),","),"")</f>
        <v/>
      </c>
      <c r="L194" s="0" t="str">
        <f aca="false">IFERROR(CONCATENATE((INDEX($N$7:$N$171,SMALL(IF($N$7:$N$171&lt;&gt;"",IF($K$7:$K$171&lt;&gt;"",ROW($K$7:$K$171)-MIN(ROW($K$7:$K$171))+1,""),""),ROW()-ROW(A$173)+1))),","),"")</f>
        <v/>
      </c>
      <c r="M194" s="0" t="str">
        <f aca="false">IFERROR(CONCATENATE((INDEX($A$7:$A$171,SMALL(IF($N$7:$N$171&lt;&gt;"",IF($K$7:$K$171&lt;&gt;"",ROW($K$7:$K$171)-MIN(ROW($K$7:$K$171))+1,""),""),ROW()-ROW(A$173)+1))),),"")</f>
        <v/>
      </c>
      <c r="Q194" s="0" t="str">
        <f aca="false">IFERROR(CONCATENATE((INDEX($T$7:$T$171,SMALL(IF($T$7:$T$171&lt;&gt;"",IF($Q$7:$Q$171&lt;&gt;"",ROW($Q$7:$Q$171)-MIN(ROW($Q$7:$Q$171))+1,""),""),ROW()-ROW(A$173)+1)))," "),"")</f>
        <v/>
      </c>
      <c r="R194" s="0" t="str">
        <f aca="false">IFERROR(CONCATENATE(TEXT(INDEX($Q$7:$Q$171,SMALL(IF($T$7:$T$171&lt;&gt;"",IF($Q$7:$Q$171&lt;&gt;"",ROW($Q$7:$Q$171)-MIN(ROW($Q$7:$Q$171))+1,""),""),ROW()-ROW(A$173)+1)),"##0")," "),"")</f>
        <v/>
      </c>
      <c r="S194" s="0" t="str">
        <f aca="false">IFERROR(CONCATENATE((INDEX($A$7:$A$171,SMALL(IF($T$7:$T$171&lt;&gt;"",IF($Q$7:$Q$171&lt;&gt;"",ROW($Q$7:$Q$171)-MIN(ROW($Q$7:$Q$171))+1,""),""),ROW()-ROW(A$173)+1))),),"")</f>
        <v/>
      </c>
      <c r="W194" s="0" t="str">
        <f aca="false">IFERROR(CONCATENATE((INDEX($Z$7:$Z$171,SMALL(IF($Z$7:$Z$171&lt;&gt;"",IF($W$7:$W$171&lt;&gt;"",ROW($W$7:$W$171)-MIN(ROW($W$7:$W$171))+1,""),""),ROW()-ROW(A$173)+1))),","),"")</f>
        <v/>
      </c>
      <c r="X194" s="0" t="str">
        <f aca="false">IFERROR(CONCATENATE(TEXT(INDEX($W$7:$W$171,SMALL(IF($Z$7:$Z$171&lt;&gt;"",IF($W$7:$W$171&lt;&gt;"",ROW($W$7:$W$171)-MIN(ROW($W$7:$W$171))+1,""),""),ROW()-ROW(A$173)+1)),"##0"),","),"")</f>
        <v/>
      </c>
      <c r="Y194" s="0" t="str">
        <f aca="false">IFERROR(CONCATENATE((INDEX($A$7:$A$171,SMALL(IF($Z$7:$Z$171&lt;&gt;"",IF($W$7:$W$171&lt;&gt;"",ROW($W$7:$W$171)-MIN(ROW($W$7:$W$171))+1,""),""),ROW()-ROW(A$173)+1))),),"")</f>
        <v/>
      </c>
    </row>
    <row r="195" customFormat="false" ht="15" hidden="false" customHeight="false" outlineLevel="0" collapsed="false">
      <c r="K195" s="0" t="str">
        <f aca="false">IFERROR(CONCATENATE(TEXT(INDEX($K$7:$K$171,SMALL(IF($N$7:$N$171&lt;&gt;"",IF($K$7:$K$171&lt;&gt;"",ROW($K$7:$K$171)-MIN(ROW($K$7:$K$171))+1,""),""),ROW()-ROW(A$173)+1)),"##0"),","),"")</f>
        <v/>
      </c>
      <c r="L195" s="0" t="str">
        <f aca="false">IFERROR(CONCATENATE((INDEX($N$7:$N$171,SMALL(IF($N$7:$N$171&lt;&gt;"",IF($K$7:$K$171&lt;&gt;"",ROW($K$7:$K$171)-MIN(ROW($K$7:$K$171))+1,""),""),ROW()-ROW(A$173)+1))),","),"")</f>
        <v/>
      </c>
      <c r="M195" s="0" t="str">
        <f aca="false">IFERROR(CONCATENATE((INDEX($A$7:$A$171,SMALL(IF($N$7:$N$171&lt;&gt;"",IF($K$7:$K$171&lt;&gt;"",ROW($K$7:$K$171)-MIN(ROW($K$7:$K$171))+1,""),""),ROW()-ROW(A$173)+1))),),"")</f>
        <v/>
      </c>
      <c r="Q195" s="0" t="str">
        <f aca="false">IFERROR(CONCATENATE((INDEX($T$7:$T$171,SMALL(IF($T$7:$T$171&lt;&gt;"",IF($Q$7:$Q$171&lt;&gt;"",ROW($Q$7:$Q$171)-MIN(ROW($Q$7:$Q$171))+1,""),""),ROW()-ROW(A$173)+1)))," "),"")</f>
        <v/>
      </c>
      <c r="R195" s="0" t="str">
        <f aca="false">IFERROR(CONCATENATE(TEXT(INDEX($Q$7:$Q$171,SMALL(IF($T$7:$T$171&lt;&gt;"",IF($Q$7:$Q$171&lt;&gt;"",ROW($Q$7:$Q$171)-MIN(ROW($Q$7:$Q$171))+1,""),""),ROW()-ROW(A$173)+1)),"##0")," "),"")</f>
        <v/>
      </c>
      <c r="S195" s="0" t="str">
        <f aca="false">IFERROR(CONCATENATE((INDEX($A$7:$A$171,SMALL(IF($T$7:$T$171&lt;&gt;"",IF($Q$7:$Q$171&lt;&gt;"",ROW($Q$7:$Q$171)-MIN(ROW($Q$7:$Q$171))+1,""),""),ROW()-ROW(A$173)+1))),),"")</f>
        <v/>
      </c>
      <c r="W195" s="0" t="str">
        <f aca="false">IFERROR(CONCATENATE((INDEX($Z$7:$Z$171,SMALL(IF($Z$7:$Z$171&lt;&gt;"",IF($W$7:$W$171&lt;&gt;"",ROW($W$7:$W$171)-MIN(ROW($W$7:$W$171))+1,""),""),ROW()-ROW(A$173)+1))),","),"")</f>
        <v/>
      </c>
      <c r="X195" s="0" t="str">
        <f aca="false">IFERROR(CONCATENATE(TEXT(INDEX($W$7:$W$171,SMALL(IF($Z$7:$Z$171&lt;&gt;"",IF($W$7:$W$171&lt;&gt;"",ROW($W$7:$W$171)-MIN(ROW($W$7:$W$171))+1,""),""),ROW()-ROW(A$173)+1)),"##0"),","),"")</f>
        <v/>
      </c>
      <c r="Y195" s="0" t="str">
        <f aca="false">IFERROR(CONCATENATE((INDEX($A$7:$A$171,SMALL(IF($Z$7:$Z$171&lt;&gt;"",IF($W$7:$W$171&lt;&gt;"",ROW($W$7:$W$171)-MIN(ROW($W$7:$W$171))+1,""),""),ROW()-ROW(A$173)+1))),),"")</f>
        <v/>
      </c>
    </row>
    <row r="196" customFormat="false" ht="15" hidden="false" customHeight="false" outlineLevel="0" collapsed="false">
      <c r="K196" s="0" t="str">
        <f aca="false">IFERROR(CONCATENATE(TEXT(INDEX($K$7:$K$171,SMALL(IF($N$7:$N$171&lt;&gt;"",IF($K$7:$K$171&lt;&gt;"",ROW($K$7:$K$171)-MIN(ROW($K$7:$K$171))+1,""),""),ROW()-ROW(A$173)+1)),"##0"),","),"")</f>
        <v/>
      </c>
      <c r="L196" s="0" t="str">
        <f aca="false">IFERROR(CONCATENATE((INDEX($N$7:$N$171,SMALL(IF($N$7:$N$171&lt;&gt;"",IF($K$7:$K$171&lt;&gt;"",ROW($K$7:$K$171)-MIN(ROW($K$7:$K$171))+1,""),""),ROW()-ROW(A$173)+1))),","),"")</f>
        <v/>
      </c>
      <c r="M196" s="0" t="str">
        <f aca="false">IFERROR(CONCATENATE((INDEX($A$7:$A$171,SMALL(IF($N$7:$N$171&lt;&gt;"",IF($K$7:$K$171&lt;&gt;"",ROW($K$7:$K$171)-MIN(ROW($K$7:$K$171))+1,""),""),ROW()-ROW(A$173)+1))),),"")</f>
        <v/>
      </c>
      <c r="Q196" s="0" t="str">
        <f aca="false">IFERROR(CONCATENATE((INDEX($T$7:$T$171,SMALL(IF($T$7:$T$171&lt;&gt;"",IF($Q$7:$Q$171&lt;&gt;"",ROW($Q$7:$Q$171)-MIN(ROW($Q$7:$Q$171))+1,""),""),ROW()-ROW(A$173)+1)))," "),"")</f>
        <v/>
      </c>
      <c r="R196" s="0" t="str">
        <f aca="false">IFERROR(CONCATENATE(TEXT(INDEX($Q$7:$Q$171,SMALL(IF($T$7:$T$171&lt;&gt;"",IF($Q$7:$Q$171&lt;&gt;"",ROW($Q$7:$Q$171)-MIN(ROW($Q$7:$Q$171))+1,""),""),ROW()-ROW(A$173)+1)),"##0")," "),"")</f>
        <v/>
      </c>
      <c r="S196" s="0" t="str">
        <f aca="false">IFERROR(CONCATENATE((INDEX($A$7:$A$171,SMALL(IF($T$7:$T$171&lt;&gt;"",IF($Q$7:$Q$171&lt;&gt;"",ROW($Q$7:$Q$171)-MIN(ROW($Q$7:$Q$171))+1,""),""),ROW()-ROW(A$173)+1))),),"")</f>
        <v/>
      </c>
      <c r="W196" s="0" t="str">
        <f aca="false">IFERROR(CONCATENATE((INDEX($Z$7:$Z$171,SMALL(IF($Z$7:$Z$171&lt;&gt;"",IF($W$7:$W$171&lt;&gt;"",ROW($W$7:$W$171)-MIN(ROW($W$7:$W$171))+1,""),""),ROW()-ROW(A$173)+1))),","),"")</f>
        <v/>
      </c>
      <c r="X196" s="0" t="str">
        <f aca="false">IFERROR(CONCATENATE(TEXT(INDEX($W$7:$W$171,SMALL(IF($Z$7:$Z$171&lt;&gt;"",IF($W$7:$W$171&lt;&gt;"",ROW($W$7:$W$171)-MIN(ROW($W$7:$W$171))+1,""),""),ROW()-ROW(A$173)+1)),"##0"),","),"")</f>
        <v/>
      </c>
      <c r="Y196" s="0" t="str">
        <f aca="false">IFERROR(CONCATENATE((INDEX($A$7:$A$171,SMALL(IF($Z$7:$Z$171&lt;&gt;"",IF($W$7:$W$171&lt;&gt;"",ROW($W$7:$W$171)-MIN(ROW($W$7:$W$171))+1,""),""),ROW()-ROW(A$173)+1))),),"")</f>
        <v/>
      </c>
    </row>
    <row r="197" customFormat="false" ht="15" hidden="false" customHeight="false" outlineLevel="0" collapsed="false">
      <c r="K197" s="0" t="str">
        <f aca="false">IFERROR(CONCATENATE(TEXT(INDEX($K$7:$K$171,SMALL(IF($N$7:$N$171&lt;&gt;"",IF($K$7:$K$171&lt;&gt;"",ROW($K$7:$K$171)-MIN(ROW($K$7:$K$171))+1,""),""),ROW()-ROW(A$173)+1)),"##0"),","),"")</f>
        <v/>
      </c>
      <c r="L197" s="0" t="str">
        <f aca="false">IFERROR(CONCATENATE((INDEX($N$7:$N$171,SMALL(IF($N$7:$N$171&lt;&gt;"",IF($K$7:$K$171&lt;&gt;"",ROW($K$7:$K$171)-MIN(ROW($K$7:$K$171))+1,""),""),ROW()-ROW(A$173)+1))),","),"")</f>
        <v/>
      </c>
      <c r="M197" s="0" t="str">
        <f aca="false">IFERROR(CONCATENATE((INDEX($A$7:$A$171,SMALL(IF($N$7:$N$171&lt;&gt;"",IF($K$7:$K$171&lt;&gt;"",ROW($K$7:$K$171)-MIN(ROW($K$7:$K$171))+1,""),""),ROW()-ROW(A$173)+1))),),"")</f>
        <v/>
      </c>
      <c r="Q197" s="0" t="str">
        <f aca="false">IFERROR(CONCATENATE((INDEX($T$7:$T$171,SMALL(IF($T$7:$T$171&lt;&gt;"",IF($Q$7:$Q$171&lt;&gt;"",ROW($Q$7:$Q$171)-MIN(ROW($Q$7:$Q$171))+1,""),""),ROW()-ROW(A$173)+1)))," "),"")</f>
        <v/>
      </c>
      <c r="R197" s="0" t="str">
        <f aca="false">IFERROR(CONCATENATE(TEXT(INDEX($Q$7:$Q$171,SMALL(IF($T$7:$T$171&lt;&gt;"",IF($Q$7:$Q$171&lt;&gt;"",ROW($Q$7:$Q$171)-MIN(ROW($Q$7:$Q$171))+1,""),""),ROW()-ROW(A$173)+1)),"##0")," "),"")</f>
        <v/>
      </c>
      <c r="S197" s="0" t="str">
        <f aca="false">IFERROR(CONCATENATE((INDEX($A$7:$A$171,SMALL(IF($T$7:$T$171&lt;&gt;"",IF($Q$7:$Q$171&lt;&gt;"",ROW($Q$7:$Q$171)-MIN(ROW($Q$7:$Q$171))+1,""),""),ROW()-ROW(A$173)+1))),),"")</f>
        <v/>
      </c>
      <c r="W197" s="0" t="str">
        <f aca="false">IFERROR(CONCATENATE((INDEX($Z$7:$Z$171,SMALL(IF($Z$7:$Z$171&lt;&gt;"",IF($W$7:$W$171&lt;&gt;"",ROW($W$7:$W$171)-MIN(ROW($W$7:$W$171))+1,""),""),ROW()-ROW(A$173)+1))),","),"")</f>
        <v/>
      </c>
      <c r="X197" s="0" t="str">
        <f aca="false">IFERROR(CONCATENATE(TEXT(INDEX($W$7:$W$171,SMALL(IF($Z$7:$Z$171&lt;&gt;"",IF($W$7:$W$171&lt;&gt;"",ROW($W$7:$W$171)-MIN(ROW($W$7:$W$171))+1,""),""),ROW()-ROW(A$173)+1)),"##0"),","),"")</f>
        <v/>
      </c>
      <c r="Y197" s="0" t="str">
        <f aca="false">IFERROR(CONCATENATE((INDEX($A$7:$A$171,SMALL(IF($Z$7:$Z$171&lt;&gt;"",IF($W$7:$W$171&lt;&gt;"",ROW($W$7:$W$171)-MIN(ROW($W$7:$W$171))+1,""),""),ROW()-ROW(A$173)+1))),),"")</f>
        <v/>
      </c>
    </row>
    <row r="198" customFormat="false" ht="15" hidden="false" customHeight="false" outlineLevel="0" collapsed="false">
      <c r="K198" s="0" t="str">
        <f aca="false">IFERROR(CONCATENATE(TEXT(INDEX($K$7:$K$171,SMALL(IF($N$7:$N$171&lt;&gt;"",IF($K$7:$K$171&lt;&gt;"",ROW($K$7:$K$171)-MIN(ROW($K$7:$K$171))+1,""),""),ROW()-ROW(A$173)+1)),"##0"),","),"")</f>
        <v/>
      </c>
      <c r="L198" s="0" t="str">
        <f aca="false">IFERROR(CONCATENATE((INDEX($N$7:$N$171,SMALL(IF($N$7:$N$171&lt;&gt;"",IF($K$7:$K$171&lt;&gt;"",ROW($K$7:$K$171)-MIN(ROW($K$7:$K$171))+1,""),""),ROW()-ROW(A$173)+1))),","),"")</f>
        <v/>
      </c>
      <c r="M198" s="0" t="str">
        <f aca="false">IFERROR(CONCATENATE((INDEX($A$7:$A$171,SMALL(IF($N$7:$N$171&lt;&gt;"",IF($K$7:$K$171&lt;&gt;"",ROW($K$7:$K$171)-MIN(ROW($K$7:$K$171))+1,""),""),ROW()-ROW(A$173)+1))),),"")</f>
        <v/>
      </c>
      <c r="Q198" s="0" t="str">
        <f aca="false">IFERROR(CONCATENATE((INDEX($T$7:$T$171,SMALL(IF($T$7:$T$171&lt;&gt;"",IF($Q$7:$Q$171&lt;&gt;"",ROW($Q$7:$Q$171)-MIN(ROW($Q$7:$Q$171))+1,""),""),ROW()-ROW(A$173)+1)))," "),"")</f>
        <v/>
      </c>
      <c r="R198" s="0" t="str">
        <f aca="false">IFERROR(CONCATENATE(TEXT(INDEX($Q$7:$Q$171,SMALL(IF($T$7:$T$171&lt;&gt;"",IF($Q$7:$Q$171&lt;&gt;"",ROW($Q$7:$Q$171)-MIN(ROW($Q$7:$Q$171))+1,""),""),ROW()-ROW(A$173)+1)),"##0")," "),"")</f>
        <v/>
      </c>
      <c r="S198" s="0" t="str">
        <f aca="false">IFERROR(CONCATENATE((INDEX($A$7:$A$171,SMALL(IF($T$7:$T$171&lt;&gt;"",IF($Q$7:$Q$171&lt;&gt;"",ROW($Q$7:$Q$171)-MIN(ROW($Q$7:$Q$171))+1,""),""),ROW()-ROW(A$173)+1))),),"")</f>
        <v/>
      </c>
      <c r="W198" s="0" t="str">
        <f aca="false">IFERROR(CONCATENATE((INDEX($Z$7:$Z$171,SMALL(IF($Z$7:$Z$171&lt;&gt;"",IF($W$7:$W$171&lt;&gt;"",ROW($W$7:$W$171)-MIN(ROW($W$7:$W$171))+1,""),""),ROW()-ROW(A$173)+1))),","),"")</f>
        <v/>
      </c>
      <c r="X198" s="0" t="str">
        <f aca="false">IFERROR(CONCATENATE(TEXT(INDEX($W$7:$W$171,SMALL(IF($Z$7:$Z$171&lt;&gt;"",IF($W$7:$W$171&lt;&gt;"",ROW($W$7:$W$171)-MIN(ROW($W$7:$W$171))+1,""),""),ROW()-ROW(A$173)+1)),"##0"),","),"")</f>
        <v/>
      </c>
      <c r="Y198" s="0" t="str">
        <f aca="false">IFERROR(CONCATENATE((INDEX($A$7:$A$171,SMALL(IF($Z$7:$Z$171&lt;&gt;"",IF($W$7:$W$171&lt;&gt;"",ROW($W$7:$W$171)-MIN(ROW($W$7:$W$171))+1,""),""),ROW()-ROW(A$173)+1))),),"")</f>
        <v/>
      </c>
    </row>
    <row r="199" customFormat="false" ht="15" hidden="false" customHeight="false" outlineLevel="0" collapsed="false">
      <c r="K199" s="0" t="str">
        <f aca="false">IFERROR(CONCATENATE(TEXT(INDEX($K$7:$K$171,SMALL(IF($N$7:$N$171&lt;&gt;"",IF($K$7:$K$171&lt;&gt;"",ROW($K$7:$K$171)-MIN(ROW($K$7:$K$171))+1,""),""),ROW()-ROW(A$173)+1)),"##0"),","),"")</f>
        <v/>
      </c>
      <c r="L199" s="0" t="str">
        <f aca="false">IFERROR(CONCATENATE((INDEX($N$7:$N$171,SMALL(IF($N$7:$N$171&lt;&gt;"",IF($K$7:$K$171&lt;&gt;"",ROW($K$7:$K$171)-MIN(ROW($K$7:$K$171))+1,""),""),ROW()-ROW(A$173)+1))),","),"")</f>
        <v/>
      </c>
      <c r="M199" s="0" t="str">
        <f aca="false">IFERROR(CONCATENATE((INDEX($A$7:$A$171,SMALL(IF($N$7:$N$171&lt;&gt;"",IF($K$7:$K$171&lt;&gt;"",ROW($K$7:$K$171)-MIN(ROW($K$7:$K$171))+1,""),""),ROW()-ROW(A$173)+1))),),"")</f>
        <v/>
      </c>
      <c r="Q199" s="0" t="str">
        <f aca="false">IFERROR(CONCATENATE((INDEX($T$7:$T$171,SMALL(IF($T$7:$T$171&lt;&gt;"",IF($Q$7:$Q$171&lt;&gt;"",ROW($Q$7:$Q$171)-MIN(ROW($Q$7:$Q$171))+1,""),""),ROW()-ROW(A$173)+1)))," "),"")</f>
        <v/>
      </c>
      <c r="R199" s="0" t="str">
        <f aca="false">IFERROR(CONCATENATE(TEXT(INDEX($Q$7:$Q$171,SMALL(IF($T$7:$T$171&lt;&gt;"",IF($Q$7:$Q$171&lt;&gt;"",ROW($Q$7:$Q$171)-MIN(ROW($Q$7:$Q$171))+1,""),""),ROW()-ROW(A$173)+1)),"##0")," "),"")</f>
        <v/>
      </c>
      <c r="S199" s="0" t="str">
        <f aca="false">IFERROR(CONCATENATE((INDEX($A$7:$A$171,SMALL(IF($T$7:$T$171&lt;&gt;"",IF($Q$7:$Q$171&lt;&gt;"",ROW($Q$7:$Q$171)-MIN(ROW($Q$7:$Q$171))+1,""),""),ROW()-ROW(A$173)+1))),),"")</f>
        <v/>
      </c>
      <c r="W199" s="0" t="str">
        <f aca="false">IFERROR(CONCATENATE((INDEX($Z$7:$Z$171,SMALL(IF($Z$7:$Z$171&lt;&gt;"",IF($W$7:$W$171&lt;&gt;"",ROW($W$7:$W$171)-MIN(ROW($W$7:$W$171))+1,""),""),ROW()-ROW(A$173)+1))),","),"")</f>
        <v/>
      </c>
      <c r="X199" s="0" t="str">
        <f aca="false">IFERROR(CONCATENATE(TEXT(INDEX($W$7:$W$171,SMALL(IF($Z$7:$Z$171&lt;&gt;"",IF($W$7:$W$171&lt;&gt;"",ROW($W$7:$W$171)-MIN(ROW($W$7:$W$171))+1,""),""),ROW()-ROW(A$173)+1)),"##0"),","),"")</f>
        <v/>
      </c>
      <c r="Y199" s="0" t="str">
        <f aca="false">IFERROR(CONCATENATE((INDEX($A$7:$A$171,SMALL(IF($Z$7:$Z$171&lt;&gt;"",IF($W$7:$W$171&lt;&gt;"",ROW($W$7:$W$171)-MIN(ROW($W$7:$W$171))+1,""),""),ROW()-ROW(A$173)+1))),),"")</f>
        <v/>
      </c>
    </row>
    <row r="200" customFormat="false" ht="15" hidden="false" customHeight="false" outlineLevel="0" collapsed="false">
      <c r="K200" s="0" t="str">
        <f aca="false">IFERROR(CONCATENATE(TEXT(INDEX($K$7:$K$171,SMALL(IF($N$7:$N$171&lt;&gt;"",IF($K$7:$K$171&lt;&gt;"",ROW($K$7:$K$171)-MIN(ROW($K$7:$K$171))+1,""),""),ROW()-ROW(A$173)+1)),"##0"),","),"")</f>
        <v/>
      </c>
      <c r="L200" s="0" t="str">
        <f aca="false">IFERROR(CONCATENATE((INDEX($N$7:$N$171,SMALL(IF($N$7:$N$171&lt;&gt;"",IF($K$7:$K$171&lt;&gt;"",ROW($K$7:$K$171)-MIN(ROW($K$7:$K$171))+1,""),""),ROW()-ROW(A$173)+1))),","),"")</f>
        <v/>
      </c>
      <c r="M200" s="0" t="str">
        <f aca="false">IFERROR(CONCATENATE((INDEX($A$7:$A$171,SMALL(IF($N$7:$N$171&lt;&gt;"",IF($K$7:$K$171&lt;&gt;"",ROW($K$7:$K$171)-MIN(ROW($K$7:$K$171))+1,""),""),ROW()-ROW(A$173)+1))),),"")</f>
        <v/>
      </c>
      <c r="Q200" s="0" t="str">
        <f aca="false">IFERROR(CONCATENATE((INDEX($T$7:$T$171,SMALL(IF($T$7:$T$171&lt;&gt;"",IF($Q$7:$Q$171&lt;&gt;"",ROW($Q$7:$Q$171)-MIN(ROW($Q$7:$Q$171))+1,""),""),ROW()-ROW(A$173)+1)))," "),"")</f>
        <v/>
      </c>
      <c r="R200" s="0" t="str">
        <f aca="false">IFERROR(CONCATENATE(TEXT(INDEX($Q$7:$Q$171,SMALL(IF($T$7:$T$171&lt;&gt;"",IF($Q$7:$Q$171&lt;&gt;"",ROW($Q$7:$Q$171)-MIN(ROW($Q$7:$Q$171))+1,""),""),ROW()-ROW(A$173)+1)),"##0")," "),"")</f>
        <v/>
      </c>
      <c r="S200" s="0" t="str">
        <f aca="false">IFERROR(CONCATENATE((INDEX($A$7:$A$171,SMALL(IF($T$7:$T$171&lt;&gt;"",IF($Q$7:$Q$171&lt;&gt;"",ROW($Q$7:$Q$171)-MIN(ROW($Q$7:$Q$171))+1,""),""),ROW()-ROW(A$173)+1))),),"")</f>
        <v/>
      </c>
      <c r="W200" s="0" t="str">
        <f aca="false">IFERROR(CONCATENATE((INDEX($Z$7:$Z$171,SMALL(IF($Z$7:$Z$171&lt;&gt;"",IF($W$7:$W$171&lt;&gt;"",ROW($W$7:$W$171)-MIN(ROW($W$7:$W$171))+1,""),""),ROW()-ROW(A$173)+1))),","),"")</f>
        <v/>
      </c>
      <c r="X200" s="0" t="str">
        <f aca="false">IFERROR(CONCATENATE(TEXT(INDEX($W$7:$W$171,SMALL(IF($Z$7:$Z$171&lt;&gt;"",IF($W$7:$W$171&lt;&gt;"",ROW($W$7:$W$171)-MIN(ROW($W$7:$W$171))+1,""),""),ROW()-ROW(A$173)+1)),"##0"),","),"")</f>
        <v/>
      </c>
      <c r="Y200" s="0" t="str">
        <f aca="false">IFERROR(CONCATENATE((INDEX($A$7:$A$171,SMALL(IF($Z$7:$Z$171&lt;&gt;"",IF($W$7:$W$171&lt;&gt;"",ROW($W$7:$W$171)-MIN(ROW($W$7:$W$171))+1,""),""),ROW()-ROW(A$173)+1))),),"")</f>
        <v/>
      </c>
    </row>
    <row r="201" customFormat="false" ht="15" hidden="false" customHeight="false" outlineLevel="0" collapsed="false">
      <c r="K201" s="0" t="str">
        <f aca="false">IFERROR(CONCATENATE(TEXT(INDEX($K$7:$K$171,SMALL(IF($N$7:$N$171&lt;&gt;"",IF($K$7:$K$171&lt;&gt;"",ROW($K$7:$K$171)-MIN(ROW($K$7:$K$171))+1,""),""),ROW()-ROW(A$173)+1)),"##0"),","),"")</f>
        <v/>
      </c>
      <c r="L201" s="0" t="str">
        <f aca="false">IFERROR(CONCATENATE((INDEX($N$7:$N$171,SMALL(IF($N$7:$N$171&lt;&gt;"",IF($K$7:$K$171&lt;&gt;"",ROW($K$7:$K$171)-MIN(ROW($K$7:$K$171))+1,""),""),ROW()-ROW(A$173)+1))),","),"")</f>
        <v/>
      </c>
      <c r="M201" s="0" t="str">
        <f aca="false">IFERROR(CONCATENATE((INDEX($A$7:$A$171,SMALL(IF($N$7:$N$171&lt;&gt;"",IF($K$7:$K$171&lt;&gt;"",ROW($K$7:$K$171)-MIN(ROW($K$7:$K$171))+1,""),""),ROW()-ROW(A$173)+1))),),"")</f>
        <v/>
      </c>
      <c r="Q201" s="0" t="str">
        <f aca="false">IFERROR(CONCATENATE((INDEX($T$7:$T$171,SMALL(IF($T$7:$T$171&lt;&gt;"",IF($Q$7:$Q$171&lt;&gt;"",ROW($Q$7:$Q$171)-MIN(ROW($Q$7:$Q$171))+1,""),""),ROW()-ROW(A$173)+1)))," "),"")</f>
        <v/>
      </c>
      <c r="R201" s="0" t="str">
        <f aca="false">IFERROR(CONCATENATE(TEXT(INDEX($Q$7:$Q$171,SMALL(IF($T$7:$T$171&lt;&gt;"",IF($Q$7:$Q$171&lt;&gt;"",ROW($Q$7:$Q$171)-MIN(ROW($Q$7:$Q$171))+1,""),""),ROW()-ROW(A$173)+1)),"##0")," "),"")</f>
        <v/>
      </c>
      <c r="S201" s="0" t="str">
        <f aca="false">IFERROR(CONCATENATE((INDEX($A$7:$A$171,SMALL(IF($T$7:$T$171&lt;&gt;"",IF($Q$7:$Q$171&lt;&gt;"",ROW($Q$7:$Q$171)-MIN(ROW($Q$7:$Q$171))+1,""),""),ROW()-ROW(A$173)+1))),),"")</f>
        <v/>
      </c>
      <c r="W201" s="0" t="str">
        <f aca="false">IFERROR(CONCATENATE((INDEX($Z$7:$Z$171,SMALL(IF($Z$7:$Z$171&lt;&gt;"",IF($W$7:$W$171&lt;&gt;"",ROW($W$7:$W$171)-MIN(ROW($W$7:$W$171))+1,""),""),ROW()-ROW(A$173)+1))),","),"")</f>
        <v/>
      </c>
      <c r="X201" s="0" t="str">
        <f aca="false">IFERROR(CONCATENATE(TEXT(INDEX($W$7:$W$171,SMALL(IF($Z$7:$Z$171&lt;&gt;"",IF($W$7:$W$171&lt;&gt;"",ROW($W$7:$W$171)-MIN(ROW($W$7:$W$171))+1,""),""),ROW()-ROW(A$173)+1)),"##0"),","),"")</f>
        <v/>
      </c>
      <c r="Y201" s="0" t="str">
        <f aca="false">IFERROR(CONCATENATE((INDEX($A$7:$A$171,SMALL(IF($Z$7:$Z$171&lt;&gt;"",IF($W$7:$W$171&lt;&gt;"",ROW($W$7:$W$171)-MIN(ROW($W$7:$W$171))+1,""),""),ROW()-ROW(A$173)+1))),),"")</f>
        <v/>
      </c>
    </row>
    <row r="202" customFormat="false" ht="15" hidden="false" customHeight="false" outlineLevel="0" collapsed="false">
      <c r="K202" s="0" t="str">
        <f aca="false">IFERROR(CONCATENATE(TEXT(INDEX($K$7:$K$171,SMALL(IF($N$7:$N$171&lt;&gt;"",IF($K$7:$K$171&lt;&gt;"",ROW($K$7:$K$171)-MIN(ROW($K$7:$K$171))+1,""),""),ROW()-ROW(A$173)+1)),"##0"),","),"")</f>
        <v/>
      </c>
      <c r="L202" s="0" t="str">
        <f aca="false">IFERROR(CONCATENATE((INDEX($N$7:$N$171,SMALL(IF($N$7:$N$171&lt;&gt;"",IF($K$7:$K$171&lt;&gt;"",ROW($K$7:$K$171)-MIN(ROW($K$7:$K$171))+1,""),""),ROW()-ROW(A$173)+1))),","),"")</f>
        <v/>
      </c>
      <c r="M202" s="0" t="str">
        <f aca="false">IFERROR(CONCATENATE((INDEX($A$7:$A$171,SMALL(IF($N$7:$N$171&lt;&gt;"",IF($K$7:$K$171&lt;&gt;"",ROW($K$7:$K$171)-MIN(ROW($K$7:$K$171))+1,""),""),ROW()-ROW(A$173)+1))),),"")</f>
        <v/>
      </c>
      <c r="Q202" s="0" t="str">
        <f aca="false">IFERROR(CONCATENATE((INDEX($T$7:$T$171,SMALL(IF($T$7:$T$171&lt;&gt;"",IF($Q$7:$Q$171&lt;&gt;"",ROW($Q$7:$Q$171)-MIN(ROW($Q$7:$Q$171))+1,""),""),ROW()-ROW(A$173)+1)))," "),"")</f>
        <v/>
      </c>
      <c r="R202" s="0" t="str">
        <f aca="false">IFERROR(CONCATENATE(TEXT(INDEX($Q$7:$Q$171,SMALL(IF($T$7:$T$171&lt;&gt;"",IF($Q$7:$Q$171&lt;&gt;"",ROW($Q$7:$Q$171)-MIN(ROW($Q$7:$Q$171))+1,""),""),ROW()-ROW(A$173)+1)),"##0")," "),"")</f>
        <v/>
      </c>
      <c r="S202" s="0" t="str">
        <f aca="false">IFERROR(CONCATENATE((INDEX($A$7:$A$171,SMALL(IF($T$7:$T$171&lt;&gt;"",IF($Q$7:$Q$171&lt;&gt;"",ROW($Q$7:$Q$171)-MIN(ROW($Q$7:$Q$171))+1,""),""),ROW()-ROW(A$173)+1))),),"")</f>
        <v/>
      </c>
      <c r="W202" s="0" t="str">
        <f aca="false">IFERROR(CONCATENATE((INDEX($Z$7:$Z$171,SMALL(IF($Z$7:$Z$171&lt;&gt;"",IF($W$7:$W$171&lt;&gt;"",ROW($W$7:$W$171)-MIN(ROW($W$7:$W$171))+1,""),""),ROW()-ROW(A$173)+1))),","),"")</f>
        <v/>
      </c>
      <c r="X202" s="0" t="str">
        <f aca="false">IFERROR(CONCATENATE(TEXT(INDEX($W$7:$W$171,SMALL(IF($Z$7:$Z$171&lt;&gt;"",IF($W$7:$W$171&lt;&gt;"",ROW($W$7:$W$171)-MIN(ROW($W$7:$W$171))+1,""),""),ROW()-ROW(A$173)+1)),"##0"),","),"")</f>
        <v/>
      </c>
      <c r="Y202" s="0" t="str">
        <f aca="false">IFERROR(CONCATENATE((INDEX($A$7:$A$171,SMALL(IF($Z$7:$Z$171&lt;&gt;"",IF($W$7:$W$171&lt;&gt;"",ROW($W$7:$W$171)-MIN(ROW($W$7:$W$171))+1,""),""),ROW()-ROW(A$173)+1))),),"")</f>
        <v/>
      </c>
    </row>
    <row r="203" customFormat="false" ht="15" hidden="false" customHeight="false" outlineLevel="0" collapsed="false">
      <c r="K203" s="0" t="str">
        <f aca="false">IFERROR(CONCATENATE(TEXT(INDEX($K$7:$K$171,SMALL(IF($N$7:$N$171&lt;&gt;"",IF($K$7:$K$171&lt;&gt;"",ROW($K$7:$K$171)-MIN(ROW($K$7:$K$171))+1,""),""),ROW()-ROW(A$173)+1)),"##0"),","),"")</f>
        <v/>
      </c>
      <c r="L203" s="0" t="str">
        <f aca="false">IFERROR(CONCATENATE((INDEX($N$7:$N$171,SMALL(IF($N$7:$N$171&lt;&gt;"",IF($K$7:$K$171&lt;&gt;"",ROW($K$7:$K$171)-MIN(ROW($K$7:$K$171))+1,""),""),ROW()-ROW(A$173)+1))),","),"")</f>
        <v/>
      </c>
      <c r="M203" s="0" t="str">
        <f aca="false">IFERROR(CONCATENATE((INDEX($A$7:$A$171,SMALL(IF($N$7:$N$171&lt;&gt;"",IF($K$7:$K$171&lt;&gt;"",ROW($K$7:$K$171)-MIN(ROW($K$7:$K$171))+1,""),""),ROW()-ROW(A$173)+1))),),"")</f>
        <v/>
      </c>
      <c r="Q203" s="0" t="str">
        <f aca="false">IFERROR(CONCATENATE((INDEX($T$7:$T$171,SMALL(IF($T$7:$T$171&lt;&gt;"",IF($Q$7:$Q$171&lt;&gt;"",ROW($Q$7:$Q$171)-MIN(ROW($Q$7:$Q$171))+1,""),""),ROW()-ROW(A$173)+1)))," "),"")</f>
        <v/>
      </c>
      <c r="R203" s="0" t="str">
        <f aca="false">IFERROR(CONCATENATE(TEXT(INDEX($Q$7:$Q$171,SMALL(IF($T$7:$T$171&lt;&gt;"",IF($Q$7:$Q$171&lt;&gt;"",ROW($Q$7:$Q$171)-MIN(ROW($Q$7:$Q$171))+1,""),""),ROW()-ROW(A$173)+1)),"##0")," "),"")</f>
        <v/>
      </c>
      <c r="S203" s="0" t="str">
        <f aca="false">IFERROR(CONCATENATE((INDEX($A$7:$A$171,SMALL(IF($T$7:$T$171&lt;&gt;"",IF($Q$7:$Q$171&lt;&gt;"",ROW($Q$7:$Q$171)-MIN(ROW($Q$7:$Q$171))+1,""),""),ROW()-ROW(A$173)+1))),),"")</f>
        <v/>
      </c>
      <c r="W203" s="0" t="str">
        <f aca="false">IFERROR(CONCATENATE((INDEX($Z$7:$Z$171,SMALL(IF($Z$7:$Z$171&lt;&gt;"",IF($W$7:$W$171&lt;&gt;"",ROW($W$7:$W$171)-MIN(ROW($W$7:$W$171))+1,""),""),ROW()-ROW(A$173)+1))),","),"")</f>
        <v/>
      </c>
      <c r="X203" s="0" t="str">
        <f aca="false">IFERROR(CONCATENATE(TEXT(INDEX($W$7:$W$171,SMALL(IF($Z$7:$Z$171&lt;&gt;"",IF($W$7:$W$171&lt;&gt;"",ROW($W$7:$W$171)-MIN(ROW($W$7:$W$171))+1,""),""),ROW()-ROW(A$173)+1)),"##0"),","),"")</f>
        <v/>
      </c>
      <c r="Y203" s="0" t="str">
        <f aca="false">IFERROR(CONCATENATE((INDEX($A$7:$A$171,SMALL(IF($Z$7:$Z$171&lt;&gt;"",IF($W$7:$W$171&lt;&gt;"",ROW($W$7:$W$171)-MIN(ROW($W$7:$W$171))+1,""),""),ROW()-ROW(A$173)+1))),),"")</f>
        <v/>
      </c>
    </row>
    <row r="204" customFormat="false" ht="15" hidden="false" customHeight="false" outlineLevel="0" collapsed="false">
      <c r="K204" s="0" t="str">
        <f aca="false">IFERROR(CONCATENATE(TEXT(INDEX($K$7:$K$171,SMALL(IF($N$7:$N$171&lt;&gt;"",IF($K$7:$K$171&lt;&gt;"",ROW($K$7:$K$171)-MIN(ROW($K$7:$K$171))+1,""),""),ROW()-ROW(A$173)+1)),"##0"),","),"")</f>
        <v/>
      </c>
      <c r="L204" s="0" t="str">
        <f aca="false">IFERROR(CONCATENATE((INDEX($N$7:$N$171,SMALL(IF($N$7:$N$171&lt;&gt;"",IF($K$7:$K$171&lt;&gt;"",ROW($K$7:$K$171)-MIN(ROW($K$7:$K$171))+1,""),""),ROW()-ROW(A$173)+1))),","),"")</f>
        <v/>
      </c>
      <c r="M204" s="0" t="str">
        <f aca="false">IFERROR(CONCATENATE((INDEX($A$7:$A$171,SMALL(IF($N$7:$N$171&lt;&gt;"",IF($K$7:$K$171&lt;&gt;"",ROW($K$7:$K$171)-MIN(ROW($K$7:$K$171))+1,""),""),ROW()-ROW(A$173)+1))),),"")</f>
        <v/>
      </c>
      <c r="Q204" s="0" t="str">
        <f aca="false">IFERROR(CONCATENATE((INDEX($T$7:$T$171,SMALL(IF($T$7:$T$171&lt;&gt;"",IF($Q$7:$Q$171&lt;&gt;"",ROW($Q$7:$Q$171)-MIN(ROW($Q$7:$Q$171))+1,""),""),ROW()-ROW(A$173)+1)))," "),"")</f>
        <v/>
      </c>
      <c r="R204" s="0" t="str">
        <f aca="false">IFERROR(CONCATENATE(TEXT(INDEX($Q$7:$Q$171,SMALL(IF($T$7:$T$171&lt;&gt;"",IF($Q$7:$Q$171&lt;&gt;"",ROW($Q$7:$Q$171)-MIN(ROW($Q$7:$Q$171))+1,""),""),ROW()-ROW(A$173)+1)),"##0")," "),"")</f>
        <v/>
      </c>
      <c r="S204" s="0" t="str">
        <f aca="false">IFERROR(CONCATENATE((INDEX($A$7:$A$171,SMALL(IF($T$7:$T$171&lt;&gt;"",IF($Q$7:$Q$171&lt;&gt;"",ROW($Q$7:$Q$171)-MIN(ROW($Q$7:$Q$171))+1,""),""),ROW()-ROW(A$173)+1))),),"")</f>
        <v/>
      </c>
      <c r="W204" s="0" t="str">
        <f aca="false">IFERROR(CONCATENATE((INDEX($Z$7:$Z$171,SMALL(IF($Z$7:$Z$171&lt;&gt;"",IF($W$7:$W$171&lt;&gt;"",ROW($W$7:$W$171)-MIN(ROW($W$7:$W$171))+1,""),""),ROW()-ROW(A$173)+1))),","),"")</f>
        <v/>
      </c>
      <c r="X204" s="0" t="str">
        <f aca="false">IFERROR(CONCATENATE(TEXT(INDEX($W$7:$W$171,SMALL(IF($Z$7:$Z$171&lt;&gt;"",IF($W$7:$W$171&lt;&gt;"",ROW($W$7:$W$171)-MIN(ROW($W$7:$W$171))+1,""),""),ROW()-ROW(A$173)+1)),"##0"),","),"")</f>
        <v/>
      </c>
      <c r="Y204" s="0" t="str">
        <f aca="false">IFERROR(CONCATENATE((INDEX($A$7:$A$171,SMALL(IF($Z$7:$Z$171&lt;&gt;"",IF($W$7:$W$171&lt;&gt;"",ROW($W$7:$W$171)-MIN(ROW($W$7:$W$171))+1,""),""),ROW()-ROW(A$173)+1))),),"")</f>
        <v/>
      </c>
    </row>
    <row r="205" customFormat="false" ht="15" hidden="false" customHeight="false" outlineLevel="0" collapsed="false">
      <c r="K205" s="0" t="str">
        <f aca="false">IFERROR(CONCATENATE(TEXT(INDEX($K$7:$K$171,SMALL(IF($N$7:$N$171&lt;&gt;"",IF($K$7:$K$171&lt;&gt;"",ROW($K$7:$K$171)-MIN(ROW($K$7:$K$171))+1,""),""),ROW()-ROW(A$173)+1)),"##0"),","),"")</f>
        <v/>
      </c>
      <c r="L205" s="0" t="str">
        <f aca="false">IFERROR(CONCATENATE((INDEX($N$7:$N$171,SMALL(IF($N$7:$N$171&lt;&gt;"",IF($K$7:$K$171&lt;&gt;"",ROW($K$7:$K$171)-MIN(ROW($K$7:$K$171))+1,""),""),ROW()-ROW(A$173)+1))),","),"")</f>
        <v/>
      </c>
      <c r="M205" s="0" t="str">
        <f aca="false">IFERROR(CONCATENATE((INDEX($A$7:$A$171,SMALL(IF($N$7:$N$171&lt;&gt;"",IF($K$7:$K$171&lt;&gt;"",ROW($K$7:$K$171)-MIN(ROW($K$7:$K$171))+1,""),""),ROW()-ROW(A$173)+1))),),"")</f>
        <v/>
      </c>
      <c r="Q205" s="0" t="str">
        <f aca="false">IFERROR(CONCATENATE((INDEX($T$7:$T$171,SMALL(IF($T$7:$T$171&lt;&gt;"",IF($Q$7:$Q$171&lt;&gt;"",ROW($Q$7:$Q$171)-MIN(ROW($Q$7:$Q$171))+1,""),""),ROW()-ROW(A$173)+1)))," "),"")</f>
        <v/>
      </c>
      <c r="R205" s="0" t="str">
        <f aca="false">IFERROR(CONCATENATE(TEXT(INDEX($Q$7:$Q$171,SMALL(IF($T$7:$T$171&lt;&gt;"",IF($Q$7:$Q$171&lt;&gt;"",ROW($Q$7:$Q$171)-MIN(ROW($Q$7:$Q$171))+1,""),""),ROW()-ROW(A$173)+1)),"##0")," "),"")</f>
        <v/>
      </c>
      <c r="S205" s="0" t="str">
        <f aca="false">IFERROR(CONCATENATE((INDEX($A$7:$A$171,SMALL(IF($T$7:$T$171&lt;&gt;"",IF($Q$7:$Q$171&lt;&gt;"",ROW($Q$7:$Q$171)-MIN(ROW($Q$7:$Q$171))+1,""),""),ROW()-ROW(A$173)+1))),),"")</f>
        <v/>
      </c>
      <c r="W205" s="0" t="str">
        <f aca="false">IFERROR(CONCATENATE((INDEX($Z$7:$Z$171,SMALL(IF($Z$7:$Z$171&lt;&gt;"",IF($W$7:$W$171&lt;&gt;"",ROW($W$7:$W$171)-MIN(ROW($W$7:$W$171))+1,""),""),ROW()-ROW(A$173)+1))),","),"")</f>
        <v/>
      </c>
      <c r="X205" s="0" t="str">
        <f aca="false">IFERROR(CONCATENATE(TEXT(INDEX($W$7:$W$171,SMALL(IF($Z$7:$Z$171&lt;&gt;"",IF($W$7:$W$171&lt;&gt;"",ROW($W$7:$W$171)-MIN(ROW($W$7:$W$171))+1,""),""),ROW()-ROW(A$173)+1)),"##0"),","),"")</f>
        <v/>
      </c>
      <c r="Y205" s="0" t="str">
        <f aca="false">IFERROR(CONCATENATE((INDEX($A$7:$A$171,SMALL(IF($Z$7:$Z$171&lt;&gt;"",IF($W$7:$W$171&lt;&gt;"",ROW($W$7:$W$171)-MIN(ROW($W$7:$W$171))+1,""),""),ROW()-ROW(A$173)+1))),),"")</f>
        <v/>
      </c>
    </row>
    <row r="206" customFormat="false" ht="15" hidden="false" customHeight="false" outlineLevel="0" collapsed="false">
      <c r="K206" s="0" t="str">
        <f aca="false">IFERROR(CONCATENATE(TEXT(INDEX($K$7:$K$171,SMALL(IF($N$7:$N$171&lt;&gt;"",IF($K$7:$K$171&lt;&gt;"",ROW($K$7:$K$171)-MIN(ROW($K$7:$K$171))+1,""),""),ROW()-ROW(A$173)+1)),"##0"),","),"")</f>
        <v/>
      </c>
      <c r="L206" s="0" t="str">
        <f aca="false">IFERROR(CONCATENATE((INDEX($N$7:$N$171,SMALL(IF($N$7:$N$171&lt;&gt;"",IF($K$7:$K$171&lt;&gt;"",ROW($K$7:$K$171)-MIN(ROW($K$7:$K$171))+1,""),""),ROW()-ROW(A$173)+1))),","),"")</f>
        <v/>
      </c>
      <c r="M206" s="0" t="str">
        <f aca="false">IFERROR(CONCATENATE((INDEX($A$7:$A$171,SMALL(IF($N$7:$N$171&lt;&gt;"",IF($K$7:$K$171&lt;&gt;"",ROW($K$7:$K$171)-MIN(ROW($K$7:$K$171))+1,""),""),ROW()-ROW(A$173)+1))),),"")</f>
        <v/>
      </c>
      <c r="Q206" s="0" t="str">
        <f aca="false">IFERROR(CONCATENATE((INDEX($T$7:$T$171,SMALL(IF($T$7:$T$171&lt;&gt;"",IF($Q$7:$Q$171&lt;&gt;"",ROW($Q$7:$Q$171)-MIN(ROW($Q$7:$Q$171))+1,""),""),ROW()-ROW(A$173)+1)))," "),"")</f>
        <v/>
      </c>
      <c r="R206" s="0" t="str">
        <f aca="false">IFERROR(CONCATENATE(TEXT(INDEX($Q$7:$Q$171,SMALL(IF($T$7:$T$171&lt;&gt;"",IF($Q$7:$Q$171&lt;&gt;"",ROW($Q$7:$Q$171)-MIN(ROW($Q$7:$Q$171))+1,""),""),ROW()-ROW(A$173)+1)),"##0")," "),"")</f>
        <v/>
      </c>
      <c r="S206" s="0" t="str">
        <f aca="false">IFERROR(CONCATENATE((INDEX($A$7:$A$171,SMALL(IF($T$7:$T$171&lt;&gt;"",IF($Q$7:$Q$171&lt;&gt;"",ROW($Q$7:$Q$171)-MIN(ROW($Q$7:$Q$171))+1,""),""),ROW()-ROW(A$173)+1))),),"")</f>
        <v/>
      </c>
      <c r="W206" s="0" t="str">
        <f aca="false">IFERROR(CONCATENATE((INDEX($Z$7:$Z$171,SMALL(IF($Z$7:$Z$171&lt;&gt;"",IF($W$7:$W$171&lt;&gt;"",ROW($W$7:$W$171)-MIN(ROW($W$7:$W$171))+1,""),""),ROW()-ROW(A$173)+1))),","),"")</f>
        <v/>
      </c>
      <c r="X206" s="0" t="str">
        <f aca="false">IFERROR(CONCATENATE(TEXT(INDEX($W$7:$W$171,SMALL(IF($Z$7:$Z$171&lt;&gt;"",IF($W$7:$W$171&lt;&gt;"",ROW($W$7:$W$171)-MIN(ROW($W$7:$W$171))+1,""),""),ROW()-ROW(A$173)+1)),"##0"),","),"")</f>
        <v/>
      </c>
      <c r="Y206" s="0" t="str">
        <f aca="false">IFERROR(CONCATENATE((INDEX($A$7:$A$171,SMALL(IF($Z$7:$Z$171&lt;&gt;"",IF($W$7:$W$171&lt;&gt;"",ROW($W$7:$W$171)-MIN(ROW($W$7:$W$171))+1,""),""),ROW()-ROW(A$173)+1))),),"")</f>
        <v/>
      </c>
    </row>
    <row r="207" customFormat="false" ht="15" hidden="false" customHeight="false" outlineLevel="0" collapsed="false">
      <c r="K207" s="0" t="str">
        <f aca="false">IFERROR(CONCATENATE(TEXT(INDEX($K$7:$K$171,SMALL(IF($N$7:$N$171&lt;&gt;"",IF($K$7:$K$171&lt;&gt;"",ROW($K$7:$K$171)-MIN(ROW($K$7:$K$171))+1,""),""),ROW()-ROW(A$173)+1)),"##0"),","),"")</f>
        <v/>
      </c>
      <c r="L207" s="0" t="str">
        <f aca="false">IFERROR(CONCATENATE((INDEX($N$7:$N$171,SMALL(IF($N$7:$N$171&lt;&gt;"",IF($K$7:$K$171&lt;&gt;"",ROW($K$7:$K$171)-MIN(ROW($K$7:$K$171))+1,""),""),ROW()-ROW(A$173)+1))),","),"")</f>
        <v/>
      </c>
      <c r="M207" s="0" t="str">
        <f aca="false">IFERROR(CONCATENATE((INDEX($A$7:$A$171,SMALL(IF($N$7:$N$171&lt;&gt;"",IF($K$7:$K$171&lt;&gt;"",ROW($K$7:$K$171)-MIN(ROW($K$7:$K$171))+1,""),""),ROW()-ROW(A$173)+1))),),"")</f>
        <v/>
      </c>
      <c r="Q207" s="0" t="str">
        <f aca="false">IFERROR(CONCATENATE((INDEX($T$7:$T$171,SMALL(IF($T$7:$T$171&lt;&gt;"",IF($Q$7:$Q$171&lt;&gt;"",ROW($Q$7:$Q$171)-MIN(ROW($Q$7:$Q$171))+1,""),""),ROW()-ROW(A$173)+1)))," "),"")</f>
        <v/>
      </c>
      <c r="R207" s="0" t="str">
        <f aca="false">IFERROR(CONCATENATE(TEXT(INDEX($Q$7:$Q$171,SMALL(IF($T$7:$T$171&lt;&gt;"",IF($Q$7:$Q$171&lt;&gt;"",ROW($Q$7:$Q$171)-MIN(ROW($Q$7:$Q$171))+1,""),""),ROW()-ROW(A$173)+1)),"##0")," "),"")</f>
        <v/>
      </c>
      <c r="S207" s="0" t="str">
        <f aca="false">IFERROR(CONCATENATE((INDEX($A$7:$A$171,SMALL(IF($T$7:$T$171&lt;&gt;"",IF($Q$7:$Q$171&lt;&gt;"",ROW($Q$7:$Q$171)-MIN(ROW($Q$7:$Q$171))+1,""),""),ROW()-ROW(A$173)+1))),),"")</f>
        <v/>
      </c>
      <c r="W207" s="0" t="str">
        <f aca="false">IFERROR(CONCATENATE((INDEX($Z$7:$Z$171,SMALL(IF($Z$7:$Z$171&lt;&gt;"",IF($W$7:$W$171&lt;&gt;"",ROW($W$7:$W$171)-MIN(ROW($W$7:$W$171))+1,""),""),ROW()-ROW(A$173)+1))),","),"")</f>
        <v/>
      </c>
      <c r="X207" s="0" t="str">
        <f aca="false">IFERROR(CONCATENATE(TEXT(INDEX($W$7:$W$171,SMALL(IF($Z$7:$Z$171&lt;&gt;"",IF($W$7:$W$171&lt;&gt;"",ROW($W$7:$W$171)-MIN(ROW($W$7:$W$171))+1,""),""),ROW()-ROW(A$173)+1)),"##0"),","),"")</f>
        <v/>
      </c>
      <c r="Y207" s="0" t="str">
        <f aca="false">IFERROR(CONCATENATE((INDEX($A$7:$A$171,SMALL(IF($Z$7:$Z$171&lt;&gt;"",IF($W$7:$W$171&lt;&gt;"",ROW($W$7:$W$171)-MIN(ROW($W$7:$W$171))+1,""),""),ROW()-ROW(A$173)+1))),),"")</f>
        <v/>
      </c>
    </row>
    <row r="208" customFormat="false" ht="15" hidden="false" customHeight="false" outlineLevel="0" collapsed="false">
      <c r="K208" s="0" t="str">
        <f aca="false">IFERROR(CONCATENATE(TEXT(INDEX($K$7:$K$171,SMALL(IF($N$7:$N$171&lt;&gt;"",IF($K$7:$K$171&lt;&gt;"",ROW($K$7:$K$171)-MIN(ROW($K$7:$K$171))+1,""),""),ROW()-ROW(A$173)+1)),"##0"),","),"")</f>
        <v/>
      </c>
      <c r="L208" s="0" t="str">
        <f aca="false">IFERROR(CONCATENATE((INDEX($N$7:$N$171,SMALL(IF($N$7:$N$171&lt;&gt;"",IF($K$7:$K$171&lt;&gt;"",ROW($K$7:$K$171)-MIN(ROW($K$7:$K$171))+1,""),""),ROW()-ROW(A$173)+1))),","),"")</f>
        <v/>
      </c>
      <c r="M208" s="0" t="str">
        <f aca="false">IFERROR(CONCATENATE((INDEX($A$7:$A$171,SMALL(IF($N$7:$N$171&lt;&gt;"",IF($K$7:$K$171&lt;&gt;"",ROW($K$7:$K$171)-MIN(ROW($K$7:$K$171))+1,""),""),ROW()-ROW(A$173)+1))),),"")</f>
        <v/>
      </c>
      <c r="Q208" s="0" t="str">
        <f aca="false">IFERROR(CONCATENATE((INDEX($T$7:$T$171,SMALL(IF($T$7:$T$171&lt;&gt;"",IF($Q$7:$Q$171&lt;&gt;"",ROW($Q$7:$Q$171)-MIN(ROW($Q$7:$Q$171))+1,""),""),ROW()-ROW(A$173)+1)))," "),"")</f>
        <v/>
      </c>
      <c r="R208" s="0" t="str">
        <f aca="false">IFERROR(CONCATENATE(TEXT(INDEX($Q$7:$Q$171,SMALL(IF($T$7:$T$171&lt;&gt;"",IF($Q$7:$Q$171&lt;&gt;"",ROW($Q$7:$Q$171)-MIN(ROW($Q$7:$Q$171))+1,""),""),ROW()-ROW(A$173)+1)),"##0")," "),"")</f>
        <v/>
      </c>
      <c r="S208" s="0" t="str">
        <f aca="false">IFERROR(CONCATENATE((INDEX($A$7:$A$171,SMALL(IF($T$7:$T$171&lt;&gt;"",IF($Q$7:$Q$171&lt;&gt;"",ROW($Q$7:$Q$171)-MIN(ROW($Q$7:$Q$171))+1,""),""),ROW()-ROW(A$173)+1))),),"")</f>
        <v/>
      </c>
      <c r="W208" s="0" t="str">
        <f aca="false">IFERROR(CONCATENATE((INDEX($Z$7:$Z$171,SMALL(IF($Z$7:$Z$171&lt;&gt;"",IF($W$7:$W$171&lt;&gt;"",ROW($W$7:$W$171)-MIN(ROW($W$7:$W$171))+1,""),""),ROW()-ROW(A$173)+1))),","),"")</f>
        <v/>
      </c>
      <c r="X208" s="0" t="str">
        <f aca="false">IFERROR(CONCATENATE(TEXT(INDEX($W$7:$W$171,SMALL(IF($Z$7:$Z$171&lt;&gt;"",IF($W$7:$W$171&lt;&gt;"",ROW($W$7:$W$171)-MIN(ROW($W$7:$W$171))+1,""),""),ROW()-ROW(A$173)+1)),"##0"),","),"")</f>
        <v/>
      </c>
      <c r="Y208" s="0" t="str">
        <f aca="false">IFERROR(CONCATENATE((INDEX($A$7:$A$171,SMALL(IF($Z$7:$Z$171&lt;&gt;"",IF($W$7:$W$171&lt;&gt;"",ROW($W$7:$W$171)-MIN(ROW($W$7:$W$171))+1,""),""),ROW()-ROW(A$173)+1))),),"")</f>
        <v/>
      </c>
    </row>
    <row r="209" customFormat="false" ht="15" hidden="false" customHeight="false" outlineLevel="0" collapsed="false">
      <c r="K209" s="0" t="str">
        <f aca="false">IFERROR(CONCATENATE(TEXT(INDEX($K$7:$K$171,SMALL(IF($N$7:$N$171&lt;&gt;"",IF($K$7:$K$171&lt;&gt;"",ROW($K$7:$K$171)-MIN(ROW($K$7:$K$171))+1,""),""),ROW()-ROW(A$173)+1)),"##0"),","),"")</f>
        <v/>
      </c>
      <c r="L209" s="0" t="str">
        <f aca="false">IFERROR(CONCATENATE((INDEX($N$7:$N$171,SMALL(IF($N$7:$N$171&lt;&gt;"",IF($K$7:$K$171&lt;&gt;"",ROW($K$7:$K$171)-MIN(ROW($K$7:$K$171))+1,""),""),ROW()-ROW(A$173)+1))),","),"")</f>
        <v/>
      </c>
      <c r="M209" s="0" t="str">
        <f aca="false">IFERROR(CONCATENATE((INDEX($A$7:$A$171,SMALL(IF($N$7:$N$171&lt;&gt;"",IF($K$7:$K$171&lt;&gt;"",ROW($K$7:$K$171)-MIN(ROW($K$7:$K$171))+1,""),""),ROW()-ROW(A$173)+1))),),"")</f>
        <v/>
      </c>
      <c r="Q209" s="0" t="str">
        <f aca="false">IFERROR(CONCATENATE((INDEX($T$7:$T$171,SMALL(IF($T$7:$T$171&lt;&gt;"",IF($Q$7:$Q$171&lt;&gt;"",ROW($Q$7:$Q$171)-MIN(ROW($Q$7:$Q$171))+1,""),""),ROW()-ROW(A$173)+1)))," "),"")</f>
        <v/>
      </c>
      <c r="R209" s="0" t="str">
        <f aca="false">IFERROR(CONCATENATE(TEXT(INDEX($Q$7:$Q$171,SMALL(IF($T$7:$T$171&lt;&gt;"",IF($Q$7:$Q$171&lt;&gt;"",ROW($Q$7:$Q$171)-MIN(ROW($Q$7:$Q$171))+1,""),""),ROW()-ROW(A$173)+1)),"##0")," "),"")</f>
        <v/>
      </c>
      <c r="S209" s="0" t="str">
        <f aca="false">IFERROR(CONCATENATE((INDEX($A$7:$A$171,SMALL(IF($T$7:$T$171&lt;&gt;"",IF($Q$7:$Q$171&lt;&gt;"",ROW($Q$7:$Q$171)-MIN(ROW($Q$7:$Q$171))+1,""),""),ROW()-ROW(A$173)+1))),),"")</f>
        <v/>
      </c>
      <c r="W209" s="0" t="str">
        <f aca="false">IFERROR(CONCATENATE((INDEX($Z$7:$Z$171,SMALL(IF($Z$7:$Z$171&lt;&gt;"",IF($W$7:$W$171&lt;&gt;"",ROW($W$7:$W$171)-MIN(ROW($W$7:$W$171))+1,""),""),ROW()-ROW(A$173)+1))),","),"")</f>
        <v/>
      </c>
      <c r="X209" s="0" t="str">
        <f aca="false">IFERROR(CONCATENATE(TEXT(INDEX($W$7:$W$171,SMALL(IF($Z$7:$Z$171&lt;&gt;"",IF($W$7:$W$171&lt;&gt;"",ROW($W$7:$W$171)-MIN(ROW($W$7:$W$171))+1,""),""),ROW()-ROW(A$173)+1)),"##0"),","),"")</f>
        <v/>
      </c>
      <c r="Y209" s="0" t="str">
        <f aca="false">IFERROR(CONCATENATE((INDEX($A$7:$A$171,SMALL(IF($Z$7:$Z$171&lt;&gt;"",IF($W$7:$W$171&lt;&gt;"",ROW($W$7:$W$171)-MIN(ROW($W$7:$W$171))+1,""),""),ROW()-ROW(A$173)+1))),),"")</f>
        <v/>
      </c>
    </row>
    <row r="210" customFormat="false" ht="15" hidden="false" customHeight="false" outlineLevel="0" collapsed="false">
      <c r="K210" s="0" t="str">
        <f aca="false">IFERROR(CONCATENATE(TEXT(INDEX($K$7:$K$171,SMALL(IF($N$7:$N$171&lt;&gt;"",IF($K$7:$K$171&lt;&gt;"",ROW($K$7:$K$171)-MIN(ROW($K$7:$K$171))+1,""),""),ROW()-ROW(A$173)+1)),"##0"),","),"")</f>
        <v/>
      </c>
      <c r="L210" s="0" t="str">
        <f aca="false">IFERROR(CONCATENATE((INDEX($N$7:$N$171,SMALL(IF($N$7:$N$171&lt;&gt;"",IF($K$7:$K$171&lt;&gt;"",ROW($K$7:$K$171)-MIN(ROW($K$7:$K$171))+1,""),""),ROW()-ROW(A$173)+1))),","),"")</f>
        <v/>
      </c>
      <c r="M210" s="0" t="str">
        <f aca="false">IFERROR(CONCATENATE((INDEX($A$7:$A$171,SMALL(IF($N$7:$N$171&lt;&gt;"",IF($K$7:$K$171&lt;&gt;"",ROW($K$7:$K$171)-MIN(ROW($K$7:$K$171))+1,""),""),ROW()-ROW(A$173)+1))),),"")</f>
        <v/>
      </c>
      <c r="Q210" s="0" t="str">
        <f aca="false">IFERROR(CONCATENATE((INDEX($T$7:$T$171,SMALL(IF($T$7:$T$171&lt;&gt;"",IF($Q$7:$Q$171&lt;&gt;"",ROW($Q$7:$Q$171)-MIN(ROW($Q$7:$Q$171))+1,""),""),ROW()-ROW(A$173)+1)))," "),"")</f>
        <v/>
      </c>
      <c r="R210" s="0" t="str">
        <f aca="false">IFERROR(CONCATENATE(TEXT(INDEX($Q$7:$Q$171,SMALL(IF($T$7:$T$171&lt;&gt;"",IF($Q$7:$Q$171&lt;&gt;"",ROW($Q$7:$Q$171)-MIN(ROW($Q$7:$Q$171))+1,""),""),ROW()-ROW(A$173)+1)),"##0")," "),"")</f>
        <v/>
      </c>
      <c r="S210" s="0" t="str">
        <f aca="false">IFERROR(CONCATENATE((INDEX($A$7:$A$171,SMALL(IF($T$7:$T$171&lt;&gt;"",IF($Q$7:$Q$171&lt;&gt;"",ROW($Q$7:$Q$171)-MIN(ROW($Q$7:$Q$171))+1,""),""),ROW()-ROW(A$173)+1))),),"")</f>
        <v/>
      </c>
      <c r="W210" s="0" t="str">
        <f aca="false">IFERROR(CONCATENATE((INDEX($Z$7:$Z$171,SMALL(IF($Z$7:$Z$171&lt;&gt;"",IF($W$7:$W$171&lt;&gt;"",ROW($W$7:$W$171)-MIN(ROW($W$7:$W$171))+1,""),""),ROW()-ROW(A$173)+1))),","),"")</f>
        <v/>
      </c>
      <c r="X210" s="0" t="str">
        <f aca="false">IFERROR(CONCATENATE(TEXT(INDEX($W$7:$W$171,SMALL(IF($Z$7:$Z$171&lt;&gt;"",IF($W$7:$W$171&lt;&gt;"",ROW($W$7:$W$171)-MIN(ROW($W$7:$W$171))+1,""),""),ROW()-ROW(A$173)+1)),"##0"),","),"")</f>
        <v/>
      </c>
      <c r="Y210" s="0" t="str">
        <f aca="false">IFERROR(CONCATENATE((INDEX($A$7:$A$171,SMALL(IF($Z$7:$Z$171&lt;&gt;"",IF($W$7:$W$171&lt;&gt;"",ROW($W$7:$W$171)-MIN(ROW($W$7:$W$171))+1,""),""),ROW()-ROW(A$173)+1))),),"")</f>
        <v/>
      </c>
    </row>
    <row r="211" customFormat="false" ht="15" hidden="false" customHeight="false" outlineLevel="0" collapsed="false">
      <c r="K211" s="0" t="str">
        <f aca="false">IFERROR(CONCATENATE(TEXT(INDEX($K$7:$K$171,SMALL(IF($N$7:$N$171&lt;&gt;"",IF($K$7:$K$171&lt;&gt;"",ROW($K$7:$K$171)-MIN(ROW($K$7:$K$171))+1,""),""),ROW()-ROW(A$173)+1)),"##0"),","),"")</f>
        <v/>
      </c>
      <c r="L211" s="0" t="str">
        <f aca="false">IFERROR(CONCATENATE((INDEX($N$7:$N$171,SMALL(IF($N$7:$N$171&lt;&gt;"",IF($K$7:$K$171&lt;&gt;"",ROW($K$7:$K$171)-MIN(ROW($K$7:$K$171))+1,""),""),ROW()-ROW(A$173)+1))),","),"")</f>
        <v/>
      </c>
      <c r="M211" s="0" t="str">
        <f aca="false">IFERROR(CONCATENATE((INDEX($A$7:$A$171,SMALL(IF($N$7:$N$171&lt;&gt;"",IF($K$7:$K$171&lt;&gt;"",ROW($K$7:$K$171)-MIN(ROW($K$7:$K$171))+1,""),""),ROW()-ROW(A$173)+1))),),"")</f>
        <v/>
      </c>
      <c r="Q211" s="0" t="str">
        <f aca="false">IFERROR(CONCATENATE((INDEX($T$7:$T$171,SMALL(IF($T$7:$T$171&lt;&gt;"",IF($Q$7:$Q$171&lt;&gt;"",ROW($Q$7:$Q$171)-MIN(ROW($Q$7:$Q$171))+1,""),""),ROW()-ROW(A$173)+1)))," "),"")</f>
        <v/>
      </c>
      <c r="R211" s="0" t="str">
        <f aca="false">IFERROR(CONCATENATE(TEXT(INDEX($Q$7:$Q$171,SMALL(IF($T$7:$T$171&lt;&gt;"",IF($Q$7:$Q$171&lt;&gt;"",ROW($Q$7:$Q$171)-MIN(ROW($Q$7:$Q$171))+1,""),""),ROW()-ROW(A$173)+1)),"##0")," "),"")</f>
        <v/>
      </c>
      <c r="S211" s="0" t="str">
        <f aca="false">IFERROR(CONCATENATE((INDEX($A$7:$A$171,SMALL(IF($T$7:$T$171&lt;&gt;"",IF($Q$7:$Q$171&lt;&gt;"",ROW($Q$7:$Q$171)-MIN(ROW($Q$7:$Q$171))+1,""),""),ROW()-ROW(A$173)+1))),),"")</f>
        <v/>
      </c>
      <c r="W211" s="0" t="str">
        <f aca="false">IFERROR(CONCATENATE((INDEX($Z$7:$Z$171,SMALL(IF($Z$7:$Z$171&lt;&gt;"",IF($W$7:$W$171&lt;&gt;"",ROW($W$7:$W$171)-MIN(ROW($W$7:$W$171))+1,""),""),ROW()-ROW(A$173)+1))),","),"")</f>
        <v/>
      </c>
      <c r="X211" s="0" t="str">
        <f aca="false">IFERROR(CONCATENATE(TEXT(INDEX($W$7:$W$171,SMALL(IF($Z$7:$Z$171&lt;&gt;"",IF($W$7:$W$171&lt;&gt;"",ROW($W$7:$W$171)-MIN(ROW($W$7:$W$171))+1,""),""),ROW()-ROW(A$173)+1)),"##0"),","),"")</f>
        <v/>
      </c>
      <c r="Y211" s="0" t="str">
        <f aca="false">IFERROR(CONCATENATE((INDEX($A$7:$A$171,SMALL(IF($Z$7:$Z$171&lt;&gt;"",IF($W$7:$W$171&lt;&gt;"",ROW($W$7:$W$171)-MIN(ROW($W$7:$W$171))+1,""),""),ROW()-ROW(A$173)+1))),),"")</f>
        <v/>
      </c>
    </row>
    <row r="212" customFormat="false" ht="15" hidden="false" customHeight="false" outlineLevel="0" collapsed="false">
      <c r="K212" s="0" t="str">
        <f aca="false">IFERROR(CONCATENATE(TEXT(INDEX($K$7:$K$171,SMALL(IF($N$7:$N$171&lt;&gt;"",IF($K$7:$K$171&lt;&gt;"",ROW($K$7:$K$171)-MIN(ROW($K$7:$K$171))+1,""),""),ROW()-ROW(A$173)+1)),"##0"),","),"")</f>
        <v/>
      </c>
      <c r="L212" s="0" t="str">
        <f aca="false">IFERROR(CONCATENATE((INDEX($N$7:$N$171,SMALL(IF($N$7:$N$171&lt;&gt;"",IF($K$7:$K$171&lt;&gt;"",ROW($K$7:$K$171)-MIN(ROW($K$7:$K$171))+1,""),""),ROW()-ROW(A$173)+1))),","),"")</f>
        <v/>
      </c>
      <c r="M212" s="0" t="str">
        <f aca="false">IFERROR(CONCATENATE((INDEX($A$7:$A$171,SMALL(IF($N$7:$N$171&lt;&gt;"",IF($K$7:$K$171&lt;&gt;"",ROW($K$7:$K$171)-MIN(ROW($K$7:$K$171))+1,""),""),ROW()-ROW(A$173)+1))),),"")</f>
        <v/>
      </c>
      <c r="Q212" s="0" t="str">
        <f aca="false">IFERROR(CONCATENATE((INDEX($T$7:$T$171,SMALL(IF($T$7:$T$171&lt;&gt;"",IF($Q$7:$Q$171&lt;&gt;"",ROW($Q$7:$Q$171)-MIN(ROW($Q$7:$Q$171))+1,""),""),ROW()-ROW(A$173)+1)))," "),"")</f>
        <v/>
      </c>
      <c r="R212" s="0" t="str">
        <f aca="false">IFERROR(CONCATENATE(TEXT(INDEX($Q$7:$Q$171,SMALL(IF($T$7:$T$171&lt;&gt;"",IF($Q$7:$Q$171&lt;&gt;"",ROW($Q$7:$Q$171)-MIN(ROW($Q$7:$Q$171))+1,""),""),ROW()-ROW(A$173)+1)),"##0")," "),"")</f>
        <v/>
      </c>
      <c r="S212" s="0" t="str">
        <f aca="false">IFERROR(CONCATENATE((INDEX($A$7:$A$171,SMALL(IF($T$7:$T$171&lt;&gt;"",IF($Q$7:$Q$171&lt;&gt;"",ROW($Q$7:$Q$171)-MIN(ROW($Q$7:$Q$171))+1,""),""),ROW()-ROW(A$173)+1))),),"")</f>
        <v/>
      </c>
      <c r="W212" s="0" t="str">
        <f aca="false">IFERROR(CONCATENATE((INDEX($Z$7:$Z$171,SMALL(IF($Z$7:$Z$171&lt;&gt;"",IF($W$7:$W$171&lt;&gt;"",ROW($W$7:$W$171)-MIN(ROW($W$7:$W$171))+1,""),""),ROW()-ROW(A$173)+1))),","),"")</f>
        <v/>
      </c>
      <c r="X212" s="0" t="str">
        <f aca="false">IFERROR(CONCATENATE(TEXT(INDEX($W$7:$W$171,SMALL(IF($Z$7:$Z$171&lt;&gt;"",IF($W$7:$W$171&lt;&gt;"",ROW($W$7:$W$171)-MIN(ROW($W$7:$W$171))+1,""),""),ROW()-ROW(A$173)+1)),"##0"),","),"")</f>
        <v/>
      </c>
      <c r="Y212" s="0" t="str">
        <f aca="false">IFERROR(CONCATENATE((INDEX($A$7:$A$171,SMALL(IF($Z$7:$Z$171&lt;&gt;"",IF($W$7:$W$171&lt;&gt;"",ROW($W$7:$W$171)-MIN(ROW($W$7:$W$171))+1,""),""),ROW()-ROW(A$173)+1))),),"")</f>
        <v/>
      </c>
    </row>
    <row r="213" customFormat="false" ht="15" hidden="false" customHeight="false" outlineLevel="0" collapsed="false">
      <c r="K213" s="0" t="str">
        <f aca="false">IFERROR(CONCATENATE(TEXT(INDEX($K$7:$K$171,SMALL(IF($N$7:$N$171&lt;&gt;"",IF($K$7:$K$171&lt;&gt;"",ROW($K$7:$K$171)-MIN(ROW($K$7:$K$171))+1,""),""),ROW()-ROW(A$173)+1)),"##0"),","),"")</f>
        <v/>
      </c>
      <c r="L213" s="0" t="str">
        <f aca="false">IFERROR(CONCATENATE((INDEX($N$7:$N$171,SMALL(IF($N$7:$N$171&lt;&gt;"",IF($K$7:$K$171&lt;&gt;"",ROW($K$7:$K$171)-MIN(ROW($K$7:$K$171))+1,""),""),ROW()-ROW(A$173)+1))),","),"")</f>
        <v/>
      </c>
      <c r="M213" s="0" t="str">
        <f aca="false">IFERROR(CONCATENATE((INDEX($A$7:$A$171,SMALL(IF($N$7:$N$171&lt;&gt;"",IF($K$7:$K$171&lt;&gt;"",ROW($K$7:$K$171)-MIN(ROW($K$7:$K$171))+1,""),""),ROW()-ROW(A$173)+1))),),"")</f>
        <v/>
      </c>
      <c r="Q213" s="0" t="str">
        <f aca="false">IFERROR(CONCATENATE((INDEX($T$7:$T$171,SMALL(IF($T$7:$T$171&lt;&gt;"",IF($Q$7:$Q$171&lt;&gt;"",ROW($Q$7:$Q$171)-MIN(ROW($Q$7:$Q$171))+1,""),""),ROW()-ROW(A$173)+1)))," "),"")</f>
        <v/>
      </c>
      <c r="R213" s="0" t="str">
        <f aca="false">IFERROR(CONCATENATE(TEXT(INDEX($Q$7:$Q$171,SMALL(IF($T$7:$T$171&lt;&gt;"",IF($Q$7:$Q$171&lt;&gt;"",ROW($Q$7:$Q$171)-MIN(ROW($Q$7:$Q$171))+1,""),""),ROW()-ROW(A$173)+1)),"##0")," "),"")</f>
        <v/>
      </c>
      <c r="S213" s="0" t="str">
        <f aca="false">IFERROR(CONCATENATE((INDEX($A$7:$A$171,SMALL(IF($T$7:$T$171&lt;&gt;"",IF($Q$7:$Q$171&lt;&gt;"",ROW($Q$7:$Q$171)-MIN(ROW($Q$7:$Q$171))+1,""),""),ROW()-ROW(A$173)+1))),),"")</f>
        <v/>
      </c>
      <c r="W213" s="0" t="str">
        <f aca="false">IFERROR(CONCATENATE((INDEX($Z$7:$Z$171,SMALL(IF($Z$7:$Z$171&lt;&gt;"",IF($W$7:$W$171&lt;&gt;"",ROW($W$7:$W$171)-MIN(ROW($W$7:$W$171))+1,""),""),ROW()-ROW(A$173)+1))),","),"")</f>
        <v/>
      </c>
      <c r="X213" s="0" t="str">
        <f aca="false">IFERROR(CONCATENATE(TEXT(INDEX($W$7:$W$171,SMALL(IF($Z$7:$Z$171&lt;&gt;"",IF($W$7:$W$171&lt;&gt;"",ROW($W$7:$W$171)-MIN(ROW($W$7:$W$171))+1,""),""),ROW()-ROW(A$173)+1)),"##0"),","),"")</f>
        <v/>
      </c>
      <c r="Y213" s="0" t="str">
        <f aca="false">IFERROR(CONCATENATE((INDEX($A$7:$A$171,SMALL(IF($Z$7:$Z$171&lt;&gt;"",IF($W$7:$W$171&lt;&gt;"",ROW($W$7:$W$171)-MIN(ROW($W$7:$W$171))+1,""),""),ROW()-ROW(A$173)+1))),),"")</f>
        <v/>
      </c>
    </row>
    <row r="214" customFormat="false" ht="15" hidden="false" customHeight="false" outlineLevel="0" collapsed="false">
      <c r="K214" s="0" t="str">
        <f aca="false">IFERROR(CONCATENATE(TEXT(INDEX($K$7:$K$171,SMALL(IF($N$7:$N$171&lt;&gt;"",IF($K$7:$K$171&lt;&gt;"",ROW($K$7:$K$171)-MIN(ROW($K$7:$K$171))+1,""),""),ROW()-ROW(A$173)+1)),"##0"),","),"")</f>
        <v/>
      </c>
      <c r="L214" s="0" t="str">
        <f aca="false">IFERROR(CONCATENATE((INDEX($N$7:$N$171,SMALL(IF($N$7:$N$171&lt;&gt;"",IF($K$7:$K$171&lt;&gt;"",ROW($K$7:$K$171)-MIN(ROW($K$7:$K$171))+1,""),""),ROW()-ROW(A$173)+1))),","),"")</f>
        <v/>
      </c>
      <c r="M214" s="0" t="str">
        <f aca="false">IFERROR(CONCATENATE((INDEX($A$7:$A$171,SMALL(IF($N$7:$N$171&lt;&gt;"",IF($K$7:$K$171&lt;&gt;"",ROW($K$7:$K$171)-MIN(ROW($K$7:$K$171))+1,""),""),ROW()-ROW(A$173)+1))),),"")</f>
        <v/>
      </c>
      <c r="Q214" s="0" t="str">
        <f aca="false">IFERROR(CONCATENATE((INDEX($T$7:$T$171,SMALL(IF($T$7:$T$171&lt;&gt;"",IF($Q$7:$Q$171&lt;&gt;"",ROW($Q$7:$Q$171)-MIN(ROW($Q$7:$Q$171))+1,""),""),ROW()-ROW(A$173)+1)))," "),"")</f>
        <v/>
      </c>
      <c r="R214" s="0" t="str">
        <f aca="false">IFERROR(CONCATENATE(TEXT(INDEX($Q$7:$Q$171,SMALL(IF($T$7:$T$171&lt;&gt;"",IF($Q$7:$Q$171&lt;&gt;"",ROW($Q$7:$Q$171)-MIN(ROW($Q$7:$Q$171))+1,""),""),ROW()-ROW(A$173)+1)),"##0")," "),"")</f>
        <v/>
      </c>
      <c r="S214" s="0" t="str">
        <f aca="false">IFERROR(CONCATENATE((INDEX($A$7:$A$171,SMALL(IF($T$7:$T$171&lt;&gt;"",IF($Q$7:$Q$171&lt;&gt;"",ROW($Q$7:$Q$171)-MIN(ROW($Q$7:$Q$171))+1,""),""),ROW()-ROW(A$173)+1))),),"")</f>
        <v/>
      </c>
      <c r="W214" s="0" t="str">
        <f aca="false">IFERROR(CONCATENATE((INDEX($Z$7:$Z$171,SMALL(IF($Z$7:$Z$171&lt;&gt;"",IF($W$7:$W$171&lt;&gt;"",ROW($W$7:$W$171)-MIN(ROW($W$7:$W$171))+1,""),""),ROW()-ROW(A$173)+1))),","),"")</f>
        <v/>
      </c>
      <c r="X214" s="0" t="str">
        <f aca="false">IFERROR(CONCATENATE(TEXT(INDEX($W$7:$W$171,SMALL(IF($Z$7:$Z$171&lt;&gt;"",IF($W$7:$W$171&lt;&gt;"",ROW($W$7:$W$171)-MIN(ROW($W$7:$W$171))+1,""),""),ROW()-ROW(A$173)+1)),"##0"),","),"")</f>
        <v/>
      </c>
      <c r="Y214" s="0" t="str">
        <f aca="false">IFERROR(CONCATENATE((INDEX($A$7:$A$171,SMALL(IF($Z$7:$Z$171&lt;&gt;"",IF($W$7:$W$171&lt;&gt;"",ROW($W$7:$W$171)-MIN(ROW($W$7:$W$171))+1,""),""),ROW()-ROW(A$173)+1))),),"")</f>
        <v/>
      </c>
    </row>
    <row r="215" customFormat="false" ht="15" hidden="false" customHeight="false" outlineLevel="0" collapsed="false">
      <c r="K215" s="0" t="str">
        <f aca="false">IFERROR(CONCATENATE(TEXT(INDEX($K$7:$K$171,SMALL(IF($N$7:$N$171&lt;&gt;"",IF($K$7:$K$171&lt;&gt;"",ROW($K$7:$K$171)-MIN(ROW($K$7:$K$171))+1,""),""),ROW()-ROW(A$173)+1)),"##0"),","),"")</f>
        <v/>
      </c>
      <c r="L215" s="0" t="str">
        <f aca="false">IFERROR(CONCATENATE((INDEX($N$7:$N$171,SMALL(IF($N$7:$N$171&lt;&gt;"",IF($K$7:$K$171&lt;&gt;"",ROW($K$7:$K$171)-MIN(ROW($K$7:$K$171))+1,""),""),ROW()-ROW(A$173)+1))),","),"")</f>
        <v/>
      </c>
      <c r="M215" s="0" t="str">
        <f aca="false">IFERROR(CONCATENATE((INDEX($A$7:$A$171,SMALL(IF($N$7:$N$171&lt;&gt;"",IF($K$7:$K$171&lt;&gt;"",ROW($K$7:$K$171)-MIN(ROW($K$7:$K$171))+1,""),""),ROW()-ROW(A$173)+1))),),"")</f>
        <v/>
      </c>
      <c r="Q215" s="0" t="str">
        <f aca="false">IFERROR(CONCATENATE((INDEX($T$7:$T$171,SMALL(IF($T$7:$T$171&lt;&gt;"",IF($Q$7:$Q$171&lt;&gt;"",ROW($Q$7:$Q$171)-MIN(ROW($Q$7:$Q$171))+1,""),""),ROW()-ROW(A$173)+1)))," "),"")</f>
        <v/>
      </c>
      <c r="R215" s="0" t="str">
        <f aca="false">IFERROR(CONCATENATE(TEXT(INDEX($Q$7:$Q$171,SMALL(IF($T$7:$T$171&lt;&gt;"",IF($Q$7:$Q$171&lt;&gt;"",ROW($Q$7:$Q$171)-MIN(ROW($Q$7:$Q$171))+1,""),""),ROW()-ROW(A$173)+1)),"##0")," "),"")</f>
        <v/>
      </c>
      <c r="S215" s="0" t="str">
        <f aca="false">IFERROR(CONCATENATE((INDEX($A$7:$A$171,SMALL(IF($T$7:$T$171&lt;&gt;"",IF($Q$7:$Q$171&lt;&gt;"",ROW($Q$7:$Q$171)-MIN(ROW($Q$7:$Q$171))+1,""),""),ROW()-ROW(A$173)+1))),),"")</f>
        <v/>
      </c>
      <c r="W215" s="0" t="str">
        <f aca="false">IFERROR(CONCATENATE((INDEX($Z$7:$Z$171,SMALL(IF($Z$7:$Z$171&lt;&gt;"",IF($W$7:$W$171&lt;&gt;"",ROW($W$7:$W$171)-MIN(ROW($W$7:$W$171))+1,""),""),ROW()-ROW(A$173)+1))),","),"")</f>
        <v/>
      </c>
      <c r="X215" s="0" t="str">
        <f aca="false">IFERROR(CONCATENATE(TEXT(INDEX($W$7:$W$171,SMALL(IF($Z$7:$Z$171&lt;&gt;"",IF($W$7:$W$171&lt;&gt;"",ROW($W$7:$W$171)-MIN(ROW($W$7:$W$171))+1,""),""),ROW()-ROW(A$173)+1)),"##0"),","),"")</f>
        <v/>
      </c>
      <c r="Y215" s="0" t="str">
        <f aca="false">IFERROR(CONCATENATE((INDEX($A$7:$A$171,SMALL(IF($Z$7:$Z$171&lt;&gt;"",IF($W$7:$W$171&lt;&gt;"",ROW($W$7:$W$171)-MIN(ROW($W$7:$W$171))+1,""),""),ROW()-ROW(A$173)+1))),),"")</f>
        <v/>
      </c>
    </row>
    <row r="216" customFormat="false" ht="15" hidden="false" customHeight="false" outlineLevel="0" collapsed="false">
      <c r="K216" s="0" t="str">
        <f aca="false">IFERROR(CONCATENATE(TEXT(INDEX($K$7:$K$171,SMALL(IF($N$7:$N$171&lt;&gt;"",IF($K$7:$K$171&lt;&gt;"",ROW($K$7:$K$171)-MIN(ROW($K$7:$K$171))+1,""),""),ROW()-ROW(A$173)+1)),"##0"),","),"")</f>
        <v/>
      </c>
      <c r="L216" s="0" t="str">
        <f aca="false">IFERROR(CONCATENATE((INDEX($N$7:$N$171,SMALL(IF($N$7:$N$171&lt;&gt;"",IF($K$7:$K$171&lt;&gt;"",ROW($K$7:$K$171)-MIN(ROW($K$7:$K$171))+1,""),""),ROW()-ROW(A$173)+1))),","),"")</f>
        <v/>
      </c>
      <c r="M216" s="0" t="str">
        <f aca="false">IFERROR(CONCATENATE((INDEX($A$7:$A$171,SMALL(IF($N$7:$N$171&lt;&gt;"",IF($K$7:$K$171&lt;&gt;"",ROW($K$7:$K$171)-MIN(ROW($K$7:$K$171))+1,""),""),ROW()-ROW(A$173)+1))),),"")</f>
        <v/>
      </c>
      <c r="Q216" s="0" t="str">
        <f aca="false">IFERROR(CONCATENATE((INDEX($T$7:$T$171,SMALL(IF($T$7:$T$171&lt;&gt;"",IF($Q$7:$Q$171&lt;&gt;"",ROW($Q$7:$Q$171)-MIN(ROW($Q$7:$Q$171))+1,""),""),ROW()-ROW(A$173)+1)))," "),"")</f>
        <v/>
      </c>
      <c r="R216" s="0" t="str">
        <f aca="false">IFERROR(CONCATENATE(TEXT(INDEX($Q$7:$Q$171,SMALL(IF($T$7:$T$171&lt;&gt;"",IF($Q$7:$Q$171&lt;&gt;"",ROW($Q$7:$Q$171)-MIN(ROW($Q$7:$Q$171))+1,""),""),ROW()-ROW(A$173)+1)),"##0")," "),"")</f>
        <v/>
      </c>
      <c r="S216" s="0" t="str">
        <f aca="false">IFERROR(CONCATENATE((INDEX($A$7:$A$171,SMALL(IF($T$7:$T$171&lt;&gt;"",IF($Q$7:$Q$171&lt;&gt;"",ROW($Q$7:$Q$171)-MIN(ROW($Q$7:$Q$171))+1,""),""),ROW()-ROW(A$173)+1))),),"")</f>
        <v/>
      </c>
      <c r="W216" s="0" t="str">
        <f aca="false">IFERROR(CONCATENATE((INDEX($Z$7:$Z$171,SMALL(IF($Z$7:$Z$171&lt;&gt;"",IF($W$7:$W$171&lt;&gt;"",ROW($W$7:$W$171)-MIN(ROW($W$7:$W$171))+1,""),""),ROW()-ROW(A$173)+1))),","),"")</f>
        <v/>
      </c>
      <c r="X216" s="0" t="str">
        <f aca="false">IFERROR(CONCATENATE(TEXT(INDEX($W$7:$W$171,SMALL(IF($Z$7:$Z$171&lt;&gt;"",IF($W$7:$W$171&lt;&gt;"",ROW($W$7:$W$171)-MIN(ROW($W$7:$W$171))+1,""),""),ROW()-ROW(A$173)+1)),"##0"),","),"")</f>
        <v/>
      </c>
      <c r="Y216" s="0" t="str">
        <f aca="false">IFERROR(CONCATENATE((INDEX($A$7:$A$171,SMALL(IF($Z$7:$Z$171&lt;&gt;"",IF($W$7:$W$171&lt;&gt;"",ROW($W$7:$W$171)-MIN(ROW($W$7:$W$171))+1,""),""),ROW()-ROW(A$173)+1))),),"")</f>
        <v/>
      </c>
    </row>
    <row r="217" customFormat="false" ht="15" hidden="false" customHeight="false" outlineLevel="0" collapsed="false">
      <c r="K217" s="0" t="str">
        <f aca="false">IFERROR(CONCATENATE(TEXT(INDEX($K$7:$K$171,SMALL(IF($N$7:$N$171&lt;&gt;"",IF($K$7:$K$171&lt;&gt;"",ROW($K$7:$K$171)-MIN(ROW($K$7:$K$171))+1,""),""),ROW()-ROW(A$173)+1)),"##0"),","),"")</f>
        <v/>
      </c>
      <c r="L217" s="0" t="str">
        <f aca="false">IFERROR(CONCATENATE((INDEX($N$7:$N$171,SMALL(IF($N$7:$N$171&lt;&gt;"",IF($K$7:$K$171&lt;&gt;"",ROW($K$7:$K$171)-MIN(ROW($K$7:$K$171))+1,""),""),ROW()-ROW(A$173)+1))),","),"")</f>
        <v/>
      </c>
      <c r="M217" s="0" t="str">
        <f aca="false">IFERROR(CONCATENATE((INDEX($A$7:$A$171,SMALL(IF($N$7:$N$171&lt;&gt;"",IF($K$7:$K$171&lt;&gt;"",ROW($K$7:$K$171)-MIN(ROW($K$7:$K$171))+1,""),""),ROW()-ROW(A$173)+1))),),"")</f>
        <v/>
      </c>
      <c r="Q217" s="0" t="str">
        <f aca="false">IFERROR(CONCATENATE((INDEX($T$7:$T$171,SMALL(IF($T$7:$T$171&lt;&gt;"",IF($Q$7:$Q$171&lt;&gt;"",ROW($Q$7:$Q$171)-MIN(ROW($Q$7:$Q$171))+1,""),""),ROW()-ROW(A$173)+1)))," "),"")</f>
        <v/>
      </c>
      <c r="R217" s="0" t="str">
        <f aca="false">IFERROR(CONCATENATE(TEXT(INDEX($Q$7:$Q$171,SMALL(IF($T$7:$T$171&lt;&gt;"",IF($Q$7:$Q$171&lt;&gt;"",ROW($Q$7:$Q$171)-MIN(ROW($Q$7:$Q$171))+1,""),""),ROW()-ROW(A$173)+1)),"##0")," "),"")</f>
        <v/>
      </c>
      <c r="S217" s="0" t="str">
        <f aca="false">IFERROR(CONCATENATE((INDEX($A$7:$A$171,SMALL(IF($T$7:$T$171&lt;&gt;"",IF($Q$7:$Q$171&lt;&gt;"",ROW($Q$7:$Q$171)-MIN(ROW($Q$7:$Q$171))+1,""),""),ROW()-ROW(A$173)+1))),),"")</f>
        <v/>
      </c>
      <c r="W217" s="0" t="str">
        <f aca="false">IFERROR(CONCATENATE((INDEX($Z$7:$Z$171,SMALL(IF($Z$7:$Z$171&lt;&gt;"",IF($W$7:$W$171&lt;&gt;"",ROW($W$7:$W$171)-MIN(ROW($W$7:$W$171))+1,""),""),ROW()-ROW(A$173)+1))),","),"")</f>
        <v/>
      </c>
      <c r="X217" s="0" t="str">
        <f aca="false">IFERROR(CONCATENATE(TEXT(INDEX($W$7:$W$171,SMALL(IF($Z$7:$Z$171&lt;&gt;"",IF($W$7:$W$171&lt;&gt;"",ROW($W$7:$W$171)-MIN(ROW($W$7:$W$171))+1,""),""),ROW()-ROW(A$173)+1)),"##0"),","),"")</f>
        <v/>
      </c>
      <c r="Y217" s="0" t="str">
        <f aca="false">IFERROR(CONCATENATE((INDEX($A$7:$A$171,SMALL(IF($Z$7:$Z$171&lt;&gt;"",IF($W$7:$W$171&lt;&gt;"",ROW($W$7:$W$171)-MIN(ROW($W$7:$W$171))+1,""),""),ROW()-ROW(A$173)+1))),),"")</f>
        <v/>
      </c>
    </row>
    <row r="218" customFormat="false" ht="15" hidden="false" customHeight="false" outlineLevel="0" collapsed="false">
      <c r="K218" s="0" t="str">
        <f aca="false">IFERROR(CONCATENATE(TEXT(INDEX($K$7:$K$171,SMALL(IF($N$7:$N$171&lt;&gt;"",IF($K$7:$K$171&lt;&gt;"",ROW($K$7:$K$171)-MIN(ROW($K$7:$K$171))+1,""),""),ROW()-ROW(A$173)+1)),"##0"),","),"")</f>
        <v/>
      </c>
      <c r="L218" s="0" t="str">
        <f aca="false">IFERROR(CONCATENATE((INDEX($N$7:$N$171,SMALL(IF($N$7:$N$171&lt;&gt;"",IF($K$7:$K$171&lt;&gt;"",ROW($K$7:$K$171)-MIN(ROW($K$7:$K$171))+1,""),""),ROW()-ROW(A$173)+1))),","),"")</f>
        <v/>
      </c>
      <c r="M218" s="0" t="str">
        <f aca="false">IFERROR(CONCATENATE((INDEX($A$7:$A$171,SMALL(IF($N$7:$N$171&lt;&gt;"",IF($K$7:$K$171&lt;&gt;"",ROW($K$7:$K$171)-MIN(ROW($K$7:$K$171))+1,""),""),ROW()-ROW(A$173)+1))),),"")</f>
        <v/>
      </c>
      <c r="Q218" s="0" t="str">
        <f aca="false">IFERROR(CONCATENATE((INDEX($T$7:$T$171,SMALL(IF($T$7:$T$171&lt;&gt;"",IF($Q$7:$Q$171&lt;&gt;"",ROW($Q$7:$Q$171)-MIN(ROW($Q$7:$Q$171))+1,""),""),ROW()-ROW(A$173)+1)))," "),"")</f>
        <v/>
      </c>
      <c r="R218" s="0" t="str">
        <f aca="false">IFERROR(CONCATENATE(TEXT(INDEX($Q$7:$Q$171,SMALL(IF($T$7:$T$171&lt;&gt;"",IF($Q$7:$Q$171&lt;&gt;"",ROW($Q$7:$Q$171)-MIN(ROW($Q$7:$Q$171))+1,""),""),ROW()-ROW(A$173)+1)),"##0")," "),"")</f>
        <v/>
      </c>
      <c r="S218" s="0" t="str">
        <f aca="false">IFERROR(CONCATENATE((INDEX($A$7:$A$171,SMALL(IF($T$7:$T$171&lt;&gt;"",IF($Q$7:$Q$171&lt;&gt;"",ROW($Q$7:$Q$171)-MIN(ROW($Q$7:$Q$171))+1,""),""),ROW()-ROW(A$173)+1))),),"")</f>
        <v/>
      </c>
      <c r="W218" s="0" t="str">
        <f aca="false">IFERROR(CONCATENATE((INDEX($Z$7:$Z$171,SMALL(IF($Z$7:$Z$171&lt;&gt;"",IF($W$7:$W$171&lt;&gt;"",ROW($W$7:$W$171)-MIN(ROW($W$7:$W$171))+1,""),""),ROW()-ROW(A$173)+1))),","),"")</f>
        <v/>
      </c>
      <c r="X218" s="0" t="str">
        <f aca="false">IFERROR(CONCATENATE(TEXT(INDEX($W$7:$W$171,SMALL(IF($Z$7:$Z$171&lt;&gt;"",IF($W$7:$W$171&lt;&gt;"",ROW($W$7:$W$171)-MIN(ROW($W$7:$W$171))+1,""),""),ROW()-ROW(A$173)+1)),"##0"),","),"")</f>
        <v/>
      </c>
      <c r="Y218" s="0" t="str">
        <f aca="false">IFERROR(CONCATENATE((INDEX($A$7:$A$171,SMALL(IF($Z$7:$Z$171&lt;&gt;"",IF($W$7:$W$171&lt;&gt;"",ROW($W$7:$W$171)-MIN(ROW($W$7:$W$171))+1,""),""),ROW()-ROW(A$173)+1))),),"")</f>
        <v/>
      </c>
    </row>
    <row r="219" customFormat="false" ht="15" hidden="false" customHeight="false" outlineLevel="0" collapsed="false">
      <c r="K219" s="0" t="str">
        <f aca="false">IFERROR(CONCATENATE(TEXT(INDEX($K$7:$K$171,SMALL(IF($N$7:$N$171&lt;&gt;"",IF($K$7:$K$171&lt;&gt;"",ROW($K$7:$K$171)-MIN(ROW($K$7:$K$171))+1,""),""),ROW()-ROW(A$173)+1)),"##0"),","),"")</f>
        <v/>
      </c>
      <c r="L219" s="0" t="str">
        <f aca="false">IFERROR(CONCATENATE((INDEX($N$7:$N$171,SMALL(IF($N$7:$N$171&lt;&gt;"",IF($K$7:$K$171&lt;&gt;"",ROW($K$7:$K$171)-MIN(ROW($K$7:$K$171))+1,""),""),ROW()-ROW(A$173)+1))),","),"")</f>
        <v/>
      </c>
      <c r="M219" s="0" t="str">
        <f aca="false">IFERROR(CONCATENATE((INDEX($A$7:$A$171,SMALL(IF($N$7:$N$171&lt;&gt;"",IF($K$7:$K$171&lt;&gt;"",ROW($K$7:$K$171)-MIN(ROW($K$7:$K$171))+1,""),""),ROW()-ROW(A$173)+1))),),"")</f>
        <v/>
      </c>
      <c r="Q219" s="0" t="str">
        <f aca="false">IFERROR(CONCATENATE((INDEX($T$7:$T$171,SMALL(IF($T$7:$T$171&lt;&gt;"",IF($Q$7:$Q$171&lt;&gt;"",ROW($Q$7:$Q$171)-MIN(ROW($Q$7:$Q$171))+1,""),""),ROW()-ROW(A$173)+1)))," "),"")</f>
        <v/>
      </c>
      <c r="R219" s="0" t="str">
        <f aca="false">IFERROR(CONCATENATE(TEXT(INDEX($Q$7:$Q$171,SMALL(IF($T$7:$T$171&lt;&gt;"",IF($Q$7:$Q$171&lt;&gt;"",ROW($Q$7:$Q$171)-MIN(ROW($Q$7:$Q$171))+1,""),""),ROW()-ROW(A$173)+1)),"##0")," "),"")</f>
        <v/>
      </c>
      <c r="S219" s="0" t="str">
        <f aca="false">IFERROR(CONCATENATE((INDEX($A$7:$A$171,SMALL(IF($T$7:$T$171&lt;&gt;"",IF($Q$7:$Q$171&lt;&gt;"",ROW($Q$7:$Q$171)-MIN(ROW($Q$7:$Q$171))+1,""),""),ROW()-ROW(A$173)+1))),),"")</f>
        <v/>
      </c>
      <c r="W219" s="0" t="str">
        <f aca="false">IFERROR(CONCATENATE((INDEX($Z$7:$Z$171,SMALL(IF($Z$7:$Z$171&lt;&gt;"",IF($W$7:$W$171&lt;&gt;"",ROW($W$7:$W$171)-MIN(ROW($W$7:$W$171))+1,""),""),ROW()-ROW(A$173)+1))),","),"")</f>
        <v/>
      </c>
      <c r="X219" s="0" t="str">
        <f aca="false">IFERROR(CONCATENATE(TEXT(INDEX($W$7:$W$171,SMALL(IF($Z$7:$Z$171&lt;&gt;"",IF($W$7:$W$171&lt;&gt;"",ROW($W$7:$W$171)-MIN(ROW($W$7:$W$171))+1,""),""),ROW()-ROW(A$173)+1)),"##0"),","),"")</f>
        <v/>
      </c>
      <c r="Y219" s="0" t="str">
        <f aca="false">IFERROR(CONCATENATE((INDEX($A$7:$A$171,SMALL(IF($Z$7:$Z$171&lt;&gt;"",IF($W$7:$W$171&lt;&gt;"",ROW($W$7:$W$171)-MIN(ROW($W$7:$W$171))+1,""),""),ROW()-ROW(A$173)+1))),),"")</f>
        <v/>
      </c>
    </row>
    <row r="220" customFormat="false" ht="15" hidden="false" customHeight="false" outlineLevel="0" collapsed="false">
      <c r="K220" s="0" t="str">
        <f aca="false">IFERROR(CONCATENATE(TEXT(INDEX($K$7:$K$171,SMALL(IF($N$7:$N$171&lt;&gt;"",IF($K$7:$K$171&lt;&gt;"",ROW($K$7:$K$171)-MIN(ROW($K$7:$K$171))+1,""),""),ROW()-ROW(A$173)+1)),"##0"),","),"")</f>
        <v/>
      </c>
      <c r="L220" s="0" t="str">
        <f aca="false">IFERROR(CONCATENATE((INDEX($N$7:$N$171,SMALL(IF($N$7:$N$171&lt;&gt;"",IF($K$7:$K$171&lt;&gt;"",ROW($K$7:$K$171)-MIN(ROW($K$7:$K$171))+1,""),""),ROW()-ROW(A$173)+1))),","),"")</f>
        <v/>
      </c>
      <c r="M220" s="0" t="str">
        <f aca="false">IFERROR(CONCATENATE((INDEX($A$7:$A$171,SMALL(IF($N$7:$N$171&lt;&gt;"",IF($K$7:$K$171&lt;&gt;"",ROW($K$7:$K$171)-MIN(ROW($K$7:$K$171))+1,""),""),ROW()-ROW(A$173)+1))),),"")</f>
        <v/>
      </c>
      <c r="Q220" s="0" t="str">
        <f aca="false">IFERROR(CONCATENATE((INDEX($T$7:$T$171,SMALL(IF($T$7:$T$171&lt;&gt;"",IF($Q$7:$Q$171&lt;&gt;"",ROW($Q$7:$Q$171)-MIN(ROW($Q$7:$Q$171))+1,""),""),ROW()-ROW(A$173)+1)))," "),"")</f>
        <v/>
      </c>
      <c r="R220" s="0" t="str">
        <f aca="false">IFERROR(CONCATENATE(TEXT(INDEX($Q$7:$Q$171,SMALL(IF($T$7:$T$171&lt;&gt;"",IF($Q$7:$Q$171&lt;&gt;"",ROW($Q$7:$Q$171)-MIN(ROW($Q$7:$Q$171))+1,""),""),ROW()-ROW(A$173)+1)),"##0")," "),"")</f>
        <v/>
      </c>
      <c r="S220" s="0" t="str">
        <f aca="false">IFERROR(CONCATENATE((INDEX($A$7:$A$171,SMALL(IF($T$7:$T$171&lt;&gt;"",IF($Q$7:$Q$171&lt;&gt;"",ROW($Q$7:$Q$171)-MIN(ROW($Q$7:$Q$171))+1,""),""),ROW()-ROW(A$173)+1))),),"")</f>
        <v/>
      </c>
      <c r="W220" s="0" t="str">
        <f aca="false">IFERROR(CONCATENATE((INDEX($Z$7:$Z$171,SMALL(IF($Z$7:$Z$171&lt;&gt;"",IF($W$7:$W$171&lt;&gt;"",ROW($W$7:$W$171)-MIN(ROW($W$7:$W$171))+1,""),""),ROW()-ROW(A$173)+1))),","),"")</f>
        <v/>
      </c>
      <c r="X220" s="0" t="str">
        <f aca="false">IFERROR(CONCATENATE(TEXT(INDEX($W$7:$W$171,SMALL(IF($Z$7:$Z$171&lt;&gt;"",IF($W$7:$W$171&lt;&gt;"",ROW($W$7:$W$171)-MIN(ROW($W$7:$W$171))+1,""),""),ROW()-ROW(A$173)+1)),"##0"),","),"")</f>
        <v/>
      </c>
      <c r="Y220" s="0" t="str">
        <f aca="false">IFERROR(CONCATENATE((INDEX($A$7:$A$171,SMALL(IF($Z$7:$Z$171&lt;&gt;"",IF($W$7:$W$171&lt;&gt;"",ROW($W$7:$W$171)-MIN(ROW($W$7:$W$171))+1,""),""),ROW()-ROW(A$173)+1))),),"")</f>
        <v/>
      </c>
    </row>
    <row r="221" customFormat="false" ht="15" hidden="false" customHeight="false" outlineLevel="0" collapsed="false">
      <c r="K221" s="0" t="str">
        <f aca="false">IFERROR(CONCATENATE(TEXT(INDEX($K$7:$K$171,SMALL(IF($N$7:$N$171&lt;&gt;"",IF($K$7:$K$171&lt;&gt;"",ROW($K$7:$K$171)-MIN(ROW($K$7:$K$171))+1,""),""),ROW()-ROW(A$173)+1)),"##0"),","),"")</f>
        <v/>
      </c>
      <c r="L221" s="0" t="str">
        <f aca="false">IFERROR(CONCATENATE((INDEX($N$7:$N$171,SMALL(IF($N$7:$N$171&lt;&gt;"",IF($K$7:$K$171&lt;&gt;"",ROW($K$7:$K$171)-MIN(ROW($K$7:$K$171))+1,""),""),ROW()-ROW(A$173)+1))),","),"")</f>
        <v/>
      </c>
      <c r="M221" s="0" t="str">
        <f aca="false">IFERROR(CONCATENATE((INDEX($A$7:$A$171,SMALL(IF($N$7:$N$171&lt;&gt;"",IF($K$7:$K$171&lt;&gt;"",ROW($K$7:$K$171)-MIN(ROW($K$7:$K$171))+1,""),""),ROW()-ROW(A$173)+1))),),"")</f>
        <v/>
      </c>
      <c r="Q221" s="0" t="str">
        <f aca="false">IFERROR(CONCATENATE((INDEX($T$7:$T$171,SMALL(IF($T$7:$T$171&lt;&gt;"",IF($Q$7:$Q$171&lt;&gt;"",ROW($Q$7:$Q$171)-MIN(ROW($Q$7:$Q$171))+1,""),""),ROW()-ROW(A$173)+1)))," "),"")</f>
        <v/>
      </c>
      <c r="R221" s="0" t="str">
        <f aca="false">IFERROR(CONCATENATE(TEXT(INDEX($Q$7:$Q$171,SMALL(IF($T$7:$T$171&lt;&gt;"",IF($Q$7:$Q$171&lt;&gt;"",ROW($Q$7:$Q$171)-MIN(ROW($Q$7:$Q$171))+1,""),""),ROW()-ROW(A$173)+1)),"##0")," "),"")</f>
        <v/>
      </c>
      <c r="S221" s="0" t="str">
        <f aca="false">IFERROR(CONCATENATE((INDEX($A$7:$A$171,SMALL(IF($T$7:$T$171&lt;&gt;"",IF($Q$7:$Q$171&lt;&gt;"",ROW($Q$7:$Q$171)-MIN(ROW($Q$7:$Q$171))+1,""),""),ROW()-ROW(A$173)+1))),),"")</f>
        <v/>
      </c>
      <c r="W221" s="0" t="str">
        <f aca="false">IFERROR(CONCATENATE((INDEX($Z$7:$Z$171,SMALL(IF($Z$7:$Z$171&lt;&gt;"",IF($W$7:$W$171&lt;&gt;"",ROW($W$7:$W$171)-MIN(ROW($W$7:$W$171))+1,""),""),ROW()-ROW(A$173)+1))),","),"")</f>
        <v/>
      </c>
      <c r="X221" s="0" t="str">
        <f aca="false">IFERROR(CONCATENATE(TEXT(INDEX($W$7:$W$171,SMALL(IF($Z$7:$Z$171&lt;&gt;"",IF($W$7:$W$171&lt;&gt;"",ROW($W$7:$W$171)-MIN(ROW($W$7:$W$171))+1,""),""),ROW()-ROW(A$173)+1)),"##0"),","),"")</f>
        <v/>
      </c>
      <c r="Y221" s="0" t="str">
        <f aca="false">IFERROR(CONCATENATE((INDEX($A$7:$A$171,SMALL(IF($Z$7:$Z$171&lt;&gt;"",IF($W$7:$W$171&lt;&gt;"",ROW($W$7:$W$171)-MIN(ROW($W$7:$W$171))+1,""),""),ROW()-ROW(A$173)+1))),),"")</f>
        <v/>
      </c>
    </row>
    <row r="222" customFormat="false" ht="15" hidden="false" customHeight="false" outlineLevel="0" collapsed="false">
      <c r="K222" s="0" t="str">
        <f aca="false">IFERROR(CONCATENATE(TEXT(INDEX($K$7:$K$171,SMALL(IF($N$7:$N$171&lt;&gt;"",IF($K$7:$K$171&lt;&gt;"",ROW($K$7:$K$171)-MIN(ROW($K$7:$K$171))+1,""),""),ROW()-ROW(A$173)+1)),"##0"),","),"")</f>
        <v/>
      </c>
      <c r="L222" s="0" t="str">
        <f aca="false">IFERROR(CONCATENATE((INDEX($N$7:$N$171,SMALL(IF($N$7:$N$171&lt;&gt;"",IF($K$7:$K$171&lt;&gt;"",ROW($K$7:$K$171)-MIN(ROW($K$7:$K$171))+1,""),""),ROW()-ROW(A$173)+1))),","),"")</f>
        <v/>
      </c>
      <c r="M222" s="0" t="str">
        <f aca="false">IFERROR(CONCATENATE((INDEX($A$7:$A$171,SMALL(IF($N$7:$N$171&lt;&gt;"",IF($K$7:$K$171&lt;&gt;"",ROW($K$7:$K$171)-MIN(ROW($K$7:$K$171))+1,""),""),ROW()-ROW(A$173)+1))),),"")</f>
        <v/>
      </c>
      <c r="Q222" s="0" t="str">
        <f aca="false">IFERROR(CONCATENATE((INDEX($T$7:$T$171,SMALL(IF($T$7:$T$171&lt;&gt;"",IF($Q$7:$Q$171&lt;&gt;"",ROW($Q$7:$Q$171)-MIN(ROW($Q$7:$Q$171))+1,""),""),ROW()-ROW(A$173)+1)))," "),"")</f>
        <v/>
      </c>
      <c r="R222" s="0" t="str">
        <f aca="false">IFERROR(CONCATENATE(TEXT(INDEX($Q$7:$Q$171,SMALL(IF($T$7:$T$171&lt;&gt;"",IF($Q$7:$Q$171&lt;&gt;"",ROW($Q$7:$Q$171)-MIN(ROW($Q$7:$Q$171))+1,""),""),ROW()-ROW(A$173)+1)),"##0")," "),"")</f>
        <v/>
      </c>
      <c r="S222" s="0" t="str">
        <f aca="false">IFERROR(CONCATENATE((INDEX($A$7:$A$171,SMALL(IF($T$7:$T$171&lt;&gt;"",IF($Q$7:$Q$171&lt;&gt;"",ROW($Q$7:$Q$171)-MIN(ROW($Q$7:$Q$171))+1,""),""),ROW()-ROW(A$173)+1))),),"")</f>
        <v/>
      </c>
      <c r="W222" s="0" t="str">
        <f aca="false">IFERROR(CONCATENATE((INDEX($Z$7:$Z$171,SMALL(IF($Z$7:$Z$171&lt;&gt;"",IF($W$7:$W$171&lt;&gt;"",ROW($W$7:$W$171)-MIN(ROW($W$7:$W$171))+1,""),""),ROW()-ROW(A$173)+1))),","),"")</f>
        <v/>
      </c>
      <c r="X222" s="0" t="str">
        <f aca="false">IFERROR(CONCATENATE(TEXT(INDEX($W$7:$W$171,SMALL(IF($Z$7:$Z$171&lt;&gt;"",IF($W$7:$W$171&lt;&gt;"",ROW($W$7:$W$171)-MIN(ROW($W$7:$W$171))+1,""),""),ROW()-ROW(A$173)+1)),"##0"),","),"")</f>
        <v/>
      </c>
      <c r="Y222" s="0" t="str">
        <f aca="false">IFERROR(CONCATENATE((INDEX($A$7:$A$171,SMALL(IF($Z$7:$Z$171&lt;&gt;"",IF($W$7:$W$171&lt;&gt;"",ROW($W$7:$W$171)-MIN(ROW($W$7:$W$171))+1,""),""),ROW()-ROW(A$173)+1))),),"")</f>
        <v/>
      </c>
    </row>
    <row r="223" customFormat="false" ht="15" hidden="false" customHeight="false" outlineLevel="0" collapsed="false">
      <c r="K223" s="0" t="str">
        <f aca="false">IFERROR(CONCATENATE(TEXT(INDEX($K$7:$K$171,SMALL(IF($N$7:$N$171&lt;&gt;"",IF($K$7:$K$171&lt;&gt;"",ROW($K$7:$K$171)-MIN(ROW($K$7:$K$171))+1,""),""),ROW()-ROW(A$173)+1)),"##0"),","),"")</f>
        <v/>
      </c>
      <c r="L223" s="0" t="str">
        <f aca="false">IFERROR(CONCATENATE((INDEX($N$7:$N$171,SMALL(IF($N$7:$N$171&lt;&gt;"",IF($K$7:$K$171&lt;&gt;"",ROW($K$7:$K$171)-MIN(ROW($K$7:$K$171))+1,""),""),ROW()-ROW(A$173)+1))),","),"")</f>
        <v/>
      </c>
      <c r="M223" s="0" t="str">
        <f aca="false">IFERROR(CONCATENATE((INDEX($A$7:$A$171,SMALL(IF($N$7:$N$171&lt;&gt;"",IF($K$7:$K$171&lt;&gt;"",ROW($K$7:$K$171)-MIN(ROW($K$7:$K$171))+1,""),""),ROW()-ROW(A$173)+1))),),"")</f>
        <v/>
      </c>
      <c r="Q223" s="0" t="str">
        <f aca="false">IFERROR(CONCATENATE((INDEX($T$7:$T$171,SMALL(IF($T$7:$T$171&lt;&gt;"",IF($Q$7:$Q$171&lt;&gt;"",ROW($Q$7:$Q$171)-MIN(ROW($Q$7:$Q$171))+1,""),""),ROW()-ROW(A$173)+1)))," "),"")</f>
        <v/>
      </c>
      <c r="R223" s="0" t="str">
        <f aca="false">IFERROR(CONCATENATE(TEXT(INDEX($Q$7:$Q$171,SMALL(IF($T$7:$T$171&lt;&gt;"",IF($Q$7:$Q$171&lt;&gt;"",ROW($Q$7:$Q$171)-MIN(ROW($Q$7:$Q$171))+1,""),""),ROW()-ROW(A$173)+1)),"##0")," "),"")</f>
        <v/>
      </c>
      <c r="S223" s="0" t="str">
        <f aca="false">IFERROR(CONCATENATE((INDEX($A$7:$A$171,SMALL(IF($T$7:$T$171&lt;&gt;"",IF($Q$7:$Q$171&lt;&gt;"",ROW($Q$7:$Q$171)-MIN(ROW($Q$7:$Q$171))+1,""),""),ROW()-ROW(A$173)+1))),),"")</f>
        <v/>
      </c>
      <c r="W223" s="0" t="str">
        <f aca="false">IFERROR(CONCATENATE((INDEX($Z$7:$Z$171,SMALL(IF($Z$7:$Z$171&lt;&gt;"",IF($W$7:$W$171&lt;&gt;"",ROW($W$7:$W$171)-MIN(ROW($W$7:$W$171))+1,""),""),ROW()-ROW(A$173)+1))),","),"")</f>
        <v/>
      </c>
      <c r="X223" s="0" t="str">
        <f aca="false">IFERROR(CONCATENATE(TEXT(INDEX($W$7:$W$171,SMALL(IF($Z$7:$Z$171&lt;&gt;"",IF($W$7:$W$171&lt;&gt;"",ROW($W$7:$W$171)-MIN(ROW($W$7:$W$171))+1,""),""),ROW()-ROW(A$173)+1)),"##0"),","),"")</f>
        <v/>
      </c>
      <c r="Y223" s="0" t="str">
        <f aca="false">IFERROR(CONCATENATE((INDEX($A$7:$A$171,SMALL(IF($Z$7:$Z$171&lt;&gt;"",IF($W$7:$W$171&lt;&gt;"",ROW($W$7:$W$171)-MIN(ROW($W$7:$W$171))+1,""),""),ROW()-ROW(A$173)+1))),),"")</f>
        <v/>
      </c>
    </row>
    <row r="224" customFormat="false" ht="15" hidden="false" customHeight="false" outlineLevel="0" collapsed="false">
      <c r="K224" s="0" t="str">
        <f aca="false">IFERROR(CONCATENATE(TEXT(INDEX($K$7:$K$171,SMALL(IF($N$7:$N$171&lt;&gt;"",IF($K$7:$K$171&lt;&gt;"",ROW($K$7:$K$171)-MIN(ROW($K$7:$K$171))+1,""),""),ROW()-ROW(A$173)+1)),"##0"),","),"")</f>
        <v/>
      </c>
      <c r="L224" s="0" t="str">
        <f aca="false">IFERROR(CONCATENATE((INDEX($N$7:$N$171,SMALL(IF($N$7:$N$171&lt;&gt;"",IF($K$7:$K$171&lt;&gt;"",ROW($K$7:$K$171)-MIN(ROW($K$7:$K$171))+1,""),""),ROW()-ROW(A$173)+1))),","),"")</f>
        <v/>
      </c>
      <c r="M224" s="0" t="str">
        <f aca="false">IFERROR(CONCATENATE((INDEX($A$7:$A$171,SMALL(IF($N$7:$N$171&lt;&gt;"",IF($K$7:$K$171&lt;&gt;"",ROW($K$7:$K$171)-MIN(ROW($K$7:$K$171))+1,""),""),ROW()-ROW(A$173)+1))),),"")</f>
        <v/>
      </c>
      <c r="Q224" s="0" t="str">
        <f aca="false">IFERROR(CONCATENATE((INDEX($T$7:$T$171,SMALL(IF($T$7:$T$171&lt;&gt;"",IF($Q$7:$Q$171&lt;&gt;"",ROW($Q$7:$Q$171)-MIN(ROW($Q$7:$Q$171))+1,""),""),ROW()-ROW(A$173)+1)))," "),"")</f>
        <v/>
      </c>
      <c r="R224" s="0" t="str">
        <f aca="false">IFERROR(CONCATENATE(TEXT(INDEX($Q$7:$Q$171,SMALL(IF($T$7:$T$171&lt;&gt;"",IF($Q$7:$Q$171&lt;&gt;"",ROW($Q$7:$Q$171)-MIN(ROW($Q$7:$Q$171))+1,""),""),ROW()-ROW(A$173)+1)),"##0")," "),"")</f>
        <v/>
      </c>
      <c r="S224" s="0" t="str">
        <f aca="false">IFERROR(CONCATENATE((INDEX($A$7:$A$171,SMALL(IF($T$7:$T$171&lt;&gt;"",IF($Q$7:$Q$171&lt;&gt;"",ROW($Q$7:$Q$171)-MIN(ROW($Q$7:$Q$171))+1,""),""),ROW()-ROW(A$173)+1))),),"")</f>
        <v/>
      </c>
      <c r="W224" s="0" t="str">
        <f aca="false">IFERROR(CONCATENATE((INDEX($Z$7:$Z$171,SMALL(IF($Z$7:$Z$171&lt;&gt;"",IF($W$7:$W$171&lt;&gt;"",ROW($W$7:$W$171)-MIN(ROW($W$7:$W$171))+1,""),""),ROW()-ROW(A$173)+1))),","),"")</f>
        <v/>
      </c>
      <c r="X224" s="0" t="str">
        <f aca="false">IFERROR(CONCATENATE(TEXT(INDEX($W$7:$W$171,SMALL(IF($Z$7:$Z$171&lt;&gt;"",IF($W$7:$W$171&lt;&gt;"",ROW($W$7:$W$171)-MIN(ROW($W$7:$W$171))+1,""),""),ROW()-ROW(A$173)+1)),"##0"),","),"")</f>
        <v/>
      </c>
      <c r="Y224" s="0" t="str">
        <f aca="false">IFERROR(CONCATENATE((INDEX($A$7:$A$171,SMALL(IF($Z$7:$Z$171&lt;&gt;"",IF($W$7:$W$171&lt;&gt;"",ROW($W$7:$W$171)-MIN(ROW($W$7:$W$171))+1,""),""),ROW()-ROW(A$173)+1))),),"")</f>
        <v/>
      </c>
    </row>
    <row r="225" customFormat="false" ht="15" hidden="false" customHeight="false" outlineLevel="0" collapsed="false">
      <c r="K225" s="0" t="str">
        <f aca="false">IFERROR(CONCATENATE(TEXT(INDEX($K$7:$K$171,SMALL(IF($N$7:$N$171&lt;&gt;"",IF($K$7:$K$171&lt;&gt;"",ROW($K$7:$K$171)-MIN(ROW($K$7:$K$171))+1,""),""),ROW()-ROW(A$173)+1)),"##0"),","),"")</f>
        <v/>
      </c>
      <c r="L225" s="0" t="str">
        <f aca="false">IFERROR(CONCATENATE((INDEX($N$7:$N$171,SMALL(IF($N$7:$N$171&lt;&gt;"",IF($K$7:$K$171&lt;&gt;"",ROW($K$7:$K$171)-MIN(ROW($K$7:$K$171))+1,""),""),ROW()-ROW(A$173)+1))),","),"")</f>
        <v/>
      </c>
      <c r="M225" s="0" t="str">
        <f aca="false">IFERROR(CONCATENATE((INDEX($A$7:$A$171,SMALL(IF($N$7:$N$171&lt;&gt;"",IF($K$7:$K$171&lt;&gt;"",ROW($K$7:$K$171)-MIN(ROW($K$7:$K$171))+1,""),""),ROW()-ROW(A$173)+1))),),"")</f>
        <v/>
      </c>
      <c r="Q225" s="0" t="str">
        <f aca="false">IFERROR(CONCATENATE((INDEX($T$7:$T$171,SMALL(IF($T$7:$T$171&lt;&gt;"",IF($Q$7:$Q$171&lt;&gt;"",ROW($Q$7:$Q$171)-MIN(ROW($Q$7:$Q$171))+1,""),""),ROW()-ROW(A$173)+1)))," "),"")</f>
        <v/>
      </c>
      <c r="R225" s="0" t="str">
        <f aca="false">IFERROR(CONCATENATE(TEXT(INDEX($Q$7:$Q$171,SMALL(IF($T$7:$T$171&lt;&gt;"",IF($Q$7:$Q$171&lt;&gt;"",ROW($Q$7:$Q$171)-MIN(ROW($Q$7:$Q$171))+1,""),""),ROW()-ROW(A$173)+1)),"##0")," "),"")</f>
        <v/>
      </c>
      <c r="S225" s="0" t="str">
        <f aca="false">IFERROR(CONCATENATE((INDEX($A$7:$A$171,SMALL(IF($T$7:$T$171&lt;&gt;"",IF($Q$7:$Q$171&lt;&gt;"",ROW($Q$7:$Q$171)-MIN(ROW($Q$7:$Q$171))+1,""),""),ROW()-ROW(A$173)+1))),),"")</f>
        <v/>
      </c>
      <c r="W225" s="0" t="str">
        <f aca="false">IFERROR(CONCATENATE((INDEX($Z$7:$Z$171,SMALL(IF($Z$7:$Z$171&lt;&gt;"",IF($W$7:$W$171&lt;&gt;"",ROW($W$7:$W$171)-MIN(ROW($W$7:$W$171))+1,""),""),ROW()-ROW(A$173)+1))),","),"")</f>
        <v/>
      </c>
      <c r="X225" s="0" t="str">
        <f aca="false">IFERROR(CONCATENATE(TEXT(INDEX($W$7:$W$171,SMALL(IF($Z$7:$Z$171&lt;&gt;"",IF($W$7:$W$171&lt;&gt;"",ROW($W$7:$W$171)-MIN(ROW($W$7:$W$171))+1,""),""),ROW()-ROW(A$173)+1)),"##0"),","),"")</f>
        <v/>
      </c>
      <c r="Y225" s="0" t="str">
        <f aca="false">IFERROR(CONCATENATE((INDEX($A$7:$A$171,SMALL(IF($Z$7:$Z$171&lt;&gt;"",IF($W$7:$W$171&lt;&gt;"",ROW($W$7:$W$171)-MIN(ROW($W$7:$W$171))+1,""),""),ROW()-ROW(A$173)+1))),),"")</f>
        <v/>
      </c>
    </row>
    <row r="226" customFormat="false" ht="15" hidden="false" customHeight="false" outlineLevel="0" collapsed="false">
      <c r="K226" s="0" t="str">
        <f aca="false">IFERROR(CONCATENATE(TEXT(INDEX($K$7:$K$171,SMALL(IF($N$7:$N$171&lt;&gt;"",IF($K$7:$K$171&lt;&gt;"",ROW($K$7:$K$171)-MIN(ROW($K$7:$K$171))+1,""),""),ROW()-ROW(A$173)+1)),"##0"),","),"")</f>
        <v/>
      </c>
      <c r="L226" s="0" t="str">
        <f aca="false">IFERROR(CONCATENATE((INDEX($N$7:$N$171,SMALL(IF($N$7:$N$171&lt;&gt;"",IF($K$7:$K$171&lt;&gt;"",ROW($K$7:$K$171)-MIN(ROW($K$7:$K$171))+1,""),""),ROW()-ROW(A$173)+1))),","),"")</f>
        <v/>
      </c>
      <c r="M226" s="0" t="str">
        <f aca="false">IFERROR(CONCATENATE((INDEX($A$7:$A$171,SMALL(IF($N$7:$N$171&lt;&gt;"",IF($K$7:$K$171&lt;&gt;"",ROW($K$7:$K$171)-MIN(ROW($K$7:$K$171))+1,""),""),ROW()-ROW(A$173)+1))),),"")</f>
        <v/>
      </c>
      <c r="Q226" s="0" t="str">
        <f aca="false">IFERROR(CONCATENATE((INDEX($T$7:$T$171,SMALL(IF($T$7:$T$171&lt;&gt;"",IF($Q$7:$Q$171&lt;&gt;"",ROW($Q$7:$Q$171)-MIN(ROW($Q$7:$Q$171))+1,""),""),ROW()-ROW(A$173)+1)))," "),"")</f>
        <v/>
      </c>
      <c r="R226" s="0" t="str">
        <f aca="false">IFERROR(CONCATENATE(TEXT(INDEX($Q$7:$Q$171,SMALL(IF($T$7:$T$171&lt;&gt;"",IF($Q$7:$Q$171&lt;&gt;"",ROW($Q$7:$Q$171)-MIN(ROW($Q$7:$Q$171))+1,""),""),ROW()-ROW(A$173)+1)),"##0")," "),"")</f>
        <v/>
      </c>
      <c r="S226" s="0" t="str">
        <f aca="false">IFERROR(CONCATENATE((INDEX($A$7:$A$171,SMALL(IF($T$7:$T$171&lt;&gt;"",IF($Q$7:$Q$171&lt;&gt;"",ROW($Q$7:$Q$171)-MIN(ROW($Q$7:$Q$171))+1,""),""),ROW()-ROW(A$173)+1))),),"")</f>
        <v/>
      </c>
      <c r="W226" s="0" t="str">
        <f aca="false">IFERROR(CONCATENATE((INDEX($Z$7:$Z$171,SMALL(IF($Z$7:$Z$171&lt;&gt;"",IF($W$7:$W$171&lt;&gt;"",ROW($W$7:$W$171)-MIN(ROW($W$7:$W$171))+1,""),""),ROW()-ROW(A$173)+1))),","),"")</f>
        <v/>
      </c>
      <c r="X226" s="0" t="str">
        <f aca="false">IFERROR(CONCATENATE(TEXT(INDEX($W$7:$W$171,SMALL(IF($Z$7:$Z$171&lt;&gt;"",IF($W$7:$W$171&lt;&gt;"",ROW($W$7:$W$171)-MIN(ROW($W$7:$W$171))+1,""),""),ROW()-ROW(A$173)+1)),"##0"),","),"")</f>
        <v/>
      </c>
      <c r="Y226" s="0" t="str">
        <f aca="false">IFERROR(CONCATENATE((INDEX($A$7:$A$171,SMALL(IF($Z$7:$Z$171&lt;&gt;"",IF($W$7:$W$171&lt;&gt;"",ROW($W$7:$W$171)-MIN(ROW($W$7:$W$171))+1,""),""),ROW()-ROW(A$173)+1))),),"")</f>
        <v/>
      </c>
    </row>
    <row r="227" customFormat="false" ht="15" hidden="false" customHeight="false" outlineLevel="0" collapsed="false">
      <c r="K227" s="0" t="str">
        <f aca="false">IFERROR(CONCATENATE(TEXT(INDEX($K$7:$K$171,SMALL(IF($N$7:$N$171&lt;&gt;"",IF($K$7:$K$171&lt;&gt;"",ROW($K$7:$K$171)-MIN(ROW($K$7:$K$171))+1,""),""),ROW()-ROW(A$173)+1)),"##0"),","),"")</f>
        <v/>
      </c>
      <c r="L227" s="0" t="str">
        <f aca="false">IFERROR(CONCATENATE((INDEX($N$7:$N$171,SMALL(IF($N$7:$N$171&lt;&gt;"",IF($K$7:$K$171&lt;&gt;"",ROW($K$7:$K$171)-MIN(ROW($K$7:$K$171))+1,""),""),ROW()-ROW(A$173)+1))),","),"")</f>
        <v/>
      </c>
      <c r="M227" s="0" t="str">
        <f aca="false">IFERROR(CONCATENATE((INDEX($A$7:$A$171,SMALL(IF($N$7:$N$171&lt;&gt;"",IF($K$7:$K$171&lt;&gt;"",ROW($K$7:$K$171)-MIN(ROW($K$7:$K$171))+1,""),""),ROW()-ROW(A$173)+1))),),"")</f>
        <v/>
      </c>
      <c r="Q227" s="0" t="str">
        <f aca="false">IFERROR(CONCATENATE((INDEX($T$7:$T$171,SMALL(IF($T$7:$T$171&lt;&gt;"",IF($Q$7:$Q$171&lt;&gt;"",ROW($Q$7:$Q$171)-MIN(ROW($Q$7:$Q$171))+1,""),""),ROW()-ROW(A$173)+1)))," "),"")</f>
        <v/>
      </c>
      <c r="R227" s="0" t="str">
        <f aca="false">IFERROR(CONCATENATE(TEXT(INDEX($Q$7:$Q$171,SMALL(IF($T$7:$T$171&lt;&gt;"",IF($Q$7:$Q$171&lt;&gt;"",ROW($Q$7:$Q$171)-MIN(ROW($Q$7:$Q$171))+1,""),""),ROW()-ROW(A$173)+1)),"##0")," "),"")</f>
        <v/>
      </c>
      <c r="S227" s="0" t="str">
        <f aca="false">IFERROR(CONCATENATE((INDEX($A$7:$A$171,SMALL(IF($T$7:$T$171&lt;&gt;"",IF($Q$7:$Q$171&lt;&gt;"",ROW($Q$7:$Q$171)-MIN(ROW($Q$7:$Q$171))+1,""),""),ROW()-ROW(A$173)+1))),),"")</f>
        <v/>
      </c>
      <c r="W227" s="0" t="str">
        <f aca="false">IFERROR(CONCATENATE((INDEX($Z$7:$Z$171,SMALL(IF($Z$7:$Z$171&lt;&gt;"",IF($W$7:$W$171&lt;&gt;"",ROW($W$7:$W$171)-MIN(ROW($W$7:$W$171))+1,""),""),ROW()-ROW(A$173)+1))),","),"")</f>
        <v/>
      </c>
      <c r="X227" s="0" t="str">
        <f aca="false">IFERROR(CONCATENATE(TEXT(INDEX($W$7:$W$171,SMALL(IF($Z$7:$Z$171&lt;&gt;"",IF($W$7:$W$171&lt;&gt;"",ROW($W$7:$W$171)-MIN(ROW($W$7:$W$171))+1,""),""),ROW()-ROW(A$173)+1)),"##0"),","),"")</f>
        <v/>
      </c>
      <c r="Y227" s="0" t="str">
        <f aca="false">IFERROR(CONCATENATE((INDEX($A$7:$A$171,SMALL(IF($Z$7:$Z$171&lt;&gt;"",IF($W$7:$W$171&lt;&gt;"",ROW($W$7:$W$171)-MIN(ROW($W$7:$W$171))+1,""),""),ROW()-ROW(A$173)+1))),),"")</f>
        <v/>
      </c>
    </row>
    <row r="228" customFormat="false" ht="15" hidden="false" customHeight="false" outlineLevel="0" collapsed="false">
      <c r="K228" s="0" t="str">
        <f aca="false">IFERROR(CONCATENATE(TEXT(INDEX($K$7:$K$171,SMALL(IF($N$7:$N$171&lt;&gt;"",IF($K$7:$K$171&lt;&gt;"",ROW($K$7:$K$171)-MIN(ROW($K$7:$K$171))+1,""),""),ROW()-ROW(A$173)+1)),"##0"),","),"")</f>
        <v/>
      </c>
      <c r="L228" s="0" t="str">
        <f aca="false">IFERROR(CONCATENATE((INDEX($N$7:$N$171,SMALL(IF($N$7:$N$171&lt;&gt;"",IF($K$7:$K$171&lt;&gt;"",ROW($K$7:$K$171)-MIN(ROW($K$7:$K$171))+1,""),""),ROW()-ROW(A$173)+1))),","),"")</f>
        <v/>
      </c>
      <c r="M228" s="0" t="str">
        <f aca="false">IFERROR(CONCATENATE((INDEX($A$7:$A$171,SMALL(IF($N$7:$N$171&lt;&gt;"",IF($K$7:$K$171&lt;&gt;"",ROW($K$7:$K$171)-MIN(ROW($K$7:$K$171))+1,""),""),ROW()-ROW(A$173)+1))),),"")</f>
        <v/>
      </c>
      <c r="Q228" s="0" t="str">
        <f aca="false">IFERROR(CONCATENATE((INDEX($T$7:$T$171,SMALL(IF($T$7:$T$171&lt;&gt;"",IF($Q$7:$Q$171&lt;&gt;"",ROW($Q$7:$Q$171)-MIN(ROW($Q$7:$Q$171))+1,""),""),ROW()-ROW(A$173)+1)))," "),"")</f>
        <v/>
      </c>
      <c r="R228" s="0" t="str">
        <f aca="false">IFERROR(CONCATENATE(TEXT(INDEX($Q$7:$Q$171,SMALL(IF($T$7:$T$171&lt;&gt;"",IF($Q$7:$Q$171&lt;&gt;"",ROW($Q$7:$Q$171)-MIN(ROW($Q$7:$Q$171))+1,""),""),ROW()-ROW(A$173)+1)),"##0")," "),"")</f>
        <v/>
      </c>
      <c r="S228" s="0" t="str">
        <f aca="false">IFERROR(CONCATENATE((INDEX($A$7:$A$171,SMALL(IF($T$7:$T$171&lt;&gt;"",IF($Q$7:$Q$171&lt;&gt;"",ROW($Q$7:$Q$171)-MIN(ROW($Q$7:$Q$171))+1,""),""),ROW()-ROW(A$173)+1))),),"")</f>
        <v/>
      </c>
      <c r="W228" s="0" t="str">
        <f aca="false">IFERROR(CONCATENATE((INDEX($Z$7:$Z$171,SMALL(IF($Z$7:$Z$171&lt;&gt;"",IF($W$7:$W$171&lt;&gt;"",ROW($W$7:$W$171)-MIN(ROW($W$7:$W$171))+1,""),""),ROW()-ROW(A$173)+1))),","),"")</f>
        <v/>
      </c>
      <c r="X228" s="0" t="str">
        <f aca="false">IFERROR(CONCATENATE(TEXT(INDEX($W$7:$W$171,SMALL(IF($Z$7:$Z$171&lt;&gt;"",IF($W$7:$W$171&lt;&gt;"",ROW($W$7:$W$171)-MIN(ROW($W$7:$W$171))+1,""),""),ROW()-ROW(A$173)+1)),"##0"),","),"")</f>
        <v/>
      </c>
      <c r="Y228" s="0" t="str">
        <f aca="false">IFERROR(CONCATENATE((INDEX($A$7:$A$171,SMALL(IF($Z$7:$Z$171&lt;&gt;"",IF($W$7:$W$171&lt;&gt;"",ROW($W$7:$W$171)-MIN(ROW($W$7:$W$171))+1,""),""),ROW()-ROW(A$173)+1))),),"")</f>
        <v/>
      </c>
    </row>
    <row r="229" customFormat="false" ht="15" hidden="false" customHeight="false" outlineLevel="0" collapsed="false">
      <c r="K229" s="0" t="str">
        <f aca="false">IFERROR(CONCATENATE(TEXT(INDEX($K$7:$K$171,SMALL(IF($N$7:$N$171&lt;&gt;"",IF($K$7:$K$171&lt;&gt;"",ROW($K$7:$K$171)-MIN(ROW($K$7:$K$171))+1,""),""),ROW()-ROW(A$173)+1)),"##0"),","),"")</f>
        <v/>
      </c>
      <c r="L229" s="0" t="str">
        <f aca="false">IFERROR(CONCATENATE((INDEX($N$7:$N$171,SMALL(IF($N$7:$N$171&lt;&gt;"",IF($K$7:$K$171&lt;&gt;"",ROW($K$7:$K$171)-MIN(ROW($K$7:$K$171))+1,""),""),ROW()-ROW(A$173)+1))),","),"")</f>
        <v/>
      </c>
      <c r="M229" s="0" t="str">
        <f aca="false">IFERROR(CONCATENATE((INDEX($A$7:$A$171,SMALL(IF($N$7:$N$171&lt;&gt;"",IF($K$7:$K$171&lt;&gt;"",ROW($K$7:$K$171)-MIN(ROW($K$7:$K$171))+1,""),""),ROW()-ROW(A$173)+1))),),"")</f>
        <v/>
      </c>
      <c r="Q229" s="0" t="str">
        <f aca="false">IFERROR(CONCATENATE((INDEX($T$7:$T$171,SMALL(IF($T$7:$T$171&lt;&gt;"",IF($Q$7:$Q$171&lt;&gt;"",ROW($Q$7:$Q$171)-MIN(ROW($Q$7:$Q$171))+1,""),""),ROW()-ROW(A$173)+1)))," "),"")</f>
        <v/>
      </c>
      <c r="R229" s="0" t="str">
        <f aca="false">IFERROR(CONCATENATE(TEXT(INDEX($Q$7:$Q$171,SMALL(IF($T$7:$T$171&lt;&gt;"",IF($Q$7:$Q$171&lt;&gt;"",ROW($Q$7:$Q$171)-MIN(ROW($Q$7:$Q$171))+1,""),""),ROW()-ROW(A$173)+1)),"##0")," "),"")</f>
        <v/>
      </c>
      <c r="S229" s="0" t="str">
        <f aca="false">IFERROR(CONCATENATE((INDEX($A$7:$A$171,SMALL(IF($T$7:$T$171&lt;&gt;"",IF($Q$7:$Q$171&lt;&gt;"",ROW($Q$7:$Q$171)-MIN(ROW($Q$7:$Q$171))+1,""),""),ROW()-ROW(A$173)+1))),),"")</f>
        <v/>
      </c>
      <c r="W229" s="0" t="str">
        <f aca="false">IFERROR(CONCATENATE((INDEX($Z$7:$Z$171,SMALL(IF($Z$7:$Z$171&lt;&gt;"",IF($W$7:$W$171&lt;&gt;"",ROW($W$7:$W$171)-MIN(ROW($W$7:$W$171))+1,""),""),ROW()-ROW(A$173)+1))),","),"")</f>
        <v/>
      </c>
      <c r="X229" s="0" t="str">
        <f aca="false">IFERROR(CONCATENATE(TEXT(INDEX($W$7:$W$171,SMALL(IF($Z$7:$Z$171&lt;&gt;"",IF($W$7:$W$171&lt;&gt;"",ROW($W$7:$W$171)-MIN(ROW($W$7:$W$171))+1,""),""),ROW()-ROW(A$173)+1)),"##0"),","),"")</f>
        <v/>
      </c>
      <c r="Y229" s="0" t="str">
        <f aca="false">IFERROR(CONCATENATE((INDEX($A$7:$A$171,SMALL(IF($Z$7:$Z$171&lt;&gt;"",IF($W$7:$W$171&lt;&gt;"",ROW($W$7:$W$171)-MIN(ROW($W$7:$W$171))+1,""),""),ROW()-ROW(A$173)+1))),),"")</f>
        <v/>
      </c>
    </row>
    <row r="230" customFormat="false" ht="15" hidden="false" customHeight="false" outlineLevel="0" collapsed="false">
      <c r="K230" s="0" t="str">
        <f aca="false">IFERROR(CONCATENATE(TEXT(INDEX($K$7:$K$171,SMALL(IF($N$7:$N$171&lt;&gt;"",IF($K$7:$K$171&lt;&gt;"",ROW($K$7:$K$171)-MIN(ROW($K$7:$K$171))+1,""),""),ROW()-ROW(A$173)+1)),"##0"),","),"")</f>
        <v/>
      </c>
      <c r="L230" s="0" t="str">
        <f aca="false">IFERROR(CONCATENATE((INDEX($N$7:$N$171,SMALL(IF($N$7:$N$171&lt;&gt;"",IF($K$7:$K$171&lt;&gt;"",ROW($K$7:$K$171)-MIN(ROW($K$7:$K$171))+1,""),""),ROW()-ROW(A$173)+1))),","),"")</f>
        <v/>
      </c>
      <c r="M230" s="0" t="str">
        <f aca="false">IFERROR(CONCATENATE((INDEX($A$7:$A$171,SMALL(IF($N$7:$N$171&lt;&gt;"",IF($K$7:$K$171&lt;&gt;"",ROW($K$7:$K$171)-MIN(ROW($K$7:$K$171))+1,""),""),ROW()-ROW(A$173)+1))),),"")</f>
        <v/>
      </c>
      <c r="Q230" s="0" t="str">
        <f aca="false">IFERROR(CONCATENATE((INDEX($T$7:$T$171,SMALL(IF($T$7:$T$171&lt;&gt;"",IF($Q$7:$Q$171&lt;&gt;"",ROW($Q$7:$Q$171)-MIN(ROW($Q$7:$Q$171))+1,""),""),ROW()-ROW(A$173)+1)))," "),"")</f>
        <v/>
      </c>
      <c r="R230" s="0" t="str">
        <f aca="false">IFERROR(CONCATENATE(TEXT(INDEX($Q$7:$Q$171,SMALL(IF($T$7:$T$171&lt;&gt;"",IF($Q$7:$Q$171&lt;&gt;"",ROW($Q$7:$Q$171)-MIN(ROW($Q$7:$Q$171))+1,""),""),ROW()-ROW(A$173)+1)),"##0")," "),"")</f>
        <v/>
      </c>
      <c r="S230" s="0" t="str">
        <f aca="false">IFERROR(CONCATENATE((INDEX($A$7:$A$171,SMALL(IF($T$7:$T$171&lt;&gt;"",IF($Q$7:$Q$171&lt;&gt;"",ROW($Q$7:$Q$171)-MIN(ROW($Q$7:$Q$171))+1,""),""),ROW()-ROW(A$173)+1))),),"")</f>
        <v/>
      </c>
      <c r="W230" s="0" t="str">
        <f aca="false">IFERROR(CONCATENATE((INDEX($Z$7:$Z$171,SMALL(IF($Z$7:$Z$171&lt;&gt;"",IF($W$7:$W$171&lt;&gt;"",ROW($W$7:$W$171)-MIN(ROW($W$7:$W$171))+1,""),""),ROW()-ROW(A$173)+1))),","),"")</f>
        <v/>
      </c>
      <c r="X230" s="0" t="str">
        <f aca="false">IFERROR(CONCATENATE(TEXT(INDEX($W$7:$W$171,SMALL(IF($Z$7:$Z$171&lt;&gt;"",IF($W$7:$W$171&lt;&gt;"",ROW($W$7:$W$171)-MIN(ROW($W$7:$W$171))+1,""),""),ROW()-ROW(A$173)+1)),"##0"),","),"")</f>
        <v/>
      </c>
      <c r="Y230" s="0" t="str">
        <f aca="false">IFERROR(CONCATENATE((INDEX($A$7:$A$171,SMALL(IF($Z$7:$Z$171&lt;&gt;"",IF($W$7:$W$171&lt;&gt;"",ROW($W$7:$W$171)-MIN(ROW($W$7:$W$171))+1,""),""),ROW()-ROW(A$173)+1))),),"")</f>
        <v/>
      </c>
    </row>
    <row r="231" customFormat="false" ht="15" hidden="false" customHeight="false" outlineLevel="0" collapsed="false">
      <c r="K231" s="0" t="str">
        <f aca="false">IFERROR(CONCATENATE(TEXT(INDEX($K$7:$K$171,SMALL(IF($N$7:$N$171&lt;&gt;"",IF($K$7:$K$171&lt;&gt;"",ROW($K$7:$K$171)-MIN(ROW($K$7:$K$171))+1,""),""),ROW()-ROW(A$173)+1)),"##0"),","),"")</f>
        <v/>
      </c>
      <c r="L231" s="0" t="str">
        <f aca="false">IFERROR(CONCATENATE((INDEX($N$7:$N$171,SMALL(IF($N$7:$N$171&lt;&gt;"",IF($K$7:$K$171&lt;&gt;"",ROW($K$7:$K$171)-MIN(ROW($K$7:$K$171))+1,""),""),ROW()-ROW(A$173)+1))),","),"")</f>
        <v/>
      </c>
      <c r="M231" s="0" t="str">
        <f aca="false">IFERROR(CONCATENATE((INDEX($A$7:$A$171,SMALL(IF($N$7:$N$171&lt;&gt;"",IF($K$7:$K$171&lt;&gt;"",ROW($K$7:$K$171)-MIN(ROW($K$7:$K$171))+1,""),""),ROW()-ROW(A$173)+1))),),"")</f>
        <v/>
      </c>
      <c r="Q231" s="0" t="str">
        <f aca="false">IFERROR(CONCATENATE((INDEX($T$7:$T$171,SMALL(IF($T$7:$T$171&lt;&gt;"",IF($Q$7:$Q$171&lt;&gt;"",ROW($Q$7:$Q$171)-MIN(ROW($Q$7:$Q$171))+1,""),""),ROW()-ROW(A$173)+1)))," "),"")</f>
        <v/>
      </c>
      <c r="R231" s="0" t="str">
        <f aca="false">IFERROR(CONCATENATE(TEXT(INDEX($Q$7:$Q$171,SMALL(IF($T$7:$T$171&lt;&gt;"",IF($Q$7:$Q$171&lt;&gt;"",ROW($Q$7:$Q$171)-MIN(ROW($Q$7:$Q$171))+1,""),""),ROW()-ROW(A$173)+1)),"##0")," "),"")</f>
        <v/>
      </c>
      <c r="S231" s="0" t="str">
        <f aca="false">IFERROR(CONCATENATE((INDEX($A$7:$A$171,SMALL(IF($T$7:$T$171&lt;&gt;"",IF($Q$7:$Q$171&lt;&gt;"",ROW($Q$7:$Q$171)-MIN(ROW($Q$7:$Q$171))+1,""),""),ROW()-ROW(A$173)+1))),),"")</f>
        <v/>
      </c>
      <c r="W231" s="0" t="str">
        <f aca="false">IFERROR(CONCATENATE((INDEX($Z$7:$Z$171,SMALL(IF($Z$7:$Z$171&lt;&gt;"",IF($W$7:$W$171&lt;&gt;"",ROW($W$7:$W$171)-MIN(ROW($W$7:$W$171))+1,""),""),ROW()-ROW(A$173)+1))),","),"")</f>
        <v/>
      </c>
      <c r="X231" s="0" t="str">
        <f aca="false">IFERROR(CONCATENATE(TEXT(INDEX($W$7:$W$171,SMALL(IF($Z$7:$Z$171&lt;&gt;"",IF($W$7:$W$171&lt;&gt;"",ROW($W$7:$W$171)-MIN(ROW($W$7:$W$171))+1,""),""),ROW()-ROW(A$173)+1)),"##0"),","),"")</f>
        <v/>
      </c>
      <c r="Y231" s="0" t="str">
        <f aca="false">IFERROR(CONCATENATE((INDEX($A$7:$A$171,SMALL(IF($Z$7:$Z$171&lt;&gt;"",IF($W$7:$W$171&lt;&gt;"",ROW($W$7:$W$171)-MIN(ROW($W$7:$W$171))+1,""),""),ROW()-ROW(A$173)+1))),),"")</f>
        <v/>
      </c>
    </row>
    <row r="232" customFormat="false" ht="15" hidden="false" customHeight="false" outlineLevel="0" collapsed="false">
      <c r="K232" s="0" t="str">
        <f aca="false">IFERROR(CONCATENATE(TEXT(INDEX($K$7:$K$171,SMALL(IF($N$7:$N$171&lt;&gt;"",IF($K$7:$K$171&lt;&gt;"",ROW($K$7:$K$171)-MIN(ROW($K$7:$K$171))+1,""),""),ROW()-ROW(A$173)+1)),"##0"),","),"")</f>
        <v/>
      </c>
      <c r="L232" s="0" t="str">
        <f aca="false">IFERROR(CONCATENATE((INDEX($N$7:$N$171,SMALL(IF($N$7:$N$171&lt;&gt;"",IF($K$7:$K$171&lt;&gt;"",ROW($K$7:$K$171)-MIN(ROW($K$7:$K$171))+1,""),""),ROW()-ROW(A$173)+1))),","),"")</f>
        <v/>
      </c>
      <c r="M232" s="0" t="str">
        <f aca="false">IFERROR(CONCATENATE((INDEX($A$7:$A$171,SMALL(IF($N$7:$N$171&lt;&gt;"",IF($K$7:$K$171&lt;&gt;"",ROW($K$7:$K$171)-MIN(ROW($K$7:$K$171))+1,""),""),ROW()-ROW(A$173)+1))),),"")</f>
        <v/>
      </c>
      <c r="Q232" s="0" t="str">
        <f aca="false">IFERROR(CONCATENATE((INDEX($T$7:$T$171,SMALL(IF($T$7:$T$171&lt;&gt;"",IF($Q$7:$Q$171&lt;&gt;"",ROW($Q$7:$Q$171)-MIN(ROW($Q$7:$Q$171))+1,""),""),ROW()-ROW(A$173)+1)))," "),"")</f>
        <v/>
      </c>
      <c r="R232" s="0" t="str">
        <f aca="false">IFERROR(CONCATENATE(TEXT(INDEX($Q$7:$Q$171,SMALL(IF($T$7:$T$171&lt;&gt;"",IF($Q$7:$Q$171&lt;&gt;"",ROW($Q$7:$Q$171)-MIN(ROW($Q$7:$Q$171))+1,""),""),ROW()-ROW(A$173)+1)),"##0")," "),"")</f>
        <v/>
      </c>
      <c r="S232" s="0" t="str">
        <f aca="false">IFERROR(CONCATENATE((INDEX($A$7:$A$171,SMALL(IF($T$7:$T$171&lt;&gt;"",IF($Q$7:$Q$171&lt;&gt;"",ROW($Q$7:$Q$171)-MIN(ROW($Q$7:$Q$171))+1,""),""),ROW()-ROW(A$173)+1))),),"")</f>
        <v/>
      </c>
      <c r="W232" s="0" t="str">
        <f aca="false">IFERROR(CONCATENATE((INDEX($Z$7:$Z$171,SMALL(IF($Z$7:$Z$171&lt;&gt;"",IF($W$7:$W$171&lt;&gt;"",ROW($W$7:$W$171)-MIN(ROW($W$7:$W$171))+1,""),""),ROW()-ROW(A$173)+1))),","),"")</f>
        <v/>
      </c>
      <c r="X232" s="0" t="str">
        <f aca="false">IFERROR(CONCATENATE(TEXT(INDEX($W$7:$W$171,SMALL(IF($Z$7:$Z$171&lt;&gt;"",IF($W$7:$W$171&lt;&gt;"",ROW($W$7:$W$171)-MIN(ROW($W$7:$W$171))+1,""),""),ROW()-ROW(A$173)+1)),"##0"),","),"")</f>
        <v/>
      </c>
      <c r="Y232" s="0" t="str">
        <f aca="false">IFERROR(CONCATENATE((INDEX($A$7:$A$171,SMALL(IF($Z$7:$Z$171&lt;&gt;"",IF($W$7:$W$171&lt;&gt;"",ROW($W$7:$W$171)-MIN(ROW($W$7:$W$171))+1,""),""),ROW()-ROW(A$173)+1))),),"")</f>
        <v/>
      </c>
    </row>
    <row r="233" customFormat="false" ht="15" hidden="false" customHeight="false" outlineLevel="0" collapsed="false">
      <c r="K233" s="0" t="str">
        <f aca="false">IFERROR(CONCATENATE(TEXT(INDEX($K$7:$K$171,SMALL(IF($N$7:$N$171&lt;&gt;"",IF($K$7:$K$171&lt;&gt;"",ROW($K$7:$K$171)-MIN(ROW($K$7:$K$171))+1,""),""),ROW()-ROW(A$173)+1)),"##0"),","),"")</f>
        <v/>
      </c>
      <c r="L233" s="0" t="str">
        <f aca="false">IFERROR(CONCATENATE((INDEX($N$7:$N$171,SMALL(IF($N$7:$N$171&lt;&gt;"",IF($K$7:$K$171&lt;&gt;"",ROW($K$7:$K$171)-MIN(ROW($K$7:$K$171))+1,""),""),ROW()-ROW(A$173)+1))),","),"")</f>
        <v/>
      </c>
      <c r="M233" s="0" t="str">
        <f aca="false">IFERROR(CONCATENATE((INDEX($A$7:$A$171,SMALL(IF($N$7:$N$171&lt;&gt;"",IF($K$7:$K$171&lt;&gt;"",ROW($K$7:$K$171)-MIN(ROW($K$7:$K$171))+1,""),""),ROW()-ROW(A$173)+1))),),"")</f>
        <v/>
      </c>
      <c r="Q233" s="0" t="str">
        <f aca="false">IFERROR(CONCATENATE((INDEX($T$7:$T$171,SMALL(IF($T$7:$T$171&lt;&gt;"",IF($Q$7:$Q$171&lt;&gt;"",ROW($Q$7:$Q$171)-MIN(ROW($Q$7:$Q$171))+1,""),""),ROW()-ROW(A$173)+1)))," "),"")</f>
        <v/>
      </c>
      <c r="R233" s="0" t="str">
        <f aca="false">IFERROR(CONCATENATE(TEXT(INDEX($Q$7:$Q$171,SMALL(IF($T$7:$T$171&lt;&gt;"",IF($Q$7:$Q$171&lt;&gt;"",ROW($Q$7:$Q$171)-MIN(ROW($Q$7:$Q$171))+1,""),""),ROW()-ROW(A$173)+1)),"##0")," "),"")</f>
        <v/>
      </c>
      <c r="S233" s="0" t="str">
        <f aca="false">IFERROR(CONCATENATE((INDEX($A$7:$A$171,SMALL(IF($T$7:$T$171&lt;&gt;"",IF($Q$7:$Q$171&lt;&gt;"",ROW($Q$7:$Q$171)-MIN(ROW($Q$7:$Q$171))+1,""),""),ROW()-ROW(A$173)+1))),),"")</f>
        <v/>
      </c>
      <c r="W233" s="0" t="str">
        <f aca="false">IFERROR(CONCATENATE((INDEX($Z$7:$Z$171,SMALL(IF($Z$7:$Z$171&lt;&gt;"",IF($W$7:$W$171&lt;&gt;"",ROW($W$7:$W$171)-MIN(ROW($W$7:$W$171))+1,""),""),ROW()-ROW(A$173)+1))),","),"")</f>
        <v/>
      </c>
      <c r="X233" s="0" t="str">
        <f aca="false">IFERROR(CONCATENATE(TEXT(INDEX($W$7:$W$171,SMALL(IF($Z$7:$Z$171&lt;&gt;"",IF($W$7:$W$171&lt;&gt;"",ROW($W$7:$W$171)-MIN(ROW($W$7:$W$171))+1,""),""),ROW()-ROW(A$173)+1)),"##0"),","),"")</f>
        <v/>
      </c>
      <c r="Y233" s="0" t="str">
        <f aca="false">IFERROR(CONCATENATE((INDEX($A$7:$A$171,SMALL(IF($Z$7:$Z$171&lt;&gt;"",IF($W$7:$W$171&lt;&gt;"",ROW($W$7:$W$171)-MIN(ROW($W$7:$W$171))+1,""),""),ROW()-ROW(A$173)+1))),),"")</f>
        <v/>
      </c>
    </row>
    <row r="234" customFormat="false" ht="15" hidden="false" customHeight="false" outlineLevel="0" collapsed="false">
      <c r="K234" s="0" t="str">
        <f aca="false">IFERROR(CONCATENATE(TEXT(INDEX($K$7:$K$171,SMALL(IF($N$7:$N$171&lt;&gt;"",IF($K$7:$K$171&lt;&gt;"",ROW($K$7:$K$171)-MIN(ROW($K$7:$K$171))+1,""),""),ROW()-ROW(A$173)+1)),"##0"),","),"")</f>
        <v/>
      </c>
      <c r="L234" s="0" t="str">
        <f aca="false">IFERROR(CONCATENATE((INDEX($N$7:$N$171,SMALL(IF($N$7:$N$171&lt;&gt;"",IF($K$7:$K$171&lt;&gt;"",ROW($K$7:$K$171)-MIN(ROW($K$7:$K$171))+1,""),""),ROW()-ROW(A$173)+1))),","),"")</f>
        <v/>
      </c>
      <c r="M234" s="0" t="str">
        <f aca="false">IFERROR(CONCATENATE((INDEX($A$7:$A$171,SMALL(IF($N$7:$N$171&lt;&gt;"",IF($K$7:$K$171&lt;&gt;"",ROW($K$7:$K$171)-MIN(ROW($K$7:$K$171))+1,""),""),ROW()-ROW(A$173)+1))),),"")</f>
        <v/>
      </c>
      <c r="Q234" s="0" t="str">
        <f aca="false">IFERROR(CONCATENATE((INDEX($T$7:$T$171,SMALL(IF($T$7:$T$171&lt;&gt;"",IF($Q$7:$Q$171&lt;&gt;"",ROW($Q$7:$Q$171)-MIN(ROW($Q$7:$Q$171))+1,""),""),ROW()-ROW(A$173)+1)))," "),"")</f>
        <v/>
      </c>
      <c r="R234" s="0" t="str">
        <f aca="false">IFERROR(CONCATENATE(TEXT(INDEX($Q$7:$Q$171,SMALL(IF($T$7:$T$171&lt;&gt;"",IF($Q$7:$Q$171&lt;&gt;"",ROW($Q$7:$Q$171)-MIN(ROW($Q$7:$Q$171))+1,""),""),ROW()-ROW(A$173)+1)),"##0")," "),"")</f>
        <v/>
      </c>
      <c r="S234" s="0" t="str">
        <f aca="false">IFERROR(CONCATENATE((INDEX($A$7:$A$171,SMALL(IF($T$7:$T$171&lt;&gt;"",IF($Q$7:$Q$171&lt;&gt;"",ROW($Q$7:$Q$171)-MIN(ROW($Q$7:$Q$171))+1,""),""),ROW()-ROW(A$173)+1))),),"")</f>
        <v/>
      </c>
      <c r="W234" s="0" t="str">
        <f aca="false">IFERROR(CONCATENATE((INDEX($Z$7:$Z$171,SMALL(IF($Z$7:$Z$171&lt;&gt;"",IF($W$7:$W$171&lt;&gt;"",ROW($W$7:$W$171)-MIN(ROW($W$7:$W$171))+1,""),""),ROW()-ROW(A$173)+1))),","),"")</f>
        <v/>
      </c>
      <c r="X234" s="0" t="str">
        <f aca="false">IFERROR(CONCATENATE(TEXT(INDEX($W$7:$W$171,SMALL(IF($Z$7:$Z$171&lt;&gt;"",IF($W$7:$W$171&lt;&gt;"",ROW($W$7:$W$171)-MIN(ROW($W$7:$W$171))+1,""),""),ROW()-ROW(A$173)+1)),"##0"),","),"")</f>
        <v/>
      </c>
      <c r="Y234" s="0" t="str">
        <f aca="false">IFERROR(CONCATENATE((INDEX($A$7:$A$171,SMALL(IF($Z$7:$Z$171&lt;&gt;"",IF($W$7:$W$171&lt;&gt;"",ROW($W$7:$W$171)-MIN(ROW($W$7:$W$171))+1,""),""),ROW()-ROW(A$173)+1))),),"")</f>
        <v/>
      </c>
    </row>
    <row r="235" customFormat="false" ht="15" hidden="false" customHeight="false" outlineLevel="0" collapsed="false">
      <c r="K235" s="0" t="str">
        <f aca="false">IFERROR(CONCATENATE(TEXT(INDEX($K$7:$K$171,SMALL(IF($N$7:$N$171&lt;&gt;"",IF($K$7:$K$171&lt;&gt;"",ROW($K$7:$K$171)-MIN(ROW($K$7:$K$171))+1,""),""),ROW()-ROW(A$173)+1)),"##0"),","),"")</f>
        <v/>
      </c>
      <c r="L235" s="0" t="str">
        <f aca="false">IFERROR(CONCATENATE((INDEX($N$7:$N$171,SMALL(IF($N$7:$N$171&lt;&gt;"",IF($K$7:$K$171&lt;&gt;"",ROW($K$7:$K$171)-MIN(ROW($K$7:$K$171))+1,""),""),ROW()-ROW(A$173)+1))),","),"")</f>
        <v/>
      </c>
      <c r="M235" s="0" t="str">
        <f aca="false">IFERROR(CONCATENATE((INDEX($A$7:$A$171,SMALL(IF($N$7:$N$171&lt;&gt;"",IF($K$7:$K$171&lt;&gt;"",ROW($K$7:$K$171)-MIN(ROW($K$7:$K$171))+1,""),""),ROW()-ROW(A$173)+1))),),"")</f>
        <v/>
      </c>
      <c r="Q235" s="0" t="str">
        <f aca="false">IFERROR(CONCATENATE((INDEX($T$7:$T$171,SMALL(IF($T$7:$T$171&lt;&gt;"",IF($Q$7:$Q$171&lt;&gt;"",ROW($Q$7:$Q$171)-MIN(ROW($Q$7:$Q$171))+1,""),""),ROW()-ROW(A$173)+1)))," "),"")</f>
        <v/>
      </c>
      <c r="R235" s="0" t="str">
        <f aca="false">IFERROR(CONCATENATE(TEXT(INDEX($Q$7:$Q$171,SMALL(IF($T$7:$T$171&lt;&gt;"",IF($Q$7:$Q$171&lt;&gt;"",ROW($Q$7:$Q$171)-MIN(ROW($Q$7:$Q$171))+1,""),""),ROW()-ROW(A$173)+1)),"##0")," "),"")</f>
        <v/>
      </c>
      <c r="S235" s="0" t="str">
        <f aca="false">IFERROR(CONCATENATE((INDEX($A$7:$A$171,SMALL(IF($T$7:$T$171&lt;&gt;"",IF($Q$7:$Q$171&lt;&gt;"",ROW($Q$7:$Q$171)-MIN(ROW($Q$7:$Q$171))+1,""),""),ROW()-ROW(A$173)+1))),),"")</f>
        <v/>
      </c>
      <c r="W235" s="0" t="str">
        <f aca="false">IFERROR(CONCATENATE((INDEX($Z$7:$Z$171,SMALL(IF($Z$7:$Z$171&lt;&gt;"",IF($W$7:$W$171&lt;&gt;"",ROW($W$7:$W$171)-MIN(ROW($W$7:$W$171))+1,""),""),ROW()-ROW(A$173)+1))),","),"")</f>
        <v/>
      </c>
      <c r="X235" s="0" t="str">
        <f aca="false">IFERROR(CONCATENATE(TEXT(INDEX($W$7:$W$171,SMALL(IF($Z$7:$Z$171&lt;&gt;"",IF($W$7:$W$171&lt;&gt;"",ROW($W$7:$W$171)-MIN(ROW($W$7:$W$171))+1,""),""),ROW()-ROW(A$173)+1)),"##0"),","),"")</f>
        <v/>
      </c>
      <c r="Y235" s="0" t="str">
        <f aca="false">IFERROR(CONCATENATE((INDEX($A$7:$A$171,SMALL(IF($Z$7:$Z$171&lt;&gt;"",IF($W$7:$W$171&lt;&gt;"",ROW($W$7:$W$171)-MIN(ROW($W$7:$W$171))+1,""),""),ROW()-ROW(A$173)+1))),),"")</f>
        <v/>
      </c>
    </row>
    <row r="236" customFormat="false" ht="15" hidden="false" customHeight="false" outlineLevel="0" collapsed="false">
      <c r="K236" s="0" t="str">
        <f aca="false">IFERROR(CONCATENATE(TEXT(INDEX($K$7:$K$171,SMALL(IF($N$7:$N$171&lt;&gt;"",IF($K$7:$K$171&lt;&gt;"",ROW($K$7:$K$171)-MIN(ROW($K$7:$K$171))+1,""),""),ROW()-ROW(A$173)+1)),"##0"),","),"")</f>
        <v/>
      </c>
      <c r="L236" s="0" t="str">
        <f aca="false">IFERROR(CONCATENATE((INDEX($N$7:$N$171,SMALL(IF($N$7:$N$171&lt;&gt;"",IF($K$7:$K$171&lt;&gt;"",ROW($K$7:$K$171)-MIN(ROW($K$7:$K$171))+1,""),""),ROW()-ROW(A$173)+1))),","),"")</f>
        <v/>
      </c>
      <c r="M236" s="0" t="str">
        <f aca="false">IFERROR(CONCATENATE((INDEX($A$7:$A$171,SMALL(IF($N$7:$N$171&lt;&gt;"",IF($K$7:$K$171&lt;&gt;"",ROW($K$7:$K$171)-MIN(ROW($K$7:$K$171))+1,""),""),ROW()-ROW(A$173)+1))),),"")</f>
        <v/>
      </c>
      <c r="Q236" s="0" t="str">
        <f aca="false">IFERROR(CONCATENATE((INDEX($T$7:$T$171,SMALL(IF($T$7:$T$171&lt;&gt;"",IF($Q$7:$Q$171&lt;&gt;"",ROW($Q$7:$Q$171)-MIN(ROW($Q$7:$Q$171))+1,""),""),ROW()-ROW(A$173)+1)))," "),"")</f>
        <v/>
      </c>
      <c r="R236" s="0" t="str">
        <f aca="false">IFERROR(CONCATENATE(TEXT(INDEX($Q$7:$Q$171,SMALL(IF($T$7:$T$171&lt;&gt;"",IF($Q$7:$Q$171&lt;&gt;"",ROW($Q$7:$Q$171)-MIN(ROW($Q$7:$Q$171))+1,""),""),ROW()-ROW(A$173)+1)),"##0")," "),"")</f>
        <v/>
      </c>
      <c r="S236" s="0" t="str">
        <f aca="false">IFERROR(CONCATENATE((INDEX($A$7:$A$171,SMALL(IF($T$7:$T$171&lt;&gt;"",IF($Q$7:$Q$171&lt;&gt;"",ROW($Q$7:$Q$171)-MIN(ROW($Q$7:$Q$171))+1,""),""),ROW()-ROW(A$173)+1))),),"")</f>
        <v/>
      </c>
      <c r="W236" s="0" t="str">
        <f aca="false">IFERROR(CONCATENATE((INDEX($Z$7:$Z$171,SMALL(IF($Z$7:$Z$171&lt;&gt;"",IF($W$7:$W$171&lt;&gt;"",ROW($W$7:$W$171)-MIN(ROW($W$7:$W$171))+1,""),""),ROW()-ROW(A$173)+1))),","),"")</f>
        <v/>
      </c>
      <c r="X236" s="0" t="str">
        <f aca="false">IFERROR(CONCATENATE(TEXT(INDEX($W$7:$W$171,SMALL(IF($Z$7:$Z$171&lt;&gt;"",IF($W$7:$W$171&lt;&gt;"",ROW($W$7:$W$171)-MIN(ROW($W$7:$W$171))+1,""),""),ROW()-ROW(A$173)+1)),"##0"),","),"")</f>
        <v/>
      </c>
      <c r="Y236" s="0" t="str">
        <f aca="false">IFERROR(CONCATENATE((INDEX($A$7:$A$171,SMALL(IF($Z$7:$Z$171&lt;&gt;"",IF($W$7:$W$171&lt;&gt;"",ROW($W$7:$W$171)-MIN(ROW($W$7:$W$171))+1,""),""),ROW()-ROW(A$173)+1))),),"")</f>
        <v/>
      </c>
    </row>
    <row r="237" customFormat="false" ht="15" hidden="false" customHeight="false" outlineLevel="0" collapsed="false">
      <c r="K237" s="0" t="str">
        <f aca="false">IFERROR(CONCATENATE(TEXT(INDEX($K$7:$K$171,SMALL(IF($N$7:$N$171&lt;&gt;"",IF($K$7:$K$171&lt;&gt;"",ROW($K$7:$K$171)-MIN(ROW($K$7:$K$171))+1,""),""),ROW()-ROW(A$173)+1)),"##0"),","),"")</f>
        <v/>
      </c>
      <c r="L237" s="0" t="str">
        <f aca="false">IFERROR(CONCATENATE((INDEX($N$7:$N$171,SMALL(IF($N$7:$N$171&lt;&gt;"",IF($K$7:$K$171&lt;&gt;"",ROW($K$7:$K$171)-MIN(ROW($K$7:$K$171))+1,""),""),ROW()-ROW(A$173)+1))),","),"")</f>
        <v/>
      </c>
      <c r="M237" s="0" t="str">
        <f aca="false">IFERROR(CONCATENATE((INDEX($A$7:$A$171,SMALL(IF($N$7:$N$171&lt;&gt;"",IF($K$7:$K$171&lt;&gt;"",ROW($K$7:$K$171)-MIN(ROW($K$7:$K$171))+1,""),""),ROW()-ROW(A$173)+1))),),"")</f>
        <v/>
      </c>
      <c r="Q237" s="0" t="str">
        <f aca="false">IFERROR(CONCATENATE((INDEX($T$7:$T$171,SMALL(IF($T$7:$T$171&lt;&gt;"",IF($Q$7:$Q$171&lt;&gt;"",ROW($Q$7:$Q$171)-MIN(ROW($Q$7:$Q$171))+1,""),""),ROW()-ROW(A$173)+1)))," "),"")</f>
        <v/>
      </c>
      <c r="R237" s="0" t="str">
        <f aca="false">IFERROR(CONCATENATE(TEXT(INDEX($Q$7:$Q$171,SMALL(IF($T$7:$T$171&lt;&gt;"",IF($Q$7:$Q$171&lt;&gt;"",ROW($Q$7:$Q$171)-MIN(ROW($Q$7:$Q$171))+1,""),""),ROW()-ROW(A$173)+1)),"##0")," "),"")</f>
        <v/>
      </c>
      <c r="S237" s="0" t="str">
        <f aca="false">IFERROR(CONCATENATE((INDEX($A$7:$A$171,SMALL(IF($T$7:$T$171&lt;&gt;"",IF($Q$7:$Q$171&lt;&gt;"",ROW($Q$7:$Q$171)-MIN(ROW($Q$7:$Q$171))+1,""),""),ROW()-ROW(A$173)+1))),),"")</f>
        <v/>
      </c>
      <c r="W237" s="0" t="str">
        <f aca="false">IFERROR(CONCATENATE((INDEX($Z$7:$Z$171,SMALL(IF($Z$7:$Z$171&lt;&gt;"",IF($W$7:$W$171&lt;&gt;"",ROW($W$7:$W$171)-MIN(ROW($W$7:$W$171))+1,""),""),ROW()-ROW(A$173)+1))),","),"")</f>
        <v/>
      </c>
      <c r="X237" s="0" t="str">
        <f aca="false">IFERROR(CONCATENATE(TEXT(INDEX($W$7:$W$171,SMALL(IF($Z$7:$Z$171&lt;&gt;"",IF($W$7:$W$171&lt;&gt;"",ROW($W$7:$W$171)-MIN(ROW($W$7:$W$171))+1,""),""),ROW()-ROW(A$173)+1)),"##0"),","),"")</f>
        <v/>
      </c>
      <c r="Y237" s="0" t="str">
        <f aca="false">IFERROR(CONCATENATE((INDEX($A$7:$A$171,SMALL(IF($Z$7:$Z$171&lt;&gt;"",IF($W$7:$W$171&lt;&gt;"",ROW($W$7:$W$171)-MIN(ROW($W$7:$W$171))+1,""),""),ROW()-ROW(A$173)+1))),),"")</f>
        <v/>
      </c>
    </row>
    <row r="238" customFormat="false" ht="15" hidden="false" customHeight="false" outlineLevel="0" collapsed="false">
      <c r="K238" s="0" t="str">
        <f aca="false">IFERROR(CONCATENATE(TEXT(INDEX($K$7:$K$171,SMALL(IF($N$7:$N$171&lt;&gt;"",IF($K$7:$K$171&lt;&gt;"",ROW($K$7:$K$171)-MIN(ROW($K$7:$K$171))+1,""),""),ROW()-ROW(A$173)+1)),"##0"),","),"")</f>
        <v/>
      </c>
      <c r="L238" s="0" t="str">
        <f aca="false">IFERROR(CONCATENATE((INDEX($N$7:$N$171,SMALL(IF($N$7:$N$171&lt;&gt;"",IF($K$7:$K$171&lt;&gt;"",ROW($K$7:$K$171)-MIN(ROW($K$7:$K$171))+1,""),""),ROW()-ROW(A$173)+1))),","),"")</f>
        <v/>
      </c>
      <c r="M238" s="0" t="str">
        <f aca="false">IFERROR(CONCATENATE((INDEX($A$7:$A$171,SMALL(IF($N$7:$N$171&lt;&gt;"",IF($K$7:$K$171&lt;&gt;"",ROW($K$7:$K$171)-MIN(ROW($K$7:$K$171))+1,""),""),ROW()-ROW(A$173)+1))),),"")</f>
        <v/>
      </c>
      <c r="Q238" s="0" t="str">
        <f aca="false">IFERROR(CONCATENATE((INDEX($T$7:$T$171,SMALL(IF($T$7:$T$171&lt;&gt;"",IF($Q$7:$Q$171&lt;&gt;"",ROW($Q$7:$Q$171)-MIN(ROW($Q$7:$Q$171))+1,""),""),ROW()-ROW(A$173)+1)))," "),"")</f>
        <v/>
      </c>
      <c r="R238" s="0" t="str">
        <f aca="false">IFERROR(CONCATENATE(TEXT(INDEX($Q$7:$Q$171,SMALL(IF($T$7:$T$171&lt;&gt;"",IF($Q$7:$Q$171&lt;&gt;"",ROW($Q$7:$Q$171)-MIN(ROW($Q$7:$Q$171))+1,""),""),ROW()-ROW(A$173)+1)),"##0")," "),"")</f>
        <v/>
      </c>
      <c r="S238" s="0" t="str">
        <f aca="false">IFERROR(CONCATENATE((INDEX($A$7:$A$171,SMALL(IF($T$7:$T$171&lt;&gt;"",IF($Q$7:$Q$171&lt;&gt;"",ROW($Q$7:$Q$171)-MIN(ROW($Q$7:$Q$171))+1,""),""),ROW()-ROW(A$173)+1))),),"")</f>
        <v/>
      </c>
      <c r="W238" s="0" t="str">
        <f aca="false">IFERROR(CONCATENATE((INDEX($Z$7:$Z$171,SMALL(IF($Z$7:$Z$171&lt;&gt;"",IF($W$7:$W$171&lt;&gt;"",ROW($W$7:$W$171)-MIN(ROW($W$7:$W$171))+1,""),""),ROW()-ROW(A$173)+1))),","),"")</f>
        <v/>
      </c>
      <c r="X238" s="0" t="str">
        <f aca="false">IFERROR(CONCATENATE(TEXT(INDEX($W$7:$W$171,SMALL(IF($Z$7:$Z$171&lt;&gt;"",IF($W$7:$W$171&lt;&gt;"",ROW($W$7:$W$171)-MIN(ROW($W$7:$W$171))+1,""),""),ROW()-ROW(A$173)+1)),"##0"),","),"")</f>
        <v/>
      </c>
      <c r="Y238" s="0" t="str">
        <f aca="false">IFERROR(CONCATENATE((INDEX($A$7:$A$171,SMALL(IF($Z$7:$Z$171&lt;&gt;"",IF($W$7:$W$171&lt;&gt;"",ROW($W$7:$W$171)-MIN(ROW($W$7:$W$171))+1,""),""),ROW()-ROW(A$173)+1))),),"")</f>
        <v/>
      </c>
    </row>
    <row r="239" customFormat="false" ht="15" hidden="false" customHeight="false" outlineLevel="0" collapsed="false">
      <c r="K239" s="0" t="str">
        <f aca="false">IFERROR(CONCATENATE(TEXT(INDEX($K$7:$K$171,SMALL(IF($N$7:$N$171&lt;&gt;"",IF($K$7:$K$171&lt;&gt;"",ROW($K$7:$K$171)-MIN(ROW($K$7:$K$171))+1,""),""),ROW()-ROW(A$173)+1)),"##0"),","),"")</f>
        <v/>
      </c>
      <c r="L239" s="0" t="str">
        <f aca="false">IFERROR(CONCATENATE((INDEX($N$7:$N$171,SMALL(IF($N$7:$N$171&lt;&gt;"",IF($K$7:$K$171&lt;&gt;"",ROW($K$7:$K$171)-MIN(ROW($K$7:$K$171))+1,""),""),ROW()-ROW(A$173)+1))),","),"")</f>
        <v/>
      </c>
      <c r="M239" s="0" t="str">
        <f aca="false">IFERROR(CONCATENATE((INDEX($A$7:$A$171,SMALL(IF($N$7:$N$171&lt;&gt;"",IF($K$7:$K$171&lt;&gt;"",ROW($K$7:$K$171)-MIN(ROW($K$7:$K$171))+1,""),""),ROW()-ROW(A$173)+1))),),"")</f>
        <v/>
      </c>
      <c r="Q239" s="0" t="str">
        <f aca="false">IFERROR(CONCATENATE((INDEX($T$7:$T$171,SMALL(IF($T$7:$T$171&lt;&gt;"",IF($Q$7:$Q$171&lt;&gt;"",ROW($Q$7:$Q$171)-MIN(ROW($Q$7:$Q$171))+1,""),""),ROW()-ROW(A$173)+1)))," "),"")</f>
        <v/>
      </c>
      <c r="R239" s="0" t="str">
        <f aca="false">IFERROR(CONCATENATE(TEXT(INDEX($Q$7:$Q$171,SMALL(IF($T$7:$T$171&lt;&gt;"",IF($Q$7:$Q$171&lt;&gt;"",ROW($Q$7:$Q$171)-MIN(ROW($Q$7:$Q$171))+1,""),""),ROW()-ROW(A$173)+1)),"##0")," "),"")</f>
        <v/>
      </c>
      <c r="S239" s="0" t="str">
        <f aca="false">IFERROR(CONCATENATE((INDEX($A$7:$A$171,SMALL(IF($T$7:$T$171&lt;&gt;"",IF($Q$7:$Q$171&lt;&gt;"",ROW($Q$7:$Q$171)-MIN(ROW($Q$7:$Q$171))+1,""),""),ROW()-ROW(A$173)+1))),),"")</f>
        <v/>
      </c>
      <c r="W239" s="0" t="str">
        <f aca="false">IFERROR(CONCATENATE((INDEX($Z$7:$Z$171,SMALL(IF($Z$7:$Z$171&lt;&gt;"",IF($W$7:$W$171&lt;&gt;"",ROW($W$7:$W$171)-MIN(ROW($W$7:$W$171))+1,""),""),ROW()-ROW(A$173)+1))),","),"")</f>
        <v/>
      </c>
      <c r="X239" s="0" t="str">
        <f aca="false">IFERROR(CONCATENATE(TEXT(INDEX($W$7:$W$171,SMALL(IF($Z$7:$Z$171&lt;&gt;"",IF($W$7:$W$171&lt;&gt;"",ROW($W$7:$W$171)-MIN(ROW($W$7:$W$171))+1,""),""),ROW()-ROW(A$173)+1)),"##0"),","),"")</f>
        <v/>
      </c>
      <c r="Y239" s="0" t="str">
        <f aca="false">IFERROR(CONCATENATE((INDEX($A$7:$A$171,SMALL(IF($Z$7:$Z$171&lt;&gt;"",IF($W$7:$W$171&lt;&gt;"",ROW($W$7:$W$171)-MIN(ROW($W$7:$W$171))+1,""),""),ROW()-ROW(A$173)+1))),),"")</f>
        <v/>
      </c>
    </row>
    <row r="240" customFormat="false" ht="15" hidden="false" customHeight="false" outlineLevel="0" collapsed="false">
      <c r="K240" s="0" t="str">
        <f aca="false">IFERROR(CONCATENATE(TEXT(INDEX($K$7:$K$171,SMALL(IF($N$7:$N$171&lt;&gt;"",IF($K$7:$K$171&lt;&gt;"",ROW($K$7:$K$171)-MIN(ROW($K$7:$K$171))+1,""),""),ROW()-ROW(A$173)+1)),"##0"),","),"")</f>
        <v/>
      </c>
      <c r="L240" s="0" t="str">
        <f aca="false">IFERROR(CONCATENATE((INDEX($N$7:$N$171,SMALL(IF($N$7:$N$171&lt;&gt;"",IF($K$7:$K$171&lt;&gt;"",ROW($K$7:$K$171)-MIN(ROW($K$7:$K$171))+1,""),""),ROW()-ROW(A$173)+1))),","),"")</f>
        <v/>
      </c>
      <c r="M240" s="0" t="str">
        <f aca="false">IFERROR(CONCATENATE((INDEX($A$7:$A$171,SMALL(IF($N$7:$N$171&lt;&gt;"",IF($K$7:$K$171&lt;&gt;"",ROW($K$7:$K$171)-MIN(ROW($K$7:$K$171))+1,""),""),ROW()-ROW(A$173)+1))),),"")</f>
        <v/>
      </c>
      <c r="Q240" s="0" t="str">
        <f aca="false">IFERROR(CONCATENATE((INDEX($T$7:$T$171,SMALL(IF($T$7:$T$171&lt;&gt;"",IF($Q$7:$Q$171&lt;&gt;"",ROW($Q$7:$Q$171)-MIN(ROW($Q$7:$Q$171))+1,""),""),ROW()-ROW(A$173)+1)))," "),"")</f>
        <v/>
      </c>
      <c r="R240" s="0" t="str">
        <f aca="false">IFERROR(CONCATENATE(TEXT(INDEX($Q$7:$Q$171,SMALL(IF($T$7:$T$171&lt;&gt;"",IF($Q$7:$Q$171&lt;&gt;"",ROW($Q$7:$Q$171)-MIN(ROW($Q$7:$Q$171))+1,""),""),ROW()-ROW(A$173)+1)),"##0")," "),"")</f>
        <v/>
      </c>
      <c r="S240" s="0" t="str">
        <f aca="false">IFERROR(CONCATENATE((INDEX($A$7:$A$171,SMALL(IF($T$7:$T$171&lt;&gt;"",IF($Q$7:$Q$171&lt;&gt;"",ROW($Q$7:$Q$171)-MIN(ROW($Q$7:$Q$171))+1,""),""),ROW()-ROW(A$173)+1))),),"")</f>
        <v/>
      </c>
      <c r="W240" s="0" t="str">
        <f aca="false">IFERROR(CONCATENATE((INDEX($Z$7:$Z$171,SMALL(IF($Z$7:$Z$171&lt;&gt;"",IF($W$7:$W$171&lt;&gt;"",ROW($W$7:$W$171)-MIN(ROW($W$7:$W$171))+1,""),""),ROW()-ROW(A$173)+1))),","),"")</f>
        <v/>
      </c>
      <c r="X240" s="0" t="str">
        <f aca="false">IFERROR(CONCATENATE(TEXT(INDEX($W$7:$W$171,SMALL(IF($Z$7:$Z$171&lt;&gt;"",IF($W$7:$W$171&lt;&gt;"",ROW($W$7:$W$171)-MIN(ROW($W$7:$W$171))+1,""),""),ROW()-ROW(A$173)+1)),"##0"),","),"")</f>
        <v/>
      </c>
      <c r="Y240" s="0" t="str">
        <f aca="false">IFERROR(CONCATENATE((INDEX($A$7:$A$171,SMALL(IF($Z$7:$Z$171&lt;&gt;"",IF($W$7:$W$171&lt;&gt;"",ROW($W$7:$W$171)-MIN(ROW($W$7:$W$171))+1,""),""),ROW()-ROW(A$173)+1))),),"")</f>
        <v/>
      </c>
    </row>
    <row r="241" customFormat="false" ht="15" hidden="false" customHeight="false" outlineLevel="0" collapsed="false">
      <c r="K241" s="0" t="str">
        <f aca="false">IFERROR(CONCATENATE(TEXT(INDEX($K$7:$K$171,SMALL(IF($N$7:$N$171&lt;&gt;"",IF($K$7:$K$171&lt;&gt;"",ROW($K$7:$K$171)-MIN(ROW($K$7:$K$171))+1,""),""),ROW()-ROW(A$173)+1)),"##0"),","),"")</f>
        <v/>
      </c>
      <c r="L241" s="0" t="str">
        <f aca="false">IFERROR(CONCATENATE((INDEX($N$7:$N$171,SMALL(IF($N$7:$N$171&lt;&gt;"",IF($K$7:$K$171&lt;&gt;"",ROW($K$7:$K$171)-MIN(ROW($K$7:$K$171))+1,""),""),ROW()-ROW(A$173)+1))),","),"")</f>
        <v/>
      </c>
      <c r="M241" s="0" t="str">
        <f aca="false">IFERROR(CONCATENATE((INDEX($A$7:$A$171,SMALL(IF($N$7:$N$171&lt;&gt;"",IF($K$7:$K$171&lt;&gt;"",ROW($K$7:$K$171)-MIN(ROW($K$7:$K$171))+1,""),""),ROW()-ROW(A$173)+1))),),"")</f>
        <v/>
      </c>
      <c r="Q241" s="0" t="str">
        <f aca="false">IFERROR(CONCATENATE((INDEX($T$7:$T$171,SMALL(IF($T$7:$T$171&lt;&gt;"",IF($Q$7:$Q$171&lt;&gt;"",ROW($Q$7:$Q$171)-MIN(ROW($Q$7:$Q$171))+1,""),""),ROW()-ROW(A$173)+1)))," "),"")</f>
        <v/>
      </c>
      <c r="R241" s="0" t="str">
        <f aca="false">IFERROR(CONCATENATE(TEXT(INDEX($Q$7:$Q$171,SMALL(IF($T$7:$T$171&lt;&gt;"",IF($Q$7:$Q$171&lt;&gt;"",ROW($Q$7:$Q$171)-MIN(ROW($Q$7:$Q$171))+1,""),""),ROW()-ROW(A$173)+1)),"##0")," "),"")</f>
        <v/>
      </c>
      <c r="S241" s="0" t="str">
        <f aca="false">IFERROR(CONCATENATE((INDEX($A$7:$A$171,SMALL(IF($T$7:$T$171&lt;&gt;"",IF($Q$7:$Q$171&lt;&gt;"",ROW($Q$7:$Q$171)-MIN(ROW($Q$7:$Q$171))+1,""),""),ROW()-ROW(A$173)+1))),),"")</f>
        <v/>
      </c>
      <c r="W241" s="0" t="str">
        <f aca="false">IFERROR(CONCATENATE((INDEX($Z$7:$Z$171,SMALL(IF($Z$7:$Z$171&lt;&gt;"",IF($W$7:$W$171&lt;&gt;"",ROW($W$7:$W$171)-MIN(ROW($W$7:$W$171))+1,""),""),ROW()-ROW(A$173)+1))),","),"")</f>
        <v/>
      </c>
      <c r="X241" s="0" t="str">
        <f aca="false">IFERROR(CONCATENATE(TEXT(INDEX($W$7:$W$171,SMALL(IF($Z$7:$Z$171&lt;&gt;"",IF($W$7:$W$171&lt;&gt;"",ROW($W$7:$W$171)-MIN(ROW($W$7:$W$171))+1,""),""),ROW()-ROW(A$173)+1)),"##0"),","),"")</f>
        <v/>
      </c>
      <c r="Y241" s="0" t="str">
        <f aca="false">IFERROR(CONCATENATE((INDEX($A$7:$A$171,SMALL(IF($Z$7:$Z$171&lt;&gt;"",IF($W$7:$W$171&lt;&gt;"",ROW($W$7:$W$171)-MIN(ROW($W$7:$W$171))+1,""),""),ROW()-ROW(A$173)+1))),),"")</f>
        <v/>
      </c>
    </row>
    <row r="242" customFormat="false" ht="15" hidden="false" customHeight="false" outlineLevel="0" collapsed="false">
      <c r="K242" s="0" t="str">
        <f aca="false">IFERROR(CONCATENATE(TEXT(INDEX($K$7:$K$171,SMALL(IF($N$7:$N$171&lt;&gt;"",IF($K$7:$K$171&lt;&gt;"",ROW($K$7:$K$171)-MIN(ROW($K$7:$K$171))+1,""),""),ROW()-ROW(A$173)+1)),"##0"),","),"")</f>
        <v/>
      </c>
      <c r="L242" s="0" t="str">
        <f aca="false">IFERROR(CONCATENATE((INDEX($N$7:$N$171,SMALL(IF($N$7:$N$171&lt;&gt;"",IF($K$7:$K$171&lt;&gt;"",ROW($K$7:$K$171)-MIN(ROW($K$7:$K$171))+1,""),""),ROW()-ROW(A$173)+1))),","),"")</f>
        <v/>
      </c>
      <c r="M242" s="0" t="str">
        <f aca="false">IFERROR(CONCATENATE((INDEX($A$7:$A$171,SMALL(IF($N$7:$N$171&lt;&gt;"",IF($K$7:$K$171&lt;&gt;"",ROW($K$7:$K$171)-MIN(ROW($K$7:$K$171))+1,""),""),ROW()-ROW(A$173)+1))),),"")</f>
        <v/>
      </c>
      <c r="Q242" s="0" t="str">
        <f aca="false">IFERROR(CONCATENATE((INDEX($T$7:$T$171,SMALL(IF($T$7:$T$171&lt;&gt;"",IF($Q$7:$Q$171&lt;&gt;"",ROW($Q$7:$Q$171)-MIN(ROW($Q$7:$Q$171))+1,""),""),ROW()-ROW(A$173)+1)))," "),"")</f>
        <v/>
      </c>
      <c r="R242" s="0" t="str">
        <f aca="false">IFERROR(CONCATENATE(TEXT(INDEX($Q$7:$Q$171,SMALL(IF($T$7:$T$171&lt;&gt;"",IF($Q$7:$Q$171&lt;&gt;"",ROW($Q$7:$Q$171)-MIN(ROW($Q$7:$Q$171))+1,""),""),ROW()-ROW(A$173)+1)),"##0")," "),"")</f>
        <v/>
      </c>
      <c r="S242" s="0" t="str">
        <f aca="false">IFERROR(CONCATENATE((INDEX($A$7:$A$171,SMALL(IF($T$7:$T$171&lt;&gt;"",IF($Q$7:$Q$171&lt;&gt;"",ROW($Q$7:$Q$171)-MIN(ROW($Q$7:$Q$171))+1,""),""),ROW()-ROW(A$173)+1))),),"")</f>
        <v/>
      </c>
      <c r="W242" s="0" t="str">
        <f aca="false">IFERROR(CONCATENATE((INDEX($Z$7:$Z$171,SMALL(IF($Z$7:$Z$171&lt;&gt;"",IF($W$7:$W$171&lt;&gt;"",ROW($W$7:$W$171)-MIN(ROW($W$7:$W$171))+1,""),""),ROW()-ROW(A$173)+1))),","),"")</f>
        <v/>
      </c>
      <c r="X242" s="0" t="str">
        <f aca="false">IFERROR(CONCATENATE(TEXT(INDEX($W$7:$W$171,SMALL(IF($Z$7:$Z$171&lt;&gt;"",IF($W$7:$W$171&lt;&gt;"",ROW($W$7:$W$171)-MIN(ROW($W$7:$W$171))+1,""),""),ROW()-ROW(A$173)+1)),"##0"),","),"")</f>
        <v/>
      </c>
      <c r="Y242" s="0" t="str">
        <f aca="false">IFERROR(CONCATENATE((INDEX($A$7:$A$171,SMALL(IF($Z$7:$Z$171&lt;&gt;"",IF($W$7:$W$171&lt;&gt;"",ROW($W$7:$W$171)-MIN(ROW($W$7:$W$171))+1,""),""),ROW()-ROW(A$173)+1))),),"")</f>
        <v/>
      </c>
    </row>
    <row r="243" customFormat="false" ht="15" hidden="false" customHeight="false" outlineLevel="0" collapsed="false">
      <c r="K243" s="0" t="str">
        <f aca="false">IFERROR(CONCATENATE(TEXT(INDEX($K$7:$K$171,SMALL(IF($N$7:$N$171&lt;&gt;"",IF($K$7:$K$171&lt;&gt;"",ROW($K$7:$K$171)-MIN(ROW($K$7:$K$171))+1,""),""),ROW()-ROW(A$173)+1)),"##0"),","),"")</f>
        <v/>
      </c>
      <c r="L243" s="0" t="str">
        <f aca="false">IFERROR(CONCATENATE((INDEX($N$7:$N$171,SMALL(IF($N$7:$N$171&lt;&gt;"",IF($K$7:$K$171&lt;&gt;"",ROW($K$7:$K$171)-MIN(ROW($K$7:$K$171))+1,""),""),ROW()-ROW(A$173)+1))),","),"")</f>
        <v/>
      </c>
      <c r="M243" s="0" t="str">
        <f aca="false">IFERROR(CONCATENATE((INDEX($A$7:$A$171,SMALL(IF($N$7:$N$171&lt;&gt;"",IF($K$7:$K$171&lt;&gt;"",ROW($K$7:$K$171)-MIN(ROW($K$7:$K$171))+1,""),""),ROW()-ROW(A$173)+1))),),"")</f>
        <v/>
      </c>
      <c r="Q243" s="0" t="str">
        <f aca="false">IFERROR(CONCATENATE((INDEX($T$7:$T$171,SMALL(IF($T$7:$T$171&lt;&gt;"",IF($Q$7:$Q$171&lt;&gt;"",ROW($Q$7:$Q$171)-MIN(ROW($Q$7:$Q$171))+1,""),""),ROW()-ROW(A$173)+1)))," "),"")</f>
        <v/>
      </c>
      <c r="R243" s="0" t="str">
        <f aca="false">IFERROR(CONCATENATE(TEXT(INDEX($Q$7:$Q$171,SMALL(IF($T$7:$T$171&lt;&gt;"",IF($Q$7:$Q$171&lt;&gt;"",ROW($Q$7:$Q$171)-MIN(ROW($Q$7:$Q$171))+1,""),""),ROW()-ROW(A$173)+1)),"##0")," "),"")</f>
        <v/>
      </c>
      <c r="S243" s="0" t="str">
        <f aca="false">IFERROR(CONCATENATE((INDEX($A$7:$A$171,SMALL(IF($T$7:$T$171&lt;&gt;"",IF($Q$7:$Q$171&lt;&gt;"",ROW($Q$7:$Q$171)-MIN(ROW($Q$7:$Q$171))+1,""),""),ROW()-ROW(A$173)+1))),),"")</f>
        <v/>
      </c>
      <c r="W243" s="0" t="str">
        <f aca="false">IFERROR(CONCATENATE((INDEX($Z$7:$Z$171,SMALL(IF($Z$7:$Z$171&lt;&gt;"",IF($W$7:$W$171&lt;&gt;"",ROW($W$7:$W$171)-MIN(ROW($W$7:$W$171))+1,""),""),ROW()-ROW(A$173)+1))),","),"")</f>
        <v/>
      </c>
      <c r="X243" s="0" t="str">
        <f aca="false">IFERROR(CONCATENATE(TEXT(INDEX($W$7:$W$171,SMALL(IF($Z$7:$Z$171&lt;&gt;"",IF($W$7:$W$171&lt;&gt;"",ROW($W$7:$W$171)-MIN(ROW($W$7:$W$171))+1,""),""),ROW()-ROW(A$173)+1)),"##0"),","),"")</f>
        <v/>
      </c>
      <c r="Y243" s="0" t="str">
        <f aca="false">IFERROR(CONCATENATE((INDEX($A$7:$A$171,SMALL(IF($Z$7:$Z$171&lt;&gt;"",IF($W$7:$W$171&lt;&gt;"",ROW($W$7:$W$171)-MIN(ROW($W$7:$W$171))+1,""),""),ROW()-ROW(A$173)+1))),),"")</f>
        <v/>
      </c>
    </row>
    <row r="244" customFormat="false" ht="15" hidden="false" customHeight="false" outlineLevel="0" collapsed="false">
      <c r="K244" s="0" t="str">
        <f aca="false">IFERROR(CONCATENATE(TEXT(INDEX($K$7:$K$171,SMALL(IF($N$7:$N$171&lt;&gt;"",IF($K$7:$K$171&lt;&gt;"",ROW($K$7:$K$171)-MIN(ROW($K$7:$K$171))+1,""),""),ROW()-ROW(A$173)+1)),"##0"),","),"")</f>
        <v/>
      </c>
      <c r="L244" s="0" t="str">
        <f aca="false">IFERROR(CONCATENATE((INDEX($N$7:$N$171,SMALL(IF($N$7:$N$171&lt;&gt;"",IF($K$7:$K$171&lt;&gt;"",ROW($K$7:$K$171)-MIN(ROW($K$7:$K$171))+1,""),""),ROW()-ROW(A$173)+1))),","),"")</f>
        <v/>
      </c>
      <c r="M244" s="0" t="str">
        <f aca="false">IFERROR(CONCATENATE((INDEX($A$7:$A$171,SMALL(IF($N$7:$N$171&lt;&gt;"",IF($K$7:$K$171&lt;&gt;"",ROW($K$7:$K$171)-MIN(ROW($K$7:$K$171))+1,""),""),ROW()-ROW(A$173)+1))),),"")</f>
        <v/>
      </c>
      <c r="Q244" s="0" t="str">
        <f aca="false">IFERROR(CONCATENATE((INDEX($T$7:$T$171,SMALL(IF($T$7:$T$171&lt;&gt;"",IF($Q$7:$Q$171&lt;&gt;"",ROW($Q$7:$Q$171)-MIN(ROW($Q$7:$Q$171))+1,""),""),ROW()-ROW(A$173)+1)))," "),"")</f>
        <v/>
      </c>
      <c r="R244" s="0" t="str">
        <f aca="false">IFERROR(CONCATENATE(TEXT(INDEX($Q$7:$Q$171,SMALL(IF($T$7:$T$171&lt;&gt;"",IF($Q$7:$Q$171&lt;&gt;"",ROW($Q$7:$Q$171)-MIN(ROW($Q$7:$Q$171))+1,""),""),ROW()-ROW(A$173)+1)),"##0")," "),"")</f>
        <v/>
      </c>
      <c r="S244" s="0" t="str">
        <f aca="false">IFERROR(CONCATENATE((INDEX($A$7:$A$171,SMALL(IF($T$7:$T$171&lt;&gt;"",IF($Q$7:$Q$171&lt;&gt;"",ROW($Q$7:$Q$171)-MIN(ROW($Q$7:$Q$171))+1,""),""),ROW()-ROW(A$173)+1))),),"")</f>
        <v/>
      </c>
      <c r="W244" s="0" t="str">
        <f aca="false">IFERROR(CONCATENATE((INDEX($Z$7:$Z$171,SMALL(IF($Z$7:$Z$171&lt;&gt;"",IF($W$7:$W$171&lt;&gt;"",ROW($W$7:$W$171)-MIN(ROW($W$7:$W$171))+1,""),""),ROW()-ROW(A$173)+1))),","),"")</f>
        <v/>
      </c>
      <c r="X244" s="0" t="str">
        <f aca="false">IFERROR(CONCATENATE(TEXT(INDEX($W$7:$W$171,SMALL(IF($Z$7:$Z$171&lt;&gt;"",IF($W$7:$W$171&lt;&gt;"",ROW($W$7:$W$171)-MIN(ROW($W$7:$W$171))+1,""),""),ROW()-ROW(A$173)+1)),"##0"),","),"")</f>
        <v/>
      </c>
      <c r="Y244" s="0" t="str">
        <f aca="false">IFERROR(CONCATENATE((INDEX($A$7:$A$171,SMALL(IF($Z$7:$Z$171&lt;&gt;"",IF($W$7:$W$171&lt;&gt;"",ROW($W$7:$W$171)-MIN(ROW($W$7:$W$171))+1,""),""),ROW()-ROW(A$173)+1))),),"")</f>
        <v/>
      </c>
    </row>
    <row r="245" customFormat="false" ht="15" hidden="false" customHeight="false" outlineLevel="0" collapsed="false">
      <c r="K245" s="0" t="str">
        <f aca="false">IFERROR(CONCATENATE(TEXT(INDEX($K$7:$K$171,SMALL(IF($N$7:$N$171&lt;&gt;"",IF($K$7:$K$171&lt;&gt;"",ROW($K$7:$K$171)-MIN(ROW($K$7:$K$171))+1,""),""),ROW()-ROW(A$173)+1)),"##0"),","),"")</f>
        <v/>
      </c>
      <c r="L245" s="0" t="str">
        <f aca="false">IFERROR(CONCATENATE((INDEX($N$7:$N$171,SMALL(IF($N$7:$N$171&lt;&gt;"",IF($K$7:$K$171&lt;&gt;"",ROW($K$7:$K$171)-MIN(ROW($K$7:$K$171))+1,""),""),ROW()-ROW(A$173)+1))),","),"")</f>
        <v/>
      </c>
      <c r="M245" s="0" t="str">
        <f aca="false">IFERROR(CONCATENATE((INDEX($A$7:$A$171,SMALL(IF($N$7:$N$171&lt;&gt;"",IF($K$7:$K$171&lt;&gt;"",ROW($K$7:$K$171)-MIN(ROW($K$7:$K$171))+1,""),""),ROW()-ROW(A$173)+1))),),"")</f>
        <v/>
      </c>
      <c r="Q245" s="0" t="str">
        <f aca="false">IFERROR(CONCATENATE((INDEX($T$7:$T$171,SMALL(IF($T$7:$T$171&lt;&gt;"",IF($Q$7:$Q$171&lt;&gt;"",ROW($Q$7:$Q$171)-MIN(ROW($Q$7:$Q$171))+1,""),""),ROW()-ROW(A$173)+1)))," "),"")</f>
        <v/>
      </c>
      <c r="R245" s="0" t="str">
        <f aca="false">IFERROR(CONCATENATE(TEXT(INDEX($Q$7:$Q$171,SMALL(IF($T$7:$T$171&lt;&gt;"",IF($Q$7:$Q$171&lt;&gt;"",ROW($Q$7:$Q$171)-MIN(ROW($Q$7:$Q$171))+1,""),""),ROW()-ROW(A$173)+1)),"##0")," "),"")</f>
        <v/>
      </c>
      <c r="S245" s="0" t="str">
        <f aca="false">IFERROR(CONCATENATE((INDEX($A$7:$A$171,SMALL(IF($T$7:$T$171&lt;&gt;"",IF($Q$7:$Q$171&lt;&gt;"",ROW($Q$7:$Q$171)-MIN(ROW($Q$7:$Q$171))+1,""),""),ROW()-ROW(A$173)+1))),),"")</f>
        <v/>
      </c>
      <c r="W245" s="0" t="str">
        <f aca="false">IFERROR(CONCATENATE((INDEX($Z$7:$Z$171,SMALL(IF($Z$7:$Z$171&lt;&gt;"",IF($W$7:$W$171&lt;&gt;"",ROW($W$7:$W$171)-MIN(ROW($W$7:$W$171))+1,""),""),ROW()-ROW(A$173)+1))),","),"")</f>
        <v/>
      </c>
      <c r="X245" s="0" t="str">
        <f aca="false">IFERROR(CONCATENATE(TEXT(INDEX($W$7:$W$171,SMALL(IF($Z$7:$Z$171&lt;&gt;"",IF($W$7:$W$171&lt;&gt;"",ROW($W$7:$W$171)-MIN(ROW($W$7:$W$171))+1,""),""),ROW()-ROW(A$173)+1)),"##0"),","),"")</f>
        <v/>
      </c>
      <c r="Y245" s="0" t="str">
        <f aca="false">IFERROR(CONCATENATE((INDEX($A$7:$A$171,SMALL(IF($Z$7:$Z$171&lt;&gt;"",IF($W$7:$W$171&lt;&gt;"",ROW($W$7:$W$171)-MIN(ROW($W$7:$W$171))+1,""),""),ROW()-ROW(A$173)+1))),),"")</f>
        <v/>
      </c>
    </row>
    <row r="246" customFormat="false" ht="15" hidden="false" customHeight="false" outlineLevel="0" collapsed="false">
      <c r="K246" s="0" t="str">
        <f aca="false">IFERROR(CONCATENATE(TEXT(INDEX($K$7:$K$171,SMALL(IF($N$7:$N$171&lt;&gt;"",IF($K$7:$K$171&lt;&gt;"",ROW($K$7:$K$171)-MIN(ROW($K$7:$K$171))+1,""),""),ROW()-ROW(A$173)+1)),"##0"),","),"")</f>
        <v/>
      </c>
      <c r="L246" s="0" t="str">
        <f aca="false">IFERROR(CONCATENATE((INDEX($N$7:$N$171,SMALL(IF($N$7:$N$171&lt;&gt;"",IF($K$7:$K$171&lt;&gt;"",ROW($K$7:$K$171)-MIN(ROW($K$7:$K$171))+1,""),""),ROW()-ROW(A$173)+1))),","),"")</f>
        <v/>
      </c>
      <c r="M246" s="0" t="str">
        <f aca="false">IFERROR(CONCATENATE((INDEX($A$7:$A$171,SMALL(IF($N$7:$N$171&lt;&gt;"",IF($K$7:$K$171&lt;&gt;"",ROW($K$7:$K$171)-MIN(ROW($K$7:$K$171))+1,""),""),ROW()-ROW(A$173)+1))),),"")</f>
        <v/>
      </c>
      <c r="Q246" s="0" t="str">
        <f aca="false">IFERROR(CONCATENATE((INDEX($T$7:$T$171,SMALL(IF($T$7:$T$171&lt;&gt;"",IF($Q$7:$Q$171&lt;&gt;"",ROW($Q$7:$Q$171)-MIN(ROW($Q$7:$Q$171))+1,""),""),ROW()-ROW(A$173)+1)))," "),"")</f>
        <v/>
      </c>
      <c r="R246" s="0" t="str">
        <f aca="false">IFERROR(CONCATENATE(TEXT(INDEX($Q$7:$Q$171,SMALL(IF($T$7:$T$171&lt;&gt;"",IF($Q$7:$Q$171&lt;&gt;"",ROW($Q$7:$Q$171)-MIN(ROW($Q$7:$Q$171))+1,""),""),ROW()-ROW(A$173)+1)),"##0")," "),"")</f>
        <v/>
      </c>
      <c r="S246" s="0" t="str">
        <f aca="false">IFERROR(CONCATENATE((INDEX($A$7:$A$171,SMALL(IF($T$7:$T$171&lt;&gt;"",IF($Q$7:$Q$171&lt;&gt;"",ROW($Q$7:$Q$171)-MIN(ROW($Q$7:$Q$171))+1,""),""),ROW()-ROW(A$173)+1))),),"")</f>
        <v/>
      </c>
      <c r="W246" s="0" t="str">
        <f aca="false">IFERROR(CONCATENATE((INDEX($Z$7:$Z$171,SMALL(IF($Z$7:$Z$171&lt;&gt;"",IF($W$7:$W$171&lt;&gt;"",ROW($W$7:$W$171)-MIN(ROW($W$7:$W$171))+1,""),""),ROW()-ROW(A$173)+1))),","),"")</f>
        <v/>
      </c>
      <c r="X246" s="0" t="str">
        <f aca="false">IFERROR(CONCATENATE(TEXT(INDEX($W$7:$W$171,SMALL(IF($Z$7:$Z$171&lt;&gt;"",IF($W$7:$W$171&lt;&gt;"",ROW($W$7:$W$171)-MIN(ROW($W$7:$W$171))+1,""),""),ROW()-ROW(A$173)+1)),"##0"),","),"")</f>
        <v/>
      </c>
      <c r="Y246" s="0" t="str">
        <f aca="false">IFERROR(CONCATENATE((INDEX($A$7:$A$171,SMALL(IF($Z$7:$Z$171&lt;&gt;"",IF($W$7:$W$171&lt;&gt;"",ROW($W$7:$W$171)-MIN(ROW($W$7:$W$171))+1,""),""),ROW()-ROW(A$173)+1))),),"")</f>
        <v/>
      </c>
    </row>
    <row r="247" customFormat="false" ht="15" hidden="false" customHeight="false" outlineLevel="0" collapsed="false">
      <c r="K247" s="0" t="str">
        <f aca="false">IFERROR(CONCATENATE(TEXT(INDEX($K$7:$K$171,SMALL(IF($N$7:$N$171&lt;&gt;"",IF($K$7:$K$171&lt;&gt;"",ROW($K$7:$K$171)-MIN(ROW($K$7:$K$171))+1,""),""),ROW()-ROW(A$173)+1)),"##0"),","),"")</f>
        <v/>
      </c>
      <c r="L247" s="0" t="str">
        <f aca="false">IFERROR(CONCATENATE((INDEX($N$7:$N$171,SMALL(IF($N$7:$N$171&lt;&gt;"",IF($K$7:$K$171&lt;&gt;"",ROW($K$7:$K$171)-MIN(ROW($K$7:$K$171))+1,""),""),ROW()-ROW(A$173)+1))),","),"")</f>
        <v/>
      </c>
      <c r="M247" s="0" t="str">
        <f aca="false">IFERROR(CONCATENATE((INDEX($A$7:$A$171,SMALL(IF($N$7:$N$171&lt;&gt;"",IF($K$7:$K$171&lt;&gt;"",ROW($K$7:$K$171)-MIN(ROW($K$7:$K$171))+1,""),""),ROW()-ROW(A$173)+1))),),"")</f>
        <v/>
      </c>
      <c r="Q247" s="0" t="str">
        <f aca="false">IFERROR(CONCATENATE((INDEX($T$7:$T$171,SMALL(IF($T$7:$T$171&lt;&gt;"",IF($Q$7:$Q$171&lt;&gt;"",ROW($Q$7:$Q$171)-MIN(ROW($Q$7:$Q$171))+1,""),""),ROW()-ROW(A$173)+1)))," "),"")</f>
        <v/>
      </c>
      <c r="R247" s="0" t="str">
        <f aca="false">IFERROR(CONCATENATE(TEXT(INDEX($Q$7:$Q$171,SMALL(IF($T$7:$T$171&lt;&gt;"",IF($Q$7:$Q$171&lt;&gt;"",ROW($Q$7:$Q$171)-MIN(ROW($Q$7:$Q$171))+1,""),""),ROW()-ROW(A$173)+1)),"##0")," "),"")</f>
        <v/>
      </c>
      <c r="S247" s="0" t="str">
        <f aca="false">IFERROR(CONCATENATE((INDEX($A$7:$A$171,SMALL(IF($T$7:$T$171&lt;&gt;"",IF($Q$7:$Q$171&lt;&gt;"",ROW($Q$7:$Q$171)-MIN(ROW($Q$7:$Q$171))+1,""),""),ROW()-ROW(A$173)+1))),),"")</f>
        <v/>
      </c>
      <c r="W247" s="0" t="str">
        <f aca="false">IFERROR(CONCATENATE((INDEX($Z$7:$Z$171,SMALL(IF($Z$7:$Z$171&lt;&gt;"",IF($W$7:$W$171&lt;&gt;"",ROW($W$7:$W$171)-MIN(ROW($W$7:$W$171))+1,""),""),ROW()-ROW(A$173)+1))),","),"")</f>
        <v/>
      </c>
      <c r="X247" s="0" t="str">
        <f aca="false">IFERROR(CONCATENATE(TEXT(INDEX($W$7:$W$171,SMALL(IF($Z$7:$Z$171&lt;&gt;"",IF($W$7:$W$171&lt;&gt;"",ROW($W$7:$W$171)-MIN(ROW($W$7:$W$171))+1,""),""),ROW()-ROW(A$173)+1)),"##0"),","),"")</f>
        <v/>
      </c>
      <c r="Y247" s="0" t="str">
        <f aca="false">IFERROR(CONCATENATE((INDEX($A$7:$A$171,SMALL(IF($Z$7:$Z$171&lt;&gt;"",IF($W$7:$W$171&lt;&gt;"",ROW($W$7:$W$171)-MIN(ROW($W$7:$W$171))+1,""),""),ROW()-ROW(A$173)+1))),),"")</f>
        <v/>
      </c>
    </row>
    <row r="248" customFormat="false" ht="15" hidden="false" customHeight="false" outlineLevel="0" collapsed="false">
      <c r="K248" s="0" t="str">
        <f aca="false">IFERROR(CONCATENATE(TEXT(INDEX($K$7:$K$171,SMALL(IF($N$7:$N$171&lt;&gt;"",IF($K$7:$K$171&lt;&gt;"",ROW($K$7:$K$171)-MIN(ROW($K$7:$K$171))+1,""),""),ROW()-ROW(A$173)+1)),"##0"),","),"")</f>
        <v/>
      </c>
      <c r="L248" s="0" t="str">
        <f aca="false">IFERROR(CONCATENATE((INDEX($N$7:$N$171,SMALL(IF($N$7:$N$171&lt;&gt;"",IF($K$7:$K$171&lt;&gt;"",ROW($K$7:$K$171)-MIN(ROW($K$7:$K$171))+1,""),""),ROW()-ROW(A$173)+1))),","),"")</f>
        <v/>
      </c>
      <c r="M248" s="0" t="str">
        <f aca="false">IFERROR(CONCATENATE((INDEX($A$7:$A$171,SMALL(IF($N$7:$N$171&lt;&gt;"",IF($K$7:$K$171&lt;&gt;"",ROW($K$7:$K$171)-MIN(ROW($K$7:$K$171))+1,""),""),ROW()-ROW(A$173)+1))),),"")</f>
        <v/>
      </c>
      <c r="Q248" s="0" t="str">
        <f aca="false">IFERROR(CONCATENATE((INDEX($T$7:$T$171,SMALL(IF($T$7:$T$171&lt;&gt;"",IF($Q$7:$Q$171&lt;&gt;"",ROW($Q$7:$Q$171)-MIN(ROW($Q$7:$Q$171))+1,""),""),ROW()-ROW(A$173)+1)))," "),"")</f>
        <v/>
      </c>
      <c r="R248" s="0" t="str">
        <f aca="false">IFERROR(CONCATENATE(TEXT(INDEX($Q$7:$Q$171,SMALL(IF($T$7:$T$171&lt;&gt;"",IF($Q$7:$Q$171&lt;&gt;"",ROW($Q$7:$Q$171)-MIN(ROW($Q$7:$Q$171))+1,""),""),ROW()-ROW(A$173)+1)),"##0")," "),"")</f>
        <v/>
      </c>
      <c r="S248" s="0" t="str">
        <f aca="false">IFERROR(CONCATENATE((INDEX($A$7:$A$171,SMALL(IF($T$7:$T$171&lt;&gt;"",IF($Q$7:$Q$171&lt;&gt;"",ROW($Q$7:$Q$171)-MIN(ROW($Q$7:$Q$171))+1,""),""),ROW()-ROW(A$173)+1))),),"")</f>
        <v/>
      </c>
      <c r="W248" s="0" t="str">
        <f aca="false">IFERROR(CONCATENATE((INDEX($Z$7:$Z$171,SMALL(IF($Z$7:$Z$171&lt;&gt;"",IF($W$7:$W$171&lt;&gt;"",ROW($W$7:$W$171)-MIN(ROW($W$7:$W$171))+1,""),""),ROW()-ROW(A$173)+1))),","),"")</f>
        <v/>
      </c>
      <c r="X248" s="0" t="str">
        <f aca="false">IFERROR(CONCATENATE(TEXT(INDEX($W$7:$W$171,SMALL(IF($Z$7:$Z$171&lt;&gt;"",IF($W$7:$W$171&lt;&gt;"",ROW($W$7:$W$171)-MIN(ROW($W$7:$W$171))+1,""),""),ROW()-ROW(A$173)+1)),"##0"),","),"")</f>
        <v/>
      </c>
      <c r="Y248" s="0" t="str">
        <f aca="false">IFERROR(CONCATENATE((INDEX($A$7:$A$171,SMALL(IF($Z$7:$Z$171&lt;&gt;"",IF($W$7:$W$171&lt;&gt;"",ROW($W$7:$W$171)-MIN(ROW($W$7:$W$171))+1,""),""),ROW()-ROW(A$173)+1))),),"")</f>
        <v/>
      </c>
    </row>
    <row r="249" customFormat="false" ht="15" hidden="false" customHeight="false" outlineLevel="0" collapsed="false">
      <c r="K249" s="0" t="str">
        <f aca="false">IFERROR(CONCATENATE(TEXT(INDEX($K$7:$K$171,SMALL(IF($N$7:$N$171&lt;&gt;"",IF($K$7:$K$171&lt;&gt;"",ROW($K$7:$K$171)-MIN(ROW($K$7:$K$171))+1,""),""),ROW()-ROW(A$173)+1)),"##0"),","),"")</f>
        <v/>
      </c>
      <c r="L249" s="0" t="str">
        <f aca="false">IFERROR(CONCATENATE((INDEX($N$7:$N$171,SMALL(IF($N$7:$N$171&lt;&gt;"",IF($K$7:$K$171&lt;&gt;"",ROW($K$7:$K$171)-MIN(ROW($K$7:$K$171))+1,""),""),ROW()-ROW(A$173)+1))),","),"")</f>
        <v/>
      </c>
      <c r="M249" s="0" t="str">
        <f aca="false">IFERROR(CONCATENATE((INDEX($A$7:$A$171,SMALL(IF($N$7:$N$171&lt;&gt;"",IF($K$7:$K$171&lt;&gt;"",ROW($K$7:$K$171)-MIN(ROW($K$7:$K$171))+1,""),""),ROW()-ROW(A$173)+1))),),"")</f>
        <v/>
      </c>
      <c r="Q249" s="0" t="str">
        <f aca="false">IFERROR(CONCATENATE((INDEX($T$7:$T$171,SMALL(IF($T$7:$T$171&lt;&gt;"",IF($Q$7:$Q$171&lt;&gt;"",ROW($Q$7:$Q$171)-MIN(ROW($Q$7:$Q$171))+1,""),""),ROW()-ROW(A$173)+1)))," "),"")</f>
        <v/>
      </c>
      <c r="R249" s="0" t="str">
        <f aca="false">IFERROR(CONCATENATE(TEXT(INDEX($Q$7:$Q$171,SMALL(IF($T$7:$T$171&lt;&gt;"",IF($Q$7:$Q$171&lt;&gt;"",ROW($Q$7:$Q$171)-MIN(ROW($Q$7:$Q$171))+1,""),""),ROW()-ROW(A$173)+1)),"##0")," "),"")</f>
        <v/>
      </c>
      <c r="S249" s="0" t="str">
        <f aca="false">IFERROR(CONCATENATE((INDEX($A$7:$A$171,SMALL(IF($T$7:$T$171&lt;&gt;"",IF($Q$7:$Q$171&lt;&gt;"",ROW($Q$7:$Q$171)-MIN(ROW($Q$7:$Q$171))+1,""),""),ROW()-ROW(A$173)+1))),),"")</f>
        <v/>
      </c>
      <c r="W249" s="0" t="str">
        <f aca="false">IFERROR(CONCATENATE((INDEX($Z$7:$Z$171,SMALL(IF($Z$7:$Z$171&lt;&gt;"",IF($W$7:$W$171&lt;&gt;"",ROW($W$7:$W$171)-MIN(ROW($W$7:$W$171))+1,""),""),ROW()-ROW(A$173)+1))),","),"")</f>
        <v/>
      </c>
      <c r="X249" s="0" t="str">
        <f aca="false">IFERROR(CONCATENATE(TEXT(INDEX($W$7:$W$171,SMALL(IF($Z$7:$Z$171&lt;&gt;"",IF($W$7:$W$171&lt;&gt;"",ROW($W$7:$W$171)-MIN(ROW($W$7:$W$171))+1,""),""),ROW()-ROW(A$173)+1)),"##0"),","),"")</f>
        <v/>
      </c>
      <c r="Y249" s="0" t="str">
        <f aca="false">IFERROR(CONCATENATE((INDEX($A$7:$A$171,SMALL(IF($Z$7:$Z$171&lt;&gt;"",IF($W$7:$W$171&lt;&gt;"",ROW($W$7:$W$171)-MIN(ROW($W$7:$W$171))+1,""),""),ROW()-ROW(A$173)+1))),),"")</f>
        <v/>
      </c>
    </row>
    <row r="250" customFormat="false" ht="15" hidden="false" customHeight="false" outlineLevel="0" collapsed="false">
      <c r="K250" s="0" t="str">
        <f aca="false">IFERROR(CONCATENATE(TEXT(INDEX($K$7:$K$171,SMALL(IF($N$7:$N$171&lt;&gt;"",IF($K$7:$K$171&lt;&gt;"",ROW($K$7:$K$171)-MIN(ROW($K$7:$K$171))+1,""),""),ROW()-ROW(A$173)+1)),"##0"),","),"")</f>
        <v/>
      </c>
      <c r="L250" s="0" t="str">
        <f aca="false">IFERROR(CONCATENATE((INDEX($N$7:$N$171,SMALL(IF($N$7:$N$171&lt;&gt;"",IF($K$7:$K$171&lt;&gt;"",ROW($K$7:$K$171)-MIN(ROW($K$7:$K$171))+1,""),""),ROW()-ROW(A$173)+1))),","),"")</f>
        <v/>
      </c>
      <c r="M250" s="0" t="str">
        <f aca="false">IFERROR(CONCATENATE((INDEX($A$7:$A$171,SMALL(IF($N$7:$N$171&lt;&gt;"",IF($K$7:$K$171&lt;&gt;"",ROW($K$7:$K$171)-MIN(ROW($K$7:$K$171))+1,""),""),ROW()-ROW(A$173)+1))),),"")</f>
        <v/>
      </c>
      <c r="Q250" s="0" t="str">
        <f aca="false">IFERROR(CONCATENATE((INDEX($T$7:$T$171,SMALL(IF($T$7:$T$171&lt;&gt;"",IF($Q$7:$Q$171&lt;&gt;"",ROW($Q$7:$Q$171)-MIN(ROW($Q$7:$Q$171))+1,""),""),ROW()-ROW(A$173)+1)))," "),"")</f>
        <v/>
      </c>
      <c r="R250" s="0" t="str">
        <f aca="false">IFERROR(CONCATENATE(TEXT(INDEX($Q$7:$Q$171,SMALL(IF($T$7:$T$171&lt;&gt;"",IF($Q$7:$Q$171&lt;&gt;"",ROW($Q$7:$Q$171)-MIN(ROW($Q$7:$Q$171))+1,""),""),ROW()-ROW(A$173)+1)),"##0")," "),"")</f>
        <v/>
      </c>
      <c r="S250" s="0" t="str">
        <f aca="false">IFERROR(CONCATENATE((INDEX($A$7:$A$171,SMALL(IF($T$7:$T$171&lt;&gt;"",IF($Q$7:$Q$171&lt;&gt;"",ROW($Q$7:$Q$171)-MIN(ROW($Q$7:$Q$171))+1,""),""),ROW()-ROW(A$173)+1))),),"")</f>
        <v/>
      </c>
      <c r="W250" s="0" t="str">
        <f aca="false">IFERROR(CONCATENATE((INDEX($Z$7:$Z$171,SMALL(IF($Z$7:$Z$171&lt;&gt;"",IF($W$7:$W$171&lt;&gt;"",ROW($W$7:$W$171)-MIN(ROW($W$7:$W$171))+1,""),""),ROW()-ROW(A$173)+1))),","),"")</f>
        <v/>
      </c>
      <c r="X250" s="0" t="str">
        <f aca="false">IFERROR(CONCATENATE(TEXT(INDEX($W$7:$W$171,SMALL(IF($Z$7:$Z$171&lt;&gt;"",IF($W$7:$W$171&lt;&gt;"",ROW($W$7:$W$171)-MIN(ROW($W$7:$W$171))+1,""),""),ROW()-ROW(A$173)+1)),"##0"),","),"")</f>
        <v/>
      </c>
      <c r="Y250" s="0" t="str">
        <f aca="false">IFERROR(CONCATENATE((INDEX($A$7:$A$171,SMALL(IF($Z$7:$Z$171&lt;&gt;"",IF($W$7:$W$171&lt;&gt;"",ROW($W$7:$W$171)-MIN(ROW($W$7:$W$171))+1,""),""),ROW()-ROW(A$173)+1))),),"")</f>
        <v/>
      </c>
    </row>
    <row r="251" customFormat="false" ht="15" hidden="false" customHeight="false" outlineLevel="0" collapsed="false">
      <c r="K251" s="0" t="str">
        <f aca="false">IFERROR(CONCATENATE(TEXT(INDEX($K$7:$K$171,SMALL(IF($N$7:$N$171&lt;&gt;"",IF($K$7:$K$171&lt;&gt;"",ROW($K$7:$K$171)-MIN(ROW($K$7:$K$171))+1,""),""),ROW()-ROW(A$173)+1)),"##0"),","),"")</f>
        <v/>
      </c>
      <c r="L251" s="0" t="str">
        <f aca="false">IFERROR(CONCATENATE((INDEX($N$7:$N$171,SMALL(IF($N$7:$N$171&lt;&gt;"",IF($K$7:$K$171&lt;&gt;"",ROW($K$7:$K$171)-MIN(ROW($K$7:$K$171))+1,""),""),ROW()-ROW(A$173)+1))),","),"")</f>
        <v/>
      </c>
      <c r="M251" s="0" t="str">
        <f aca="false">IFERROR(CONCATENATE((INDEX($A$7:$A$171,SMALL(IF($N$7:$N$171&lt;&gt;"",IF($K$7:$K$171&lt;&gt;"",ROW($K$7:$K$171)-MIN(ROW($K$7:$K$171))+1,""),""),ROW()-ROW(A$173)+1))),),"")</f>
        <v/>
      </c>
      <c r="Q251" s="0" t="str">
        <f aca="false">IFERROR(CONCATENATE((INDEX($T$7:$T$171,SMALL(IF($T$7:$T$171&lt;&gt;"",IF($Q$7:$Q$171&lt;&gt;"",ROW($Q$7:$Q$171)-MIN(ROW($Q$7:$Q$171))+1,""),""),ROW()-ROW(A$173)+1)))," "),"")</f>
        <v/>
      </c>
      <c r="R251" s="0" t="str">
        <f aca="false">IFERROR(CONCATENATE(TEXT(INDEX($Q$7:$Q$171,SMALL(IF($T$7:$T$171&lt;&gt;"",IF($Q$7:$Q$171&lt;&gt;"",ROW($Q$7:$Q$171)-MIN(ROW($Q$7:$Q$171))+1,""),""),ROW()-ROW(A$173)+1)),"##0")," "),"")</f>
        <v/>
      </c>
      <c r="S251" s="0" t="str">
        <f aca="false">IFERROR(CONCATENATE((INDEX($A$7:$A$171,SMALL(IF($T$7:$T$171&lt;&gt;"",IF($Q$7:$Q$171&lt;&gt;"",ROW($Q$7:$Q$171)-MIN(ROW($Q$7:$Q$171))+1,""),""),ROW()-ROW(A$173)+1))),),"")</f>
        <v/>
      </c>
      <c r="W251" s="0" t="str">
        <f aca="false">IFERROR(CONCATENATE((INDEX($Z$7:$Z$171,SMALL(IF($Z$7:$Z$171&lt;&gt;"",IF($W$7:$W$171&lt;&gt;"",ROW($W$7:$W$171)-MIN(ROW($W$7:$W$171))+1,""),""),ROW()-ROW(A$173)+1))),","),"")</f>
        <v/>
      </c>
      <c r="X251" s="0" t="str">
        <f aca="false">IFERROR(CONCATENATE(TEXT(INDEX($W$7:$W$171,SMALL(IF($Z$7:$Z$171&lt;&gt;"",IF($W$7:$W$171&lt;&gt;"",ROW($W$7:$W$171)-MIN(ROW($W$7:$W$171))+1,""),""),ROW()-ROW(A$173)+1)),"##0"),","),"")</f>
        <v/>
      </c>
      <c r="Y251" s="0" t="str">
        <f aca="false">IFERROR(CONCATENATE((INDEX($A$7:$A$171,SMALL(IF($Z$7:$Z$171&lt;&gt;"",IF($W$7:$W$171&lt;&gt;"",ROW($W$7:$W$171)-MIN(ROW($W$7:$W$171))+1,""),""),ROW()-ROW(A$173)+1))),),"")</f>
        <v/>
      </c>
    </row>
    <row r="252" customFormat="false" ht="15" hidden="false" customHeight="false" outlineLevel="0" collapsed="false">
      <c r="K252" s="0" t="str">
        <f aca="false">IFERROR(CONCATENATE(TEXT(INDEX($K$7:$K$171,SMALL(IF($N$7:$N$171&lt;&gt;"",IF($K$7:$K$171&lt;&gt;"",ROW($K$7:$K$171)-MIN(ROW($K$7:$K$171))+1,""),""),ROW()-ROW(A$173)+1)),"##0"),","),"")</f>
        <v/>
      </c>
      <c r="L252" s="0" t="str">
        <f aca="false">IFERROR(CONCATENATE((INDEX($N$7:$N$171,SMALL(IF($N$7:$N$171&lt;&gt;"",IF($K$7:$K$171&lt;&gt;"",ROW($K$7:$K$171)-MIN(ROW($K$7:$K$171))+1,""),""),ROW()-ROW(A$173)+1))),","),"")</f>
        <v/>
      </c>
      <c r="M252" s="0" t="str">
        <f aca="false">IFERROR(CONCATENATE((INDEX($A$7:$A$171,SMALL(IF($N$7:$N$171&lt;&gt;"",IF($K$7:$K$171&lt;&gt;"",ROW($K$7:$K$171)-MIN(ROW($K$7:$K$171))+1,""),""),ROW()-ROW(A$173)+1))),),"")</f>
        <v/>
      </c>
      <c r="Q252" s="0" t="str">
        <f aca="false">IFERROR(CONCATENATE((INDEX($T$7:$T$171,SMALL(IF($T$7:$T$171&lt;&gt;"",IF($Q$7:$Q$171&lt;&gt;"",ROW($Q$7:$Q$171)-MIN(ROW($Q$7:$Q$171))+1,""),""),ROW()-ROW(A$173)+1)))," "),"")</f>
        <v/>
      </c>
      <c r="R252" s="0" t="str">
        <f aca="false">IFERROR(CONCATENATE(TEXT(INDEX($Q$7:$Q$171,SMALL(IF($T$7:$T$171&lt;&gt;"",IF($Q$7:$Q$171&lt;&gt;"",ROW($Q$7:$Q$171)-MIN(ROW($Q$7:$Q$171))+1,""),""),ROW()-ROW(A$173)+1)),"##0")," "),"")</f>
        <v/>
      </c>
      <c r="S252" s="0" t="str">
        <f aca="false">IFERROR(CONCATENATE((INDEX($A$7:$A$171,SMALL(IF($T$7:$T$171&lt;&gt;"",IF($Q$7:$Q$171&lt;&gt;"",ROW($Q$7:$Q$171)-MIN(ROW($Q$7:$Q$171))+1,""),""),ROW()-ROW(A$173)+1))),),"")</f>
        <v/>
      </c>
      <c r="W252" s="0" t="str">
        <f aca="false">IFERROR(CONCATENATE((INDEX($Z$7:$Z$171,SMALL(IF($Z$7:$Z$171&lt;&gt;"",IF($W$7:$W$171&lt;&gt;"",ROW($W$7:$W$171)-MIN(ROW($W$7:$W$171))+1,""),""),ROW()-ROW(A$173)+1))),","),"")</f>
        <v/>
      </c>
      <c r="X252" s="0" t="str">
        <f aca="false">IFERROR(CONCATENATE(TEXT(INDEX($W$7:$W$171,SMALL(IF($Z$7:$Z$171&lt;&gt;"",IF($W$7:$W$171&lt;&gt;"",ROW($W$7:$W$171)-MIN(ROW($W$7:$W$171))+1,""),""),ROW()-ROW(A$173)+1)),"##0"),","),"")</f>
        <v/>
      </c>
      <c r="Y252" s="0" t="str">
        <f aca="false">IFERROR(CONCATENATE((INDEX($A$7:$A$171,SMALL(IF($Z$7:$Z$171&lt;&gt;"",IF($W$7:$W$171&lt;&gt;"",ROW($W$7:$W$171)-MIN(ROW($W$7:$W$171))+1,""),""),ROW()-ROW(A$173)+1))),),"")</f>
        <v/>
      </c>
    </row>
    <row r="253" customFormat="false" ht="15" hidden="false" customHeight="false" outlineLevel="0" collapsed="false">
      <c r="K253" s="0" t="str">
        <f aca="false">IFERROR(CONCATENATE(TEXT(INDEX($K$7:$K$171,SMALL(IF($N$7:$N$171&lt;&gt;"",IF($K$7:$K$171&lt;&gt;"",ROW($K$7:$K$171)-MIN(ROW($K$7:$K$171))+1,""),""),ROW()-ROW(A$173)+1)),"##0"),","),"")</f>
        <v/>
      </c>
      <c r="L253" s="0" t="str">
        <f aca="false">IFERROR(CONCATENATE((INDEX($N$7:$N$171,SMALL(IF($N$7:$N$171&lt;&gt;"",IF($K$7:$K$171&lt;&gt;"",ROW($K$7:$K$171)-MIN(ROW($K$7:$K$171))+1,""),""),ROW()-ROW(A$173)+1))),","),"")</f>
        <v/>
      </c>
      <c r="M253" s="0" t="str">
        <f aca="false">IFERROR(CONCATENATE((INDEX($A$7:$A$171,SMALL(IF($N$7:$N$171&lt;&gt;"",IF($K$7:$K$171&lt;&gt;"",ROW($K$7:$K$171)-MIN(ROW($K$7:$K$171))+1,""),""),ROW()-ROW(A$173)+1))),),"")</f>
        <v/>
      </c>
      <c r="Q253" s="0" t="str">
        <f aca="false">IFERROR(CONCATENATE((INDEX($T$7:$T$171,SMALL(IF($T$7:$T$171&lt;&gt;"",IF($Q$7:$Q$171&lt;&gt;"",ROW($Q$7:$Q$171)-MIN(ROW($Q$7:$Q$171))+1,""),""),ROW()-ROW(A$173)+1)))," "),"")</f>
        <v/>
      </c>
      <c r="R253" s="0" t="str">
        <f aca="false">IFERROR(CONCATENATE(TEXT(INDEX($Q$7:$Q$171,SMALL(IF($T$7:$T$171&lt;&gt;"",IF($Q$7:$Q$171&lt;&gt;"",ROW($Q$7:$Q$171)-MIN(ROW($Q$7:$Q$171))+1,""),""),ROW()-ROW(A$173)+1)),"##0")," "),"")</f>
        <v/>
      </c>
      <c r="S253" s="0" t="str">
        <f aca="false">IFERROR(CONCATENATE((INDEX($A$7:$A$171,SMALL(IF($T$7:$T$171&lt;&gt;"",IF($Q$7:$Q$171&lt;&gt;"",ROW($Q$7:$Q$171)-MIN(ROW($Q$7:$Q$171))+1,""),""),ROW()-ROW(A$173)+1))),),"")</f>
        <v/>
      </c>
      <c r="W253" s="0" t="str">
        <f aca="false">IFERROR(CONCATENATE((INDEX($Z$7:$Z$171,SMALL(IF($Z$7:$Z$171&lt;&gt;"",IF($W$7:$W$171&lt;&gt;"",ROW($W$7:$W$171)-MIN(ROW($W$7:$W$171))+1,""),""),ROW()-ROW(A$173)+1))),","),"")</f>
        <v/>
      </c>
      <c r="X253" s="0" t="str">
        <f aca="false">IFERROR(CONCATENATE(TEXT(INDEX($W$7:$W$171,SMALL(IF($Z$7:$Z$171&lt;&gt;"",IF($W$7:$W$171&lt;&gt;"",ROW($W$7:$W$171)-MIN(ROW($W$7:$W$171))+1,""),""),ROW()-ROW(A$173)+1)),"##0"),","),"")</f>
        <v/>
      </c>
      <c r="Y253" s="0" t="str">
        <f aca="false">IFERROR(CONCATENATE((INDEX($A$7:$A$171,SMALL(IF($Z$7:$Z$171&lt;&gt;"",IF($W$7:$W$171&lt;&gt;"",ROW($W$7:$W$171)-MIN(ROW($W$7:$W$171))+1,""),""),ROW()-ROW(A$173)+1))),),"")</f>
        <v/>
      </c>
    </row>
    <row r="254" customFormat="false" ht="15" hidden="false" customHeight="false" outlineLevel="0" collapsed="false">
      <c r="K254" s="0" t="str">
        <f aca="false">IFERROR(CONCATENATE(TEXT(INDEX($K$7:$K$171,SMALL(IF($N$7:$N$171&lt;&gt;"",IF($K$7:$K$171&lt;&gt;"",ROW($K$7:$K$171)-MIN(ROW($K$7:$K$171))+1,""),""),ROW()-ROW(A$173)+1)),"##0"),","),"")</f>
        <v/>
      </c>
      <c r="L254" s="0" t="str">
        <f aca="false">IFERROR(CONCATENATE((INDEX($N$7:$N$171,SMALL(IF($N$7:$N$171&lt;&gt;"",IF($K$7:$K$171&lt;&gt;"",ROW($K$7:$K$171)-MIN(ROW($K$7:$K$171))+1,""),""),ROW()-ROW(A$173)+1))),","),"")</f>
        <v/>
      </c>
      <c r="M254" s="0" t="str">
        <f aca="false">IFERROR(CONCATENATE((INDEX($A$7:$A$171,SMALL(IF($N$7:$N$171&lt;&gt;"",IF($K$7:$K$171&lt;&gt;"",ROW($K$7:$K$171)-MIN(ROW($K$7:$K$171))+1,""),""),ROW()-ROW(A$173)+1))),),"")</f>
        <v/>
      </c>
      <c r="Q254" s="0" t="str">
        <f aca="false">IFERROR(CONCATENATE((INDEX($T$7:$T$171,SMALL(IF($T$7:$T$171&lt;&gt;"",IF($Q$7:$Q$171&lt;&gt;"",ROW($Q$7:$Q$171)-MIN(ROW($Q$7:$Q$171))+1,""),""),ROW()-ROW(A$173)+1)))," "),"")</f>
        <v/>
      </c>
      <c r="R254" s="0" t="str">
        <f aca="false">IFERROR(CONCATENATE(TEXT(INDEX($Q$7:$Q$171,SMALL(IF($T$7:$T$171&lt;&gt;"",IF($Q$7:$Q$171&lt;&gt;"",ROW($Q$7:$Q$171)-MIN(ROW($Q$7:$Q$171))+1,""),""),ROW()-ROW(A$173)+1)),"##0")," "),"")</f>
        <v/>
      </c>
      <c r="S254" s="0" t="str">
        <f aca="false">IFERROR(CONCATENATE((INDEX($A$7:$A$171,SMALL(IF($T$7:$T$171&lt;&gt;"",IF($Q$7:$Q$171&lt;&gt;"",ROW($Q$7:$Q$171)-MIN(ROW($Q$7:$Q$171))+1,""),""),ROW()-ROW(A$173)+1))),),"")</f>
        <v/>
      </c>
      <c r="W254" s="0" t="str">
        <f aca="false">IFERROR(CONCATENATE((INDEX($Z$7:$Z$171,SMALL(IF($Z$7:$Z$171&lt;&gt;"",IF($W$7:$W$171&lt;&gt;"",ROW($W$7:$W$171)-MIN(ROW($W$7:$W$171))+1,""),""),ROW()-ROW(A$173)+1))),","),"")</f>
        <v/>
      </c>
      <c r="X254" s="0" t="str">
        <f aca="false">IFERROR(CONCATENATE(TEXT(INDEX($W$7:$W$171,SMALL(IF($Z$7:$Z$171&lt;&gt;"",IF($W$7:$W$171&lt;&gt;"",ROW($W$7:$W$171)-MIN(ROW($W$7:$W$171))+1,""),""),ROW()-ROW(A$173)+1)),"##0"),","),"")</f>
        <v/>
      </c>
      <c r="Y254" s="0" t="str">
        <f aca="false">IFERROR(CONCATENATE((INDEX($A$7:$A$171,SMALL(IF($Z$7:$Z$171&lt;&gt;"",IF($W$7:$W$171&lt;&gt;"",ROW($W$7:$W$171)-MIN(ROW($W$7:$W$171))+1,""),""),ROW()-ROW(A$173)+1))),),"")</f>
        <v/>
      </c>
    </row>
    <row r="255" customFormat="false" ht="15" hidden="false" customHeight="false" outlineLevel="0" collapsed="false">
      <c r="K255" s="0" t="str">
        <f aca="false">IFERROR(CONCATENATE(TEXT(INDEX($K$7:$K$171,SMALL(IF($N$7:$N$171&lt;&gt;"",IF($K$7:$K$171&lt;&gt;"",ROW($K$7:$K$171)-MIN(ROW($K$7:$K$171))+1,""),""),ROW()-ROW(A$173)+1)),"##0"),","),"")</f>
        <v/>
      </c>
      <c r="L255" s="0" t="str">
        <f aca="false">IFERROR(CONCATENATE((INDEX($N$7:$N$171,SMALL(IF($N$7:$N$171&lt;&gt;"",IF($K$7:$K$171&lt;&gt;"",ROW($K$7:$K$171)-MIN(ROW($K$7:$K$171))+1,""),""),ROW()-ROW(A$173)+1))),","),"")</f>
        <v/>
      </c>
      <c r="M255" s="0" t="str">
        <f aca="false">IFERROR(CONCATENATE((INDEX($A$7:$A$171,SMALL(IF($N$7:$N$171&lt;&gt;"",IF($K$7:$K$171&lt;&gt;"",ROW($K$7:$K$171)-MIN(ROW($K$7:$K$171))+1,""),""),ROW()-ROW(A$173)+1))),),"")</f>
        <v/>
      </c>
      <c r="Q255" s="0" t="str">
        <f aca="false">IFERROR(CONCATENATE((INDEX($T$7:$T$171,SMALL(IF($T$7:$T$171&lt;&gt;"",IF($Q$7:$Q$171&lt;&gt;"",ROW($Q$7:$Q$171)-MIN(ROW($Q$7:$Q$171))+1,""),""),ROW()-ROW(A$173)+1)))," "),"")</f>
        <v/>
      </c>
      <c r="R255" s="0" t="str">
        <f aca="false">IFERROR(CONCATENATE(TEXT(INDEX($Q$7:$Q$171,SMALL(IF($T$7:$T$171&lt;&gt;"",IF($Q$7:$Q$171&lt;&gt;"",ROW($Q$7:$Q$171)-MIN(ROW($Q$7:$Q$171))+1,""),""),ROW()-ROW(A$173)+1)),"##0")," "),"")</f>
        <v/>
      </c>
      <c r="S255" s="0" t="str">
        <f aca="false">IFERROR(CONCATENATE((INDEX($A$7:$A$171,SMALL(IF($T$7:$T$171&lt;&gt;"",IF($Q$7:$Q$171&lt;&gt;"",ROW($Q$7:$Q$171)-MIN(ROW($Q$7:$Q$171))+1,""),""),ROW()-ROW(A$173)+1))),),"")</f>
        <v/>
      </c>
      <c r="W255" s="0" t="str">
        <f aca="false">IFERROR(CONCATENATE((INDEX($Z$7:$Z$171,SMALL(IF($Z$7:$Z$171&lt;&gt;"",IF($W$7:$W$171&lt;&gt;"",ROW($W$7:$W$171)-MIN(ROW($W$7:$W$171))+1,""),""),ROW()-ROW(A$173)+1))),","),"")</f>
        <v/>
      </c>
      <c r="X255" s="0" t="str">
        <f aca="false">IFERROR(CONCATENATE(TEXT(INDEX($W$7:$W$171,SMALL(IF($Z$7:$Z$171&lt;&gt;"",IF($W$7:$W$171&lt;&gt;"",ROW($W$7:$W$171)-MIN(ROW($W$7:$W$171))+1,""),""),ROW()-ROW(A$173)+1)),"##0"),","),"")</f>
        <v/>
      </c>
      <c r="Y255" s="0" t="str">
        <f aca="false">IFERROR(CONCATENATE((INDEX($A$7:$A$171,SMALL(IF($Z$7:$Z$171&lt;&gt;"",IF($W$7:$W$171&lt;&gt;"",ROW($W$7:$W$171)-MIN(ROW($W$7:$W$171))+1,""),""),ROW()-ROW(A$173)+1))),),"")</f>
        <v/>
      </c>
    </row>
    <row r="256" customFormat="false" ht="15" hidden="false" customHeight="false" outlineLevel="0" collapsed="false">
      <c r="K256" s="0" t="str">
        <f aca="false">IFERROR(CONCATENATE(TEXT(INDEX($K$7:$K$171,SMALL(IF($N$7:$N$171&lt;&gt;"",IF($K$7:$K$171&lt;&gt;"",ROW($K$7:$K$171)-MIN(ROW($K$7:$K$171))+1,""),""),ROW()-ROW(A$173)+1)),"##0"),","),"")</f>
        <v/>
      </c>
      <c r="L256" s="0" t="str">
        <f aca="false">IFERROR(CONCATENATE((INDEX($N$7:$N$171,SMALL(IF($N$7:$N$171&lt;&gt;"",IF($K$7:$K$171&lt;&gt;"",ROW($K$7:$K$171)-MIN(ROW($K$7:$K$171))+1,""),""),ROW()-ROW(A$173)+1))),","),"")</f>
        <v/>
      </c>
      <c r="M256" s="0" t="str">
        <f aca="false">IFERROR(CONCATENATE((INDEX($A$7:$A$171,SMALL(IF($N$7:$N$171&lt;&gt;"",IF($K$7:$K$171&lt;&gt;"",ROW($K$7:$K$171)-MIN(ROW($K$7:$K$171))+1,""),""),ROW()-ROW(A$173)+1))),),"")</f>
        <v/>
      </c>
      <c r="Q256" s="0" t="str">
        <f aca="false">IFERROR(CONCATENATE((INDEX($T$7:$T$171,SMALL(IF($T$7:$T$171&lt;&gt;"",IF($Q$7:$Q$171&lt;&gt;"",ROW($Q$7:$Q$171)-MIN(ROW($Q$7:$Q$171))+1,""),""),ROW()-ROW(A$173)+1)))," "),"")</f>
        <v/>
      </c>
      <c r="R256" s="0" t="str">
        <f aca="false">IFERROR(CONCATENATE(TEXT(INDEX($Q$7:$Q$171,SMALL(IF($T$7:$T$171&lt;&gt;"",IF($Q$7:$Q$171&lt;&gt;"",ROW($Q$7:$Q$171)-MIN(ROW($Q$7:$Q$171))+1,""),""),ROW()-ROW(A$173)+1)),"##0")," "),"")</f>
        <v/>
      </c>
      <c r="S256" s="0" t="str">
        <f aca="false">IFERROR(CONCATENATE((INDEX($A$7:$A$171,SMALL(IF($T$7:$T$171&lt;&gt;"",IF($Q$7:$Q$171&lt;&gt;"",ROW($Q$7:$Q$171)-MIN(ROW($Q$7:$Q$171))+1,""),""),ROW()-ROW(A$173)+1))),),"")</f>
        <v/>
      </c>
      <c r="W256" s="0" t="str">
        <f aca="false">IFERROR(CONCATENATE((INDEX($Z$7:$Z$171,SMALL(IF($Z$7:$Z$171&lt;&gt;"",IF($W$7:$W$171&lt;&gt;"",ROW($W$7:$W$171)-MIN(ROW($W$7:$W$171))+1,""),""),ROW()-ROW(A$173)+1))),","),"")</f>
        <v/>
      </c>
      <c r="X256" s="0" t="str">
        <f aca="false">IFERROR(CONCATENATE(TEXT(INDEX($W$7:$W$171,SMALL(IF($Z$7:$Z$171&lt;&gt;"",IF($W$7:$W$171&lt;&gt;"",ROW($W$7:$W$171)-MIN(ROW($W$7:$W$171))+1,""),""),ROW()-ROW(A$173)+1)),"##0"),","),"")</f>
        <v/>
      </c>
      <c r="Y256" s="0" t="str">
        <f aca="false">IFERROR(CONCATENATE((INDEX($A$7:$A$171,SMALL(IF($Z$7:$Z$171&lt;&gt;"",IF($W$7:$W$171&lt;&gt;"",ROW($W$7:$W$171)-MIN(ROW($W$7:$W$171))+1,""),""),ROW()-ROW(A$173)+1))),),"")</f>
        <v/>
      </c>
    </row>
    <row r="257" customFormat="false" ht="15" hidden="false" customHeight="false" outlineLevel="0" collapsed="false">
      <c r="K257" s="0" t="str">
        <f aca="false">IFERROR(CONCATENATE(TEXT(INDEX($K$7:$K$171,SMALL(IF($N$7:$N$171&lt;&gt;"",IF($K$7:$K$171&lt;&gt;"",ROW($K$7:$K$171)-MIN(ROW($K$7:$K$171))+1,""),""),ROW()-ROW(A$173)+1)),"##0"),","),"")</f>
        <v/>
      </c>
      <c r="L257" s="0" t="str">
        <f aca="false">IFERROR(CONCATENATE((INDEX($N$7:$N$171,SMALL(IF($N$7:$N$171&lt;&gt;"",IF($K$7:$K$171&lt;&gt;"",ROW($K$7:$K$171)-MIN(ROW($K$7:$K$171))+1,""),""),ROW()-ROW(A$173)+1))),","),"")</f>
        <v/>
      </c>
      <c r="M257" s="0" t="str">
        <f aca="false">IFERROR(CONCATENATE((INDEX($A$7:$A$171,SMALL(IF($N$7:$N$171&lt;&gt;"",IF($K$7:$K$171&lt;&gt;"",ROW($K$7:$K$171)-MIN(ROW($K$7:$K$171))+1,""),""),ROW()-ROW(A$173)+1))),),"")</f>
        <v/>
      </c>
      <c r="Q257" s="0" t="str">
        <f aca="false">IFERROR(CONCATENATE((INDEX($T$7:$T$171,SMALL(IF($T$7:$T$171&lt;&gt;"",IF($Q$7:$Q$171&lt;&gt;"",ROW($Q$7:$Q$171)-MIN(ROW($Q$7:$Q$171))+1,""),""),ROW()-ROW(A$173)+1)))," "),"")</f>
        <v/>
      </c>
      <c r="R257" s="0" t="str">
        <f aca="false">IFERROR(CONCATENATE(TEXT(INDEX($Q$7:$Q$171,SMALL(IF($T$7:$T$171&lt;&gt;"",IF($Q$7:$Q$171&lt;&gt;"",ROW($Q$7:$Q$171)-MIN(ROW($Q$7:$Q$171))+1,""),""),ROW()-ROW(A$173)+1)),"##0")," "),"")</f>
        <v/>
      </c>
      <c r="S257" s="0" t="str">
        <f aca="false">IFERROR(CONCATENATE((INDEX($A$7:$A$171,SMALL(IF($T$7:$T$171&lt;&gt;"",IF($Q$7:$Q$171&lt;&gt;"",ROW($Q$7:$Q$171)-MIN(ROW($Q$7:$Q$171))+1,""),""),ROW()-ROW(A$173)+1))),),"")</f>
        <v/>
      </c>
      <c r="W257" s="0" t="str">
        <f aca="false">IFERROR(CONCATENATE((INDEX($Z$7:$Z$171,SMALL(IF($Z$7:$Z$171&lt;&gt;"",IF($W$7:$W$171&lt;&gt;"",ROW($W$7:$W$171)-MIN(ROW($W$7:$W$171))+1,""),""),ROW()-ROW(A$173)+1))),","),"")</f>
        <v/>
      </c>
      <c r="X257" s="0" t="str">
        <f aca="false">IFERROR(CONCATENATE(TEXT(INDEX($W$7:$W$171,SMALL(IF($Z$7:$Z$171&lt;&gt;"",IF($W$7:$W$171&lt;&gt;"",ROW($W$7:$W$171)-MIN(ROW($W$7:$W$171))+1,""),""),ROW()-ROW(A$173)+1)),"##0"),","),"")</f>
        <v/>
      </c>
      <c r="Y257" s="0" t="str">
        <f aca="false">IFERROR(CONCATENATE((INDEX($A$7:$A$171,SMALL(IF($Z$7:$Z$171&lt;&gt;"",IF($W$7:$W$171&lt;&gt;"",ROW($W$7:$W$171)-MIN(ROW($W$7:$W$171))+1,""),""),ROW()-ROW(A$173)+1))),),"")</f>
        <v/>
      </c>
    </row>
    <row r="258" customFormat="false" ht="15" hidden="false" customHeight="false" outlineLevel="0" collapsed="false">
      <c r="K258" s="0" t="str">
        <f aca="false">IFERROR(CONCATENATE(TEXT(INDEX($K$7:$K$171,SMALL(IF($N$7:$N$171&lt;&gt;"",IF($K$7:$K$171&lt;&gt;"",ROW($K$7:$K$171)-MIN(ROW($K$7:$K$171))+1,""),""),ROW()-ROW(A$173)+1)),"##0"),","),"")</f>
        <v/>
      </c>
      <c r="L258" s="0" t="str">
        <f aca="false">IFERROR(CONCATENATE((INDEX($N$7:$N$171,SMALL(IF($N$7:$N$171&lt;&gt;"",IF($K$7:$K$171&lt;&gt;"",ROW($K$7:$K$171)-MIN(ROW($K$7:$K$171))+1,""),""),ROW()-ROW(A$173)+1))),","),"")</f>
        <v/>
      </c>
      <c r="M258" s="0" t="str">
        <f aca="false">IFERROR(CONCATENATE((INDEX($A$7:$A$171,SMALL(IF($N$7:$N$171&lt;&gt;"",IF($K$7:$K$171&lt;&gt;"",ROW($K$7:$K$171)-MIN(ROW($K$7:$K$171))+1,""),""),ROW()-ROW(A$173)+1))),),"")</f>
        <v/>
      </c>
      <c r="Q258" s="0" t="str">
        <f aca="false">IFERROR(CONCATENATE((INDEX($T$7:$T$171,SMALL(IF($T$7:$T$171&lt;&gt;"",IF($Q$7:$Q$171&lt;&gt;"",ROW($Q$7:$Q$171)-MIN(ROW($Q$7:$Q$171))+1,""),""),ROW()-ROW(A$173)+1)))," "),"")</f>
        <v/>
      </c>
      <c r="R258" s="0" t="str">
        <f aca="false">IFERROR(CONCATENATE(TEXT(INDEX($Q$7:$Q$171,SMALL(IF($T$7:$T$171&lt;&gt;"",IF($Q$7:$Q$171&lt;&gt;"",ROW($Q$7:$Q$171)-MIN(ROW($Q$7:$Q$171))+1,""),""),ROW()-ROW(A$173)+1)),"##0")," "),"")</f>
        <v/>
      </c>
      <c r="S258" s="0" t="str">
        <f aca="false">IFERROR(CONCATENATE((INDEX($A$7:$A$171,SMALL(IF($T$7:$T$171&lt;&gt;"",IF($Q$7:$Q$171&lt;&gt;"",ROW($Q$7:$Q$171)-MIN(ROW($Q$7:$Q$171))+1,""),""),ROW()-ROW(A$173)+1))),),"")</f>
        <v/>
      </c>
      <c r="W258" s="0" t="str">
        <f aca="false">IFERROR(CONCATENATE((INDEX($Z$7:$Z$171,SMALL(IF($Z$7:$Z$171&lt;&gt;"",IF($W$7:$W$171&lt;&gt;"",ROW($W$7:$W$171)-MIN(ROW($W$7:$W$171))+1,""),""),ROW()-ROW(A$173)+1))),","),"")</f>
        <v/>
      </c>
      <c r="X258" s="0" t="str">
        <f aca="false">IFERROR(CONCATENATE(TEXT(INDEX($W$7:$W$171,SMALL(IF($Z$7:$Z$171&lt;&gt;"",IF($W$7:$W$171&lt;&gt;"",ROW($W$7:$W$171)-MIN(ROW($W$7:$W$171))+1,""),""),ROW()-ROW(A$173)+1)),"##0"),","),"")</f>
        <v/>
      </c>
      <c r="Y258" s="0" t="str">
        <f aca="false">IFERROR(CONCATENATE((INDEX($A$7:$A$171,SMALL(IF($Z$7:$Z$171&lt;&gt;"",IF($W$7:$W$171&lt;&gt;"",ROW($W$7:$W$171)-MIN(ROW($W$7:$W$171))+1,""),""),ROW()-ROW(A$173)+1))),),"")</f>
        <v/>
      </c>
    </row>
    <row r="259" customFormat="false" ht="15" hidden="false" customHeight="false" outlineLevel="0" collapsed="false">
      <c r="K259" s="0" t="str">
        <f aca="false">IFERROR(CONCATENATE(TEXT(INDEX($K$7:$K$171,SMALL(IF($N$7:$N$171&lt;&gt;"",IF($K$7:$K$171&lt;&gt;"",ROW($K$7:$K$171)-MIN(ROW($K$7:$K$171))+1,""),""),ROW()-ROW(A$173)+1)),"##0"),","),"")</f>
        <v/>
      </c>
      <c r="L259" s="0" t="str">
        <f aca="false">IFERROR(CONCATENATE((INDEX($N$7:$N$171,SMALL(IF($N$7:$N$171&lt;&gt;"",IF($K$7:$K$171&lt;&gt;"",ROW($K$7:$K$171)-MIN(ROW($K$7:$K$171))+1,""),""),ROW()-ROW(A$173)+1))),","),"")</f>
        <v/>
      </c>
      <c r="M259" s="0" t="str">
        <f aca="false">IFERROR(CONCATENATE((INDEX($A$7:$A$171,SMALL(IF($N$7:$N$171&lt;&gt;"",IF($K$7:$K$171&lt;&gt;"",ROW($K$7:$K$171)-MIN(ROW($K$7:$K$171))+1,""),""),ROW()-ROW(A$173)+1))),),"")</f>
        <v/>
      </c>
      <c r="Q259" s="0" t="str">
        <f aca="false">IFERROR(CONCATENATE((INDEX($T$7:$T$171,SMALL(IF($T$7:$T$171&lt;&gt;"",IF($Q$7:$Q$171&lt;&gt;"",ROW($Q$7:$Q$171)-MIN(ROW($Q$7:$Q$171))+1,""),""),ROW()-ROW(A$173)+1)))," "),"")</f>
        <v/>
      </c>
      <c r="R259" s="0" t="str">
        <f aca="false">IFERROR(CONCATENATE(TEXT(INDEX($Q$7:$Q$171,SMALL(IF($T$7:$T$171&lt;&gt;"",IF($Q$7:$Q$171&lt;&gt;"",ROW($Q$7:$Q$171)-MIN(ROW($Q$7:$Q$171))+1,""),""),ROW()-ROW(A$173)+1)),"##0")," "),"")</f>
        <v/>
      </c>
      <c r="S259" s="0" t="str">
        <f aca="false">IFERROR(CONCATENATE((INDEX($A$7:$A$171,SMALL(IF($T$7:$T$171&lt;&gt;"",IF($Q$7:$Q$171&lt;&gt;"",ROW($Q$7:$Q$171)-MIN(ROW($Q$7:$Q$171))+1,""),""),ROW()-ROW(A$173)+1))),),"")</f>
        <v/>
      </c>
      <c r="W259" s="0" t="str">
        <f aca="false">IFERROR(CONCATENATE((INDEX($Z$7:$Z$171,SMALL(IF($Z$7:$Z$171&lt;&gt;"",IF($W$7:$W$171&lt;&gt;"",ROW($W$7:$W$171)-MIN(ROW($W$7:$W$171))+1,""),""),ROW()-ROW(A$173)+1))),","),"")</f>
        <v/>
      </c>
      <c r="X259" s="0" t="str">
        <f aca="false">IFERROR(CONCATENATE(TEXT(INDEX($W$7:$W$171,SMALL(IF($Z$7:$Z$171&lt;&gt;"",IF($W$7:$W$171&lt;&gt;"",ROW($W$7:$W$171)-MIN(ROW($W$7:$W$171))+1,""),""),ROW()-ROW(A$173)+1)),"##0"),","),"")</f>
        <v/>
      </c>
      <c r="Y259" s="0" t="str">
        <f aca="false">IFERROR(CONCATENATE((INDEX($A$7:$A$171,SMALL(IF($Z$7:$Z$171&lt;&gt;"",IF($W$7:$W$171&lt;&gt;"",ROW($W$7:$W$171)-MIN(ROW($W$7:$W$171))+1,""),""),ROW()-ROW(A$173)+1))),),"")</f>
        <v/>
      </c>
    </row>
    <row r="260" customFormat="false" ht="15" hidden="false" customHeight="false" outlineLevel="0" collapsed="false">
      <c r="K260" s="0" t="str">
        <f aca="false">IFERROR(CONCATENATE(TEXT(INDEX($K$7:$K$171,SMALL(IF($N$7:$N$171&lt;&gt;"",IF($K$7:$K$171&lt;&gt;"",ROW($K$7:$K$171)-MIN(ROW($K$7:$K$171))+1,""),""),ROW()-ROW(A$173)+1)),"##0"),","),"")</f>
        <v/>
      </c>
      <c r="L260" s="0" t="str">
        <f aca="false">IFERROR(CONCATENATE((INDEX($N$7:$N$171,SMALL(IF($N$7:$N$171&lt;&gt;"",IF($K$7:$K$171&lt;&gt;"",ROW($K$7:$K$171)-MIN(ROW($K$7:$K$171))+1,""),""),ROW()-ROW(A$173)+1))),","),"")</f>
        <v/>
      </c>
      <c r="M260" s="0" t="str">
        <f aca="false">IFERROR(CONCATENATE((INDEX($A$7:$A$171,SMALL(IF($N$7:$N$171&lt;&gt;"",IF($K$7:$K$171&lt;&gt;"",ROW($K$7:$K$171)-MIN(ROW($K$7:$K$171))+1,""),""),ROW()-ROW(A$173)+1))),),"")</f>
        <v/>
      </c>
      <c r="Q260" s="0" t="str">
        <f aca="false">IFERROR(CONCATENATE((INDEX($T$7:$T$171,SMALL(IF($T$7:$T$171&lt;&gt;"",IF($Q$7:$Q$171&lt;&gt;"",ROW($Q$7:$Q$171)-MIN(ROW($Q$7:$Q$171))+1,""),""),ROW()-ROW(A$173)+1)))," "),"")</f>
        <v/>
      </c>
      <c r="R260" s="0" t="str">
        <f aca="false">IFERROR(CONCATENATE(TEXT(INDEX($Q$7:$Q$171,SMALL(IF($T$7:$T$171&lt;&gt;"",IF($Q$7:$Q$171&lt;&gt;"",ROW($Q$7:$Q$171)-MIN(ROW($Q$7:$Q$171))+1,""),""),ROW()-ROW(A$173)+1)),"##0")," "),"")</f>
        <v/>
      </c>
      <c r="S260" s="0" t="str">
        <f aca="false">IFERROR(CONCATENATE((INDEX($A$7:$A$171,SMALL(IF($T$7:$T$171&lt;&gt;"",IF($Q$7:$Q$171&lt;&gt;"",ROW($Q$7:$Q$171)-MIN(ROW($Q$7:$Q$171))+1,""),""),ROW()-ROW(A$173)+1))),),"")</f>
        <v/>
      </c>
      <c r="W260" s="0" t="str">
        <f aca="false">IFERROR(CONCATENATE((INDEX($Z$7:$Z$171,SMALL(IF($Z$7:$Z$171&lt;&gt;"",IF($W$7:$W$171&lt;&gt;"",ROW($W$7:$W$171)-MIN(ROW($W$7:$W$171))+1,""),""),ROW()-ROW(A$173)+1))),","),"")</f>
        <v/>
      </c>
      <c r="X260" s="0" t="str">
        <f aca="false">IFERROR(CONCATENATE(TEXT(INDEX($W$7:$W$171,SMALL(IF($Z$7:$Z$171&lt;&gt;"",IF($W$7:$W$171&lt;&gt;"",ROW($W$7:$W$171)-MIN(ROW($W$7:$W$171))+1,""),""),ROW()-ROW(A$173)+1)),"##0"),","),"")</f>
        <v/>
      </c>
      <c r="Y260" s="0" t="str">
        <f aca="false">IFERROR(CONCATENATE((INDEX($A$7:$A$171,SMALL(IF($Z$7:$Z$171&lt;&gt;"",IF($W$7:$W$171&lt;&gt;"",ROW($W$7:$W$171)-MIN(ROW($W$7:$W$171))+1,""),""),ROW()-ROW(A$173)+1))),),"")</f>
        <v/>
      </c>
    </row>
    <row r="261" customFormat="false" ht="15" hidden="false" customHeight="false" outlineLevel="0" collapsed="false">
      <c r="K261" s="0" t="str">
        <f aca="false">IFERROR(CONCATENATE(TEXT(INDEX($K$7:$K$171,SMALL(IF($N$7:$N$171&lt;&gt;"",IF($K$7:$K$171&lt;&gt;"",ROW($K$7:$K$171)-MIN(ROW($K$7:$K$171))+1,""),""),ROW()-ROW(A$173)+1)),"##0"),","),"")</f>
        <v/>
      </c>
      <c r="L261" s="0" t="str">
        <f aca="false">IFERROR(CONCATENATE((INDEX($N$7:$N$171,SMALL(IF($N$7:$N$171&lt;&gt;"",IF($K$7:$K$171&lt;&gt;"",ROW($K$7:$K$171)-MIN(ROW($K$7:$K$171))+1,""),""),ROW()-ROW(A$173)+1))),","),"")</f>
        <v/>
      </c>
      <c r="M261" s="0" t="str">
        <f aca="false">IFERROR(CONCATENATE((INDEX($A$7:$A$171,SMALL(IF($N$7:$N$171&lt;&gt;"",IF($K$7:$K$171&lt;&gt;"",ROW($K$7:$K$171)-MIN(ROW($K$7:$K$171))+1,""),""),ROW()-ROW(A$173)+1))),),"")</f>
        <v/>
      </c>
      <c r="Q261" s="0" t="str">
        <f aca="false">IFERROR(CONCATENATE((INDEX($T$7:$T$171,SMALL(IF($T$7:$T$171&lt;&gt;"",IF($Q$7:$Q$171&lt;&gt;"",ROW($Q$7:$Q$171)-MIN(ROW($Q$7:$Q$171))+1,""),""),ROW()-ROW(A$173)+1)))," "),"")</f>
        <v/>
      </c>
      <c r="R261" s="0" t="str">
        <f aca="false">IFERROR(CONCATENATE(TEXT(INDEX($Q$7:$Q$171,SMALL(IF($T$7:$T$171&lt;&gt;"",IF($Q$7:$Q$171&lt;&gt;"",ROW($Q$7:$Q$171)-MIN(ROW($Q$7:$Q$171))+1,""),""),ROW()-ROW(A$173)+1)),"##0")," "),"")</f>
        <v/>
      </c>
      <c r="S261" s="0" t="str">
        <f aca="false">IFERROR(CONCATENATE((INDEX($A$7:$A$171,SMALL(IF($T$7:$T$171&lt;&gt;"",IF($Q$7:$Q$171&lt;&gt;"",ROW($Q$7:$Q$171)-MIN(ROW($Q$7:$Q$171))+1,""),""),ROW()-ROW(A$173)+1))),),"")</f>
        <v/>
      </c>
      <c r="W261" s="0" t="str">
        <f aca="false">IFERROR(CONCATENATE((INDEX($Z$7:$Z$171,SMALL(IF($Z$7:$Z$171&lt;&gt;"",IF($W$7:$W$171&lt;&gt;"",ROW($W$7:$W$171)-MIN(ROW($W$7:$W$171))+1,""),""),ROW()-ROW(A$173)+1))),","),"")</f>
        <v/>
      </c>
      <c r="X261" s="0" t="str">
        <f aca="false">IFERROR(CONCATENATE(TEXT(INDEX($W$7:$W$171,SMALL(IF($Z$7:$Z$171&lt;&gt;"",IF($W$7:$W$171&lt;&gt;"",ROW($W$7:$W$171)-MIN(ROW($W$7:$W$171))+1,""),""),ROW()-ROW(A$173)+1)),"##0"),","),"")</f>
        <v/>
      </c>
      <c r="Y261" s="0" t="str">
        <f aca="false">IFERROR(CONCATENATE((INDEX($A$7:$A$171,SMALL(IF($Z$7:$Z$171&lt;&gt;"",IF($W$7:$W$171&lt;&gt;"",ROW($W$7:$W$171)-MIN(ROW($W$7:$W$171))+1,""),""),ROW()-ROW(A$173)+1))),),"")</f>
        <v/>
      </c>
    </row>
    <row r="262" customFormat="false" ht="15" hidden="false" customHeight="false" outlineLevel="0" collapsed="false">
      <c r="K262" s="0" t="str">
        <f aca="false">IFERROR(CONCATENATE(TEXT(INDEX($K$7:$K$171,SMALL(IF($N$7:$N$171&lt;&gt;"",IF($K$7:$K$171&lt;&gt;"",ROW($K$7:$K$171)-MIN(ROW($K$7:$K$171))+1,""),""),ROW()-ROW(A$173)+1)),"##0"),","),"")</f>
        <v/>
      </c>
      <c r="L262" s="0" t="str">
        <f aca="false">IFERROR(CONCATENATE((INDEX($N$7:$N$171,SMALL(IF($N$7:$N$171&lt;&gt;"",IF($K$7:$K$171&lt;&gt;"",ROW($K$7:$K$171)-MIN(ROW($K$7:$K$171))+1,""),""),ROW()-ROW(A$173)+1))),","),"")</f>
        <v/>
      </c>
      <c r="M262" s="0" t="str">
        <f aca="false">IFERROR(CONCATENATE((INDEX($A$7:$A$171,SMALL(IF($N$7:$N$171&lt;&gt;"",IF($K$7:$K$171&lt;&gt;"",ROW($K$7:$K$171)-MIN(ROW($K$7:$K$171))+1,""),""),ROW()-ROW(A$173)+1))),),"")</f>
        <v/>
      </c>
      <c r="Q262" s="0" t="str">
        <f aca="false">IFERROR(CONCATENATE((INDEX($T$7:$T$171,SMALL(IF($T$7:$T$171&lt;&gt;"",IF($Q$7:$Q$171&lt;&gt;"",ROW($Q$7:$Q$171)-MIN(ROW($Q$7:$Q$171))+1,""),""),ROW()-ROW(A$173)+1)))," "),"")</f>
        <v/>
      </c>
      <c r="R262" s="0" t="str">
        <f aca="false">IFERROR(CONCATENATE(TEXT(INDEX($Q$7:$Q$171,SMALL(IF($T$7:$T$171&lt;&gt;"",IF($Q$7:$Q$171&lt;&gt;"",ROW($Q$7:$Q$171)-MIN(ROW($Q$7:$Q$171))+1,""),""),ROW()-ROW(A$173)+1)),"##0")," "),"")</f>
        <v/>
      </c>
      <c r="S262" s="0" t="str">
        <f aca="false">IFERROR(CONCATENATE((INDEX($A$7:$A$171,SMALL(IF($T$7:$T$171&lt;&gt;"",IF($Q$7:$Q$171&lt;&gt;"",ROW($Q$7:$Q$171)-MIN(ROW($Q$7:$Q$171))+1,""),""),ROW()-ROW(A$173)+1))),),"")</f>
        <v/>
      </c>
      <c r="W262" s="0" t="str">
        <f aca="false">IFERROR(CONCATENATE((INDEX($Z$7:$Z$171,SMALL(IF($Z$7:$Z$171&lt;&gt;"",IF($W$7:$W$171&lt;&gt;"",ROW($W$7:$W$171)-MIN(ROW($W$7:$W$171))+1,""),""),ROW()-ROW(A$173)+1))),","),"")</f>
        <v/>
      </c>
      <c r="X262" s="0" t="str">
        <f aca="false">IFERROR(CONCATENATE(TEXT(INDEX($W$7:$W$171,SMALL(IF($Z$7:$Z$171&lt;&gt;"",IF($W$7:$W$171&lt;&gt;"",ROW($W$7:$W$171)-MIN(ROW($W$7:$W$171))+1,""),""),ROW()-ROW(A$173)+1)),"##0"),","),"")</f>
        <v/>
      </c>
      <c r="Y262" s="0" t="str">
        <f aca="false">IFERROR(CONCATENATE((INDEX($A$7:$A$171,SMALL(IF($Z$7:$Z$171&lt;&gt;"",IF($W$7:$W$171&lt;&gt;"",ROW($W$7:$W$171)-MIN(ROW($W$7:$W$171))+1,""),""),ROW()-ROW(A$173)+1))),),"")</f>
        <v/>
      </c>
    </row>
    <row r="263" customFormat="false" ht="15" hidden="false" customHeight="false" outlineLevel="0" collapsed="false">
      <c r="K263" s="0" t="str">
        <f aca="false">IFERROR(CONCATENATE(TEXT(INDEX($K$7:$K$171,SMALL(IF($N$7:$N$171&lt;&gt;"",IF($K$7:$K$171&lt;&gt;"",ROW($K$7:$K$171)-MIN(ROW($K$7:$K$171))+1,""),""),ROW()-ROW(A$173)+1)),"##0"),","),"")</f>
        <v/>
      </c>
      <c r="L263" s="0" t="str">
        <f aca="false">IFERROR(CONCATENATE((INDEX($N$7:$N$171,SMALL(IF($N$7:$N$171&lt;&gt;"",IF($K$7:$K$171&lt;&gt;"",ROW($K$7:$K$171)-MIN(ROW($K$7:$K$171))+1,""),""),ROW()-ROW(A$173)+1))),","),"")</f>
        <v/>
      </c>
      <c r="M263" s="0" t="str">
        <f aca="false">IFERROR(CONCATENATE((INDEX($A$7:$A$171,SMALL(IF($N$7:$N$171&lt;&gt;"",IF($K$7:$K$171&lt;&gt;"",ROW($K$7:$K$171)-MIN(ROW($K$7:$K$171))+1,""),""),ROW()-ROW(A$173)+1))),),"")</f>
        <v/>
      </c>
      <c r="Q263" s="0" t="str">
        <f aca="false">IFERROR(CONCATENATE((INDEX($T$7:$T$171,SMALL(IF($T$7:$T$171&lt;&gt;"",IF($Q$7:$Q$171&lt;&gt;"",ROW($Q$7:$Q$171)-MIN(ROW($Q$7:$Q$171))+1,""),""),ROW()-ROW(A$173)+1)))," "),"")</f>
        <v/>
      </c>
      <c r="R263" s="0" t="str">
        <f aca="false">IFERROR(CONCATENATE(TEXT(INDEX($Q$7:$Q$171,SMALL(IF($T$7:$T$171&lt;&gt;"",IF($Q$7:$Q$171&lt;&gt;"",ROW($Q$7:$Q$171)-MIN(ROW($Q$7:$Q$171))+1,""),""),ROW()-ROW(A$173)+1)),"##0")," "),"")</f>
        <v/>
      </c>
      <c r="S263" s="0" t="str">
        <f aca="false">IFERROR(CONCATENATE((INDEX($A$7:$A$171,SMALL(IF($T$7:$T$171&lt;&gt;"",IF($Q$7:$Q$171&lt;&gt;"",ROW($Q$7:$Q$171)-MIN(ROW($Q$7:$Q$171))+1,""),""),ROW()-ROW(A$173)+1))),),"")</f>
        <v/>
      </c>
      <c r="W263" s="0" t="str">
        <f aca="false">IFERROR(CONCATENATE((INDEX($Z$7:$Z$171,SMALL(IF($Z$7:$Z$171&lt;&gt;"",IF($W$7:$W$171&lt;&gt;"",ROW($W$7:$W$171)-MIN(ROW($W$7:$W$171))+1,""),""),ROW()-ROW(A$173)+1))),","),"")</f>
        <v/>
      </c>
      <c r="X263" s="0" t="str">
        <f aca="false">IFERROR(CONCATENATE(TEXT(INDEX($W$7:$W$171,SMALL(IF($Z$7:$Z$171&lt;&gt;"",IF($W$7:$W$171&lt;&gt;"",ROW($W$7:$W$171)-MIN(ROW($W$7:$W$171))+1,""),""),ROW()-ROW(A$173)+1)),"##0"),","),"")</f>
        <v/>
      </c>
      <c r="Y263" s="0" t="str">
        <f aca="false">IFERROR(CONCATENATE((INDEX($A$7:$A$171,SMALL(IF($Z$7:$Z$171&lt;&gt;"",IF($W$7:$W$171&lt;&gt;"",ROW($W$7:$W$171)-MIN(ROW($W$7:$W$171))+1,""),""),ROW()-ROW(A$173)+1))),),"")</f>
        <v/>
      </c>
    </row>
    <row r="264" customFormat="false" ht="15" hidden="false" customHeight="false" outlineLevel="0" collapsed="false">
      <c r="K264" s="0" t="str">
        <f aca="false">IFERROR(CONCATENATE(TEXT(INDEX($K$7:$K$171,SMALL(IF($N$7:$N$171&lt;&gt;"",IF($K$7:$K$171&lt;&gt;"",ROW($K$7:$K$171)-MIN(ROW($K$7:$K$171))+1,""),""),ROW()-ROW(A$173)+1)),"##0"),","),"")</f>
        <v/>
      </c>
      <c r="L264" s="0" t="str">
        <f aca="false">IFERROR(CONCATENATE((INDEX($N$7:$N$171,SMALL(IF($N$7:$N$171&lt;&gt;"",IF($K$7:$K$171&lt;&gt;"",ROW($K$7:$K$171)-MIN(ROW($K$7:$K$171))+1,""),""),ROW()-ROW(A$173)+1))),","),"")</f>
        <v/>
      </c>
      <c r="M264" s="0" t="str">
        <f aca="false">IFERROR(CONCATENATE((INDEX($A$7:$A$171,SMALL(IF($N$7:$N$171&lt;&gt;"",IF($K$7:$K$171&lt;&gt;"",ROW($K$7:$K$171)-MIN(ROW($K$7:$K$171))+1,""),""),ROW()-ROW(A$173)+1))),),"")</f>
        <v/>
      </c>
      <c r="Q264" s="0" t="str">
        <f aca="false">IFERROR(CONCATENATE((INDEX($T$7:$T$171,SMALL(IF($T$7:$T$171&lt;&gt;"",IF($Q$7:$Q$171&lt;&gt;"",ROW($Q$7:$Q$171)-MIN(ROW($Q$7:$Q$171))+1,""),""),ROW()-ROW(A$173)+1)))," "),"")</f>
        <v/>
      </c>
      <c r="R264" s="0" t="str">
        <f aca="false">IFERROR(CONCATENATE(TEXT(INDEX($Q$7:$Q$171,SMALL(IF($T$7:$T$171&lt;&gt;"",IF($Q$7:$Q$171&lt;&gt;"",ROW($Q$7:$Q$171)-MIN(ROW($Q$7:$Q$171))+1,""),""),ROW()-ROW(A$173)+1)),"##0")," "),"")</f>
        <v/>
      </c>
      <c r="S264" s="0" t="str">
        <f aca="false">IFERROR(CONCATENATE((INDEX($A$7:$A$171,SMALL(IF($T$7:$T$171&lt;&gt;"",IF($Q$7:$Q$171&lt;&gt;"",ROW($Q$7:$Q$171)-MIN(ROW($Q$7:$Q$171))+1,""),""),ROW()-ROW(A$173)+1))),),"")</f>
        <v/>
      </c>
      <c r="W264" s="0" t="str">
        <f aca="false">IFERROR(CONCATENATE((INDEX($Z$7:$Z$171,SMALL(IF($Z$7:$Z$171&lt;&gt;"",IF($W$7:$W$171&lt;&gt;"",ROW($W$7:$W$171)-MIN(ROW($W$7:$W$171))+1,""),""),ROW()-ROW(A$173)+1))),","),"")</f>
        <v/>
      </c>
      <c r="X264" s="0" t="str">
        <f aca="false">IFERROR(CONCATENATE(TEXT(INDEX($W$7:$W$171,SMALL(IF($Z$7:$Z$171&lt;&gt;"",IF($W$7:$W$171&lt;&gt;"",ROW($W$7:$W$171)-MIN(ROW($W$7:$W$171))+1,""),""),ROW()-ROW(A$173)+1)),"##0"),","),"")</f>
        <v/>
      </c>
      <c r="Y264" s="0" t="str">
        <f aca="false">IFERROR(CONCATENATE((INDEX($A$7:$A$171,SMALL(IF($Z$7:$Z$171&lt;&gt;"",IF($W$7:$W$171&lt;&gt;"",ROW($W$7:$W$171)-MIN(ROW($W$7:$W$171))+1,""),""),ROW()-ROW(A$173)+1))),),"")</f>
        <v/>
      </c>
    </row>
    <row r="265" customFormat="false" ht="15" hidden="false" customHeight="false" outlineLevel="0" collapsed="false">
      <c r="K265" s="0" t="str">
        <f aca="false">IFERROR(CONCATENATE(TEXT(INDEX($K$7:$K$171,SMALL(IF($N$7:$N$171&lt;&gt;"",IF($K$7:$K$171&lt;&gt;"",ROW($K$7:$K$171)-MIN(ROW($K$7:$K$171))+1,""),""),ROW()-ROW(A$173)+1)),"##0"),","),"")</f>
        <v/>
      </c>
      <c r="L265" s="0" t="str">
        <f aca="false">IFERROR(CONCATENATE((INDEX($N$7:$N$171,SMALL(IF($N$7:$N$171&lt;&gt;"",IF($K$7:$K$171&lt;&gt;"",ROW($K$7:$K$171)-MIN(ROW($K$7:$K$171))+1,""),""),ROW()-ROW(A$173)+1))),","),"")</f>
        <v/>
      </c>
      <c r="M265" s="0" t="str">
        <f aca="false">IFERROR(CONCATENATE((INDEX($A$7:$A$171,SMALL(IF($N$7:$N$171&lt;&gt;"",IF($K$7:$K$171&lt;&gt;"",ROW($K$7:$K$171)-MIN(ROW($K$7:$K$171))+1,""),""),ROW()-ROW(A$173)+1))),),"")</f>
        <v/>
      </c>
      <c r="Q265" s="0" t="str">
        <f aca="false">IFERROR(CONCATENATE((INDEX($T$7:$T$171,SMALL(IF($T$7:$T$171&lt;&gt;"",IF($Q$7:$Q$171&lt;&gt;"",ROW($Q$7:$Q$171)-MIN(ROW($Q$7:$Q$171))+1,""),""),ROW()-ROW(A$173)+1)))," "),"")</f>
        <v/>
      </c>
      <c r="R265" s="0" t="str">
        <f aca="false">IFERROR(CONCATENATE(TEXT(INDEX($Q$7:$Q$171,SMALL(IF($T$7:$T$171&lt;&gt;"",IF($Q$7:$Q$171&lt;&gt;"",ROW($Q$7:$Q$171)-MIN(ROW($Q$7:$Q$171))+1,""),""),ROW()-ROW(A$173)+1)),"##0")," "),"")</f>
        <v/>
      </c>
      <c r="S265" s="0" t="str">
        <f aca="false">IFERROR(CONCATENATE((INDEX($A$7:$A$171,SMALL(IF($T$7:$T$171&lt;&gt;"",IF($Q$7:$Q$171&lt;&gt;"",ROW($Q$7:$Q$171)-MIN(ROW($Q$7:$Q$171))+1,""),""),ROW()-ROW(A$173)+1))),),"")</f>
        <v/>
      </c>
      <c r="W265" s="0" t="str">
        <f aca="false">IFERROR(CONCATENATE((INDEX($Z$7:$Z$171,SMALL(IF($Z$7:$Z$171&lt;&gt;"",IF($W$7:$W$171&lt;&gt;"",ROW($W$7:$W$171)-MIN(ROW($W$7:$W$171))+1,""),""),ROW()-ROW(A$173)+1))),","),"")</f>
        <v/>
      </c>
      <c r="X265" s="0" t="str">
        <f aca="false">IFERROR(CONCATENATE(TEXT(INDEX($W$7:$W$171,SMALL(IF($Z$7:$Z$171&lt;&gt;"",IF($W$7:$W$171&lt;&gt;"",ROW($W$7:$W$171)-MIN(ROW($W$7:$W$171))+1,""),""),ROW()-ROW(A$173)+1)),"##0"),","),"")</f>
        <v/>
      </c>
      <c r="Y265" s="0" t="str">
        <f aca="false">IFERROR(CONCATENATE((INDEX($A$7:$A$171,SMALL(IF($Z$7:$Z$171&lt;&gt;"",IF($W$7:$W$171&lt;&gt;"",ROW($W$7:$W$171)-MIN(ROW($W$7:$W$171))+1,""),""),ROW()-ROW(A$173)+1))),),"")</f>
        <v/>
      </c>
    </row>
    <row r="266" customFormat="false" ht="15" hidden="false" customHeight="false" outlineLevel="0" collapsed="false">
      <c r="K266" s="0" t="str">
        <f aca="false">IFERROR(CONCATENATE(TEXT(INDEX($K$7:$K$171,SMALL(IF($N$7:$N$171&lt;&gt;"",IF($K$7:$K$171&lt;&gt;"",ROW($K$7:$K$171)-MIN(ROW($K$7:$K$171))+1,""),""),ROW()-ROW(A$173)+1)),"##0"),","),"")</f>
        <v/>
      </c>
      <c r="L266" s="0" t="str">
        <f aca="false">IFERROR(CONCATENATE((INDEX($N$7:$N$171,SMALL(IF($N$7:$N$171&lt;&gt;"",IF($K$7:$K$171&lt;&gt;"",ROW($K$7:$K$171)-MIN(ROW($K$7:$K$171))+1,""),""),ROW()-ROW(A$173)+1))),","),"")</f>
        <v/>
      </c>
      <c r="M266" s="0" t="str">
        <f aca="false">IFERROR(CONCATENATE((INDEX($A$7:$A$171,SMALL(IF($N$7:$N$171&lt;&gt;"",IF($K$7:$K$171&lt;&gt;"",ROW($K$7:$K$171)-MIN(ROW($K$7:$K$171))+1,""),""),ROW()-ROW(A$173)+1))),),"")</f>
        <v/>
      </c>
      <c r="Q266" s="0" t="str">
        <f aca="false">IFERROR(CONCATENATE((INDEX($T$7:$T$171,SMALL(IF($T$7:$T$171&lt;&gt;"",IF($Q$7:$Q$171&lt;&gt;"",ROW($Q$7:$Q$171)-MIN(ROW($Q$7:$Q$171))+1,""),""),ROW()-ROW(A$173)+1)))," "),"")</f>
        <v/>
      </c>
      <c r="R266" s="0" t="str">
        <f aca="false">IFERROR(CONCATENATE(TEXT(INDEX($Q$7:$Q$171,SMALL(IF($T$7:$T$171&lt;&gt;"",IF($Q$7:$Q$171&lt;&gt;"",ROW($Q$7:$Q$171)-MIN(ROW($Q$7:$Q$171))+1,""),""),ROW()-ROW(A$173)+1)),"##0")," "),"")</f>
        <v/>
      </c>
      <c r="S266" s="0" t="str">
        <f aca="false">IFERROR(CONCATENATE((INDEX($A$7:$A$171,SMALL(IF($T$7:$T$171&lt;&gt;"",IF($Q$7:$Q$171&lt;&gt;"",ROW($Q$7:$Q$171)-MIN(ROW($Q$7:$Q$171))+1,""),""),ROW()-ROW(A$173)+1))),),"")</f>
        <v/>
      </c>
      <c r="W266" s="0" t="str">
        <f aca="false">IFERROR(CONCATENATE((INDEX($Z$7:$Z$171,SMALL(IF($Z$7:$Z$171&lt;&gt;"",IF($W$7:$W$171&lt;&gt;"",ROW($W$7:$W$171)-MIN(ROW($W$7:$W$171))+1,""),""),ROW()-ROW(A$173)+1))),","),"")</f>
        <v/>
      </c>
      <c r="X266" s="0" t="str">
        <f aca="false">IFERROR(CONCATENATE(TEXT(INDEX($W$7:$W$171,SMALL(IF($Z$7:$Z$171&lt;&gt;"",IF($W$7:$W$171&lt;&gt;"",ROW($W$7:$W$171)-MIN(ROW($W$7:$W$171))+1,""),""),ROW()-ROW(A$173)+1)),"##0"),","),"")</f>
        <v/>
      </c>
      <c r="Y266" s="0" t="str">
        <f aca="false">IFERROR(CONCATENATE((INDEX($A$7:$A$171,SMALL(IF($Z$7:$Z$171&lt;&gt;"",IF($W$7:$W$171&lt;&gt;"",ROW($W$7:$W$171)-MIN(ROW($W$7:$W$171))+1,""),""),ROW()-ROW(A$173)+1))),),"")</f>
        <v/>
      </c>
    </row>
    <row r="267" customFormat="false" ht="15" hidden="false" customHeight="false" outlineLevel="0" collapsed="false">
      <c r="K267" s="0" t="str">
        <f aca="false">IFERROR(CONCATENATE(TEXT(INDEX($K$7:$K$171,SMALL(IF($N$7:$N$171&lt;&gt;"",IF($K$7:$K$171&lt;&gt;"",ROW($K$7:$K$171)-MIN(ROW($K$7:$K$171))+1,""),""),ROW()-ROW(A$173)+1)),"##0"),","),"")</f>
        <v/>
      </c>
      <c r="L267" s="0" t="str">
        <f aca="false">IFERROR(CONCATENATE((INDEX($N$7:$N$171,SMALL(IF($N$7:$N$171&lt;&gt;"",IF($K$7:$K$171&lt;&gt;"",ROW($K$7:$K$171)-MIN(ROW($K$7:$K$171))+1,""),""),ROW()-ROW(A$173)+1))),","),"")</f>
        <v/>
      </c>
      <c r="M267" s="0" t="str">
        <f aca="false">IFERROR(CONCATENATE((INDEX($A$7:$A$171,SMALL(IF($N$7:$N$171&lt;&gt;"",IF($K$7:$K$171&lt;&gt;"",ROW($K$7:$K$171)-MIN(ROW($K$7:$K$171))+1,""),""),ROW()-ROW(A$173)+1))),),"")</f>
        <v/>
      </c>
      <c r="Q267" s="0" t="str">
        <f aca="false">IFERROR(CONCATENATE((INDEX($T$7:$T$171,SMALL(IF($T$7:$T$171&lt;&gt;"",IF($Q$7:$Q$171&lt;&gt;"",ROW($Q$7:$Q$171)-MIN(ROW($Q$7:$Q$171))+1,""),""),ROW()-ROW(A$173)+1)))," "),"")</f>
        <v/>
      </c>
      <c r="R267" s="0" t="str">
        <f aca="false">IFERROR(CONCATENATE(TEXT(INDEX($Q$7:$Q$171,SMALL(IF($T$7:$T$171&lt;&gt;"",IF($Q$7:$Q$171&lt;&gt;"",ROW($Q$7:$Q$171)-MIN(ROW($Q$7:$Q$171))+1,""),""),ROW()-ROW(A$173)+1)),"##0")," "),"")</f>
        <v/>
      </c>
      <c r="S267" s="0" t="str">
        <f aca="false">IFERROR(CONCATENATE((INDEX($A$7:$A$171,SMALL(IF($T$7:$T$171&lt;&gt;"",IF($Q$7:$Q$171&lt;&gt;"",ROW($Q$7:$Q$171)-MIN(ROW($Q$7:$Q$171))+1,""),""),ROW()-ROW(A$173)+1))),),"")</f>
        <v/>
      </c>
      <c r="W267" s="0" t="str">
        <f aca="false">IFERROR(CONCATENATE((INDEX($Z$7:$Z$171,SMALL(IF($Z$7:$Z$171&lt;&gt;"",IF($W$7:$W$171&lt;&gt;"",ROW($W$7:$W$171)-MIN(ROW($W$7:$W$171))+1,""),""),ROW()-ROW(A$173)+1))),","),"")</f>
        <v/>
      </c>
      <c r="X267" s="0" t="str">
        <f aca="false">IFERROR(CONCATENATE(TEXT(INDEX($W$7:$W$171,SMALL(IF($Z$7:$Z$171&lt;&gt;"",IF($W$7:$W$171&lt;&gt;"",ROW($W$7:$W$171)-MIN(ROW($W$7:$W$171))+1,""),""),ROW()-ROW(A$173)+1)),"##0"),","),"")</f>
        <v/>
      </c>
      <c r="Y267" s="0" t="str">
        <f aca="false">IFERROR(CONCATENATE((INDEX($A$7:$A$171,SMALL(IF($Z$7:$Z$171&lt;&gt;"",IF($W$7:$W$171&lt;&gt;"",ROW($W$7:$W$171)-MIN(ROW($W$7:$W$171))+1,""),""),ROW()-ROW(A$173)+1))),),"")</f>
        <v/>
      </c>
    </row>
    <row r="268" customFormat="false" ht="15" hidden="false" customHeight="false" outlineLevel="0" collapsed="false">
      <c r="K268" s="0" t="str">
        <f aca="false">IFERROR(CONCATENATE(TEXT(INDEX($K$7:$K$171,SMALL(IF($N$7:$N$171&lt;&gt;"",IF($K$7:$K$171&lt;&gt;"",ROW($K$7:$K$171)-MIN(ROW($K$7:$K$171))+1,""),""),ROW()-ROW(A$173)+1)),"##0"),","),"")</f>
        <v/>
      </c>
      <c r="L268" s="0" t="str">
        <f aca="false">IFERROR(CONCATENATE((INDEX($N$7:$N$171,SMALL(IF($N$7:$N$171&lt;&gt;"",IF($K$7:$K$171&lt;&gt;"",ROW($K$7:$K$171)-MIN(ROW($K$7:$K$171))+1,""),""),ROW()-ROW(A$173)+1))),","),"")</f>
        <v/>
      </c>
      <c r="M268" s="0" t="str">
        <f aca="false">IFERROR(CONCATENATE((INDEX($A$7:$A$171,SMALL(IF($N$7:$N$171&lt;&gt;"",IF($K$7:$K$171&lt;&gt;"",ROW($K$7:$K$171)-MIN(ROW($K$7:$K$171))+1,""),""),ROW()-ROW(A$173)+1))),),"")</f>
        <v/>
      </c>
      <c r="Q268" s="0" t="str">
        <f aca="false">IFERROR(CONCATENATE((INDEX($T$7:$T$171,SMALL(IF($T$7:$T$171&lt;&gt;"",IF($Q$7:$Q$171&lt;&gt;"",ROW($Q$7:$Q$171)-MIN(ROW($Q$7:$Q$171))+1,""),""),ROW()-ROW(A$173)+1)))," "),"")</f>
        <v/>
      </c>
      <c r="R268" s="0" t="str">
        <f aca="false">IFERROR(CONCATENATE(TEXT(INDEX($Q$7:$Q$171,SMALL(IF($T$7:$T$171&lt;&gt;"",IF($Q$7:$Q$171&lt;&gt;"",ROW($Q$7:$Q$171)-MIN(ROW($Q$7:$Q$171))+1,""),""),ROW()-ROW(A$173)+1)),"##0")," "),"")</f>
        <v/>
      </c>
      <c r="S268" s="0" t="str">
        <f aca="false">IFERROR(CONCATENATE((INDEX($A$7:$A$171,SMALL(IF($T$7:$T$171&lt;&gt;"",IF($Q$7:$Q$171&lt;&gt;"",ROW($Q$7:$Q$171)-MIN(ROW($Q$7:$Q$171))+1,""),""),ROW()-ROW(A$173)+1))),),"")</f>
        <v/>
      </c>
      <c r="W268" s="0" t="str">
        <f aca="false">IFERROR(CONCATENATE((INDEX($Z$7:$Z$171,SMALL(IF($Z$7:$Z$171&lt;&gt;"",IF($W$7:$W$171&lt;&gt;"",ROW($W$7:$W$171)-MIN(ROW($W$7:$W$171))+1,""),""),ROW()-ROW(A$173)+1))),","),"")</f>
        <v/>
      </c>
      <c r="X268" s="0" t="str">
        <f aca="false">IFERROR(CONCATENATE(TEXT(INDEX($W$7:$W$171,SMALL(IF($Z$7:$Z$171&lt;&gt;"",IF($W$7:$W$171&lt;&gt;"",ROW($W$7:$W$171)-MIN(ROW($W$7:$W$171))+1,""),""),ROW()-ROW(A$173)+1)),"##0"),","),"")</f>
        <v/>
      </c>
      <c r="Y268" s="0" t="str">
        <f aca="false">IFERROR(CONCATENATE((INDEX($A$7:$A$171,SMALL(IF($Z$7:$Z$171&lt;&gt;"",IF($W$7:$W$171&lt;&gt;"",ROW($W$7:$W$171)-MIN(ROW($W$7:$W$171))+1,""),""),ROW()-ROW(A$173)+1))),),"")</f>
        <v/>
      </c>
    </row>
    <row r="269" customFormat="false" ht="15" hidden="false" customHeight="false" outlineLevel="0" collapsed="false">
      <c r="K269" s="0" t="str">
        <f aca="false">IFERROR(CONCATENATE(TEXT(INDEX($K$7:$K$171,SMALL(IF($N$7:$N$171&lt;&gt;"",IF($K$7:$K$171&lt;&gt;"",ROW($K$7:$K$171)-MIN(ROW($K$7:$K$171))+1,""),""),ROW()-ROW(A$173)+1)),"##0"),","),"")</f>
        <v/>
      </c>
      <c r="L269" s="0" t="str">
        <f aca="false">IFERROR(CONCATENATE((INDEX($N$7:$N$171,SMALL(IF($N$7:$N$171&lt;&gt;"",IF($K$7:$K$171&lt;&gt;"",ROW($K$7:$K$171)-MIN(ROW($K$7:$K$171))+1,""),""),ROW()-ROW(A$173)+1))),","),"")</f>
        <v/>
      </c>
      <c r="M269" s="0" t="str">
        <f aca="false">IFERROR(CONCATENATE((INDEX($A$7:$A$171,SMALL(IF($N$7:$N$171&lt;&gt;"",IF($K$7:$K$171&lt;&gt;"",ROW($K$7:$K$171)-MIN(ROW($K$7:$K$171))+1,""),""),ROW()-ROW(A$173)+1))),),"")</f>
        <v/>
      </c>
      <c r="Q269" s="0" t="str">
        <f aca="false">IFERROR(CONCATENATE((INDEX($T$7:$T$171,SMALL(IF($T$7:$T$171&lt;&gt;"",IF($Q$7:$Q$171&lt;&gt;"",ROW($Q$7:$Q$171)-MIN(ROW($Q$7:$Q$171))+1,""),""),ROW()-ROW(A$173)+1)))," "),"")</f>
        <v/>
      </c>
      <c r="R269" s="0" t="str">
        <f aca="false">IFERROR(CONCATENATE(TEXT(INDEX($Q$7:$Q$171,SMALL(IF($T$7:$T$171&lt;&gt;"",IF($Q$7:$Q$171&lt;&gt;"",ROW($Q$7:$Q$171)-MIN(ROW($Q$7:$Q$171))+1,""),""),ROW()-ROW(A$173)+1)),"##0")," "),"")</f>
        <v/>
      </c>
      <c r="S269" s="0" t="str">
        <f aca="false">IFERROR(CONCATENATE((INDEX($A$7:$A$171,SMALL(IF($T$7:$T$171&lt;&gt;"",IF($Q$7:$Q$171&lt;&gt;"",ROW($Q$7:$Q$171)-MIN(ROW($Q$7:$Q$171))+1,""),""),ROW()-ROW(A$173)+1))),),"")</f>
        <v/>
      </c>
      <c r="W269" s="0" t="str">
        <f aca="false">IFERROR(CONCATENATE((INDEX($Z$7:$Z$171,SMALL(IF($Z$7:$Z$171&lt;&gt;"",IF($W$7:$W$171&lt;&gt;"",ROW($W$7:$W$171)-MIN(ROW($W$7:$W$171))+1,""),""),ROW()-ROW(A$173)+1))),","),"")</f>
        <v/>
      </c>
      <c r="X269" s="0" t="str">
        <f aca="false">IFERROR(CONCATENATE(TEXT(INDEX($W$7:$W$171,SMALL(IF($Z$7:$Z$171&lt;&gt;"",IF($W$7:$W$171&lt;&gt;"",ROW($W$7:$W$171)-MIN(ROW($W$7:$W$171))+1,""),""),ROW()-ROW(A$173)+1)),"##0"),","),"")</f>
        <v/>
      </c>
      <c r="Y269" s="0" t="str">
        <f aca="false">IFERROR(CONCATENATE((INDEX($A$7:$A$171,SMALL(IF($Z$7:$Z$171&lt;&gt;"",IF($W$7:$W$171&lt;&gt;"",ROW($W$7:$W$171)-MIN(ROW($W$7:$W$171))+1,""),""),ROW()-ROW(A$173)+1))),),"")</f>
        <v/>
      </c>
    </row>
    <row r="270" customFormat="false" ht="15" hidden="false" customHeight="false" outlineLevel="0" collapsed="false">
      <c r="K270" s="0" t="str">
        <f aca="false">IFERROR(CONCATENATE(TEXT(INDEX($K$7:$K$171,SMALL(IF($N$7:$N$171&lt;&gt;"",IF($K$7:$K$171&lt;&gt;"",ROW($K$7:$K$171)-MIN(ROW($K$7:$K$171))+1,""),""),ROW()-ROW(A$173)+1)),"##0"),","),"")</f>
        <v/>
      </c>
      <c r="L270" s="0" t="str">
        <f aca="false">IFERROR(CONCATENATE((INDEX($N$7:$N$171,SMALL(IF($N$7:$N$171&lt;&gt;"",IF($K$7:$K$171&lt;&gt;"",ROW($K$7:$K$171)-MIN(ROW($K$7:$K$171))+1,""),""),ROW()-ROW(A$173)+1))),","),"")</f>
        <v/>
      </c>
      <c r="M270" s="0" t="str">
        <f aca="false">IFERROR(CONCATENATE((INDEX($A$7:$A$171,SMALL(IF($N$7:$N$171&lt;&gt;"",IF($K$7:$K$171&lt;&gt;"",ROW($K$7:$K$171)-MIN(ROW($K$7:$K$171))+1,""),""),ROW()-ROW(A$173)+1))),),"")</f>
        <v/>
      </c>
      <c r="Q270" s="0" t="str">
        <f aca="false">IFERROR(CONCATENATE((INDEX($T$7:$T$171,SMALL(IF($T$7:$T$171&lt;&gt;"",IF($Q$7:$Q$171&lt;&gt;"",ROW($Q$7:$Q$171)-MIN(ROW($Q$7:$Q$171))+1,""),""),ROW()-ROW(A$173)+1)))," "),"")</f>
        <v/>
      </c>
      <c r="R270" s="0" t="str">
        <f aca="false">IFERROR(CONCATENATE(TEXT(INDEX($Q$7:$Q$171,SMALL(IF($T$7:$T$171&lt;&gt;"",IF($Q$7:$Q$171&lt;&gt;"",ROW($Q$7:$Q$171)-MIN(ROW($Q$7:$Q$171))+1,""),""),ROW()-ROW(A$173)+1)),"##0")," "),"")</f>
        <v/>
      </c>
      <c r="S270" s="0" t="str">
        <f aca="false">IFERROR(CONCATENATE((INDEX($A$7:$A$171,SMALL(IF($T$7:$T$171&lt;&gt;"",IF($Q$7:$Q$171&lt;&gt;"",ROW($Q$7:$Q$171)-MIN(ROW($Q$7:$Q$171))+1,""),""),ROW()-ROW(A$173)+1))),),"")</f>
        <v/>
      </c>
      <c r="W270" s="0" t="str">
        <f aca="false">IFERROR(CONCATENATE((INDEX($Z$7:$Z$171,SMALL(IF($Z$7:$Z$171&lt;&gt;"",IF($W$7:$W$171&lt;&gt;"",ROW($W$7:$W$171)-MIN(ROW($W$7:$W$171))+1,""),""),ROW()-ROW(A$173)+1))),","),"")</f>
        <v/>
      </c>
      <c r="X270" s="0" t="str">
        <f aca="false">IFERROR(CONCATENATE(TEXT(INDEX($W$7:$W$171,SMALL(IF($Z$7:$Z$171&lt;&gt;"",IF($W$7:$W$171&lt;&gt;"",ROW($W$7:$W$171)-MIN(ROW($W$7:$W$171))+1,""),""),ROW()-ROW(A$173)+1)),"##0"),","),"")</f>
        <v/>
      </c>
      <c r="Y270" s="0" t="str">
        <f aca="false">IFERROR(CONCATENATE((INDEX($A$7:$A$171,SMALL(IF($Z$7:$Z$171&lt;&gt;"",IF($W$7:$W$171&lt;&gt;"",ROW($W$7:$W$171)-MIN(ROW($W$7:$W$171))+1,""),""),ROW()-ROW(A$173)+1))),),"")</f>
        <v/>
      </c>
    </row>
    <row r="271" customFormat="false" ht="15" hidden="false" customHeight="false" outlineLevel="0" collapsed="false">
      <c r="K271" s="0" t="str">
        <f aca="false">IFERROR(CONCATENATE(TEXT(INDEX($K$7:$K$171,SMALL(IF($N$7:$N$171&lt;&gt;"",IF($K$7:$K$171&lt;&gt;"",ROW($K$7:$K$171)-MIN(ROW($K$7:$K$171))+1,""),""),ROW()-ROW(A$173)+1)),"##0"),","),"")</f>
        <v/>
      </c>
      <c r="L271" s="0" t="str">
        <f aca="false">IFERROR(CONCATENATE((INDEX($N$7:$N$171,SMALL(IF($N$7:$N$171&lt;&gt;"",IF($K$7:$K$171&lt;&gt;"",ROW($K$7:$K$171)-MIN(ROW($K$7:$K$171))+1,""),""),ROW()-ROW(A$173)+1))),","),"")</f>
        <v/>
      </c>
      <c r="M271" s="0" t="str">
        <f aca="false">IFERROR(CONCATENATE((INDEX($A$7:$A$171,SMALL(IF($N$7:$N$171&lt;&gt;"",IF($K$7:$K$171&lt;&gt;"",ROW($K$7:$K$171)-MIN(ROW($K$7:$K$171))+1,""),""),ROW()-ROW(A$173)+1))),),"")</f>
        <v/>
      </c>
      <c r="Q271" s="0" t="str">
        <f aca="false">IFERROR(CONCATENATE((INDEX($T$7:$T$171,SMALL(IF($T$7:$T$171&lt;&gt;"",IF($Q$7:$Q$171&lt;&gt;"",ROW($Q$7:$Q$171)-MIN(ROW($Q$7:$Q$171))+1,""),""),ROW()-ROW(A$173)+1)))," "),"")</f>
        <v/>
      </c>
      <c r="R271" s="0" t="str">
        <f aca="false">IFERROR(CONCATENATE(TEXT(INDEX($Q$7:$Q$171,SMALL(IF($T$7:$T$171&lt;&gt;"",IF($Q$7:$Q$171&lt;&gt;"",ROW($Q$7:$Q$171)-MIN(ROW($Q$7:$Q$171))+1,""),""),ROW()-ROW(A$173)+1)),"##0")," "),"")</f>
        <v/>
      </c>
      <c r="S271" s="0" t="str">
        <f aca="false">IFERROR(CONCATENATE((INDEX($A$7:$A$171,SMALL(IF($T$7:$T$171&lt;&gt;"",IF($Q$7:$Q$171&lt;&gt;"",ROW($Q$7:$Q$171)-MIN(ROW($Q$7:$Q$171))+1,""),""),ROW()-ROW(A$173)+1))),),"")</f>
        <v/>
      </c>
      <c r="W271" s="0" t="str">
        <f aca="false">IFERROR(CONCATENATE((INDEX($Z$7:$Z$171,SMALL(IF($Z$7:$Z$171&lt;&gt;"",IF($W$7:$W$171&lt;&gt;"",ROW($W$7:$W$171)-MIN(ROW($W$7:$W$171))+1,""),""),ROW()-ROW(A$173)+1))),","),"")</f>
        <v/>
      </c>
      <c r="X271" s="0" t="str">
        <f aca="false">IFERROR(CONCATENATE(TEXT(INDEX($W$7:$W$171,SMALL(IF($Z$7:$Z$171&lt;&gt;"",IF($W$7:$W$171&lt;&gt;"",ROW($W$7:$W$171)-MIN(ROW($W$7:$W$171))+1,""),""),ROW()-ROW(A$173)+1)),"##0"),","),"")</f>
        <v/>
      </c>
      <c r="Y271" s="0" t="str">
        <f aca="false">IFERROR(CONCATENATE((INDEX($A$7:$A$171,SMALL(IF($Z$7:$Z$171&lt;&gt;"",IF($W$7:$W$171&lt;&gt;"",ROW($W$7:$W$171)-MIN(ROW($W$7:$W$171))+1,""),""),ROW()-ROW(A$173)+1))),),"")</f>
        <v/>
      </c>
    </row>
    <row r="272" customFormat="false" ht="15" hidden="false" customHeight="false" outlineLevel="0" collapsed="false">
      <c r="K272" s="0" t="str">
        <f aca="false">IFERROR(CONCATENATE(TEXT(INDEX($K$7:$K$171,SMALL(IF($N$7:$N$171&lt;&gt;"",IF($K$7:$K$171&lt;&gt;"",ROW($K$7:$K$171)-MIN(ROW($K$7:$K$171))+1,""),""),ROW()-ROW(A$173)+1)),"##0"),","),"")</f>
        <v/>
      </c>
      <c r="L272" s="0" t="str">
        <f aca="false">IFERROR(CONCATENATE((INDEX($N$7:$N$171,SMALL(IF($N$7:$N$171&lt;&gt;"",IF($K$7:$K$171&lt;&gt;"",ROW($K$7:$K$171)-MIN(ROW($K$7:$K$171))+1,""),""),ROW()-ROW(A$173)+1))),","),"")</f>
        <v/>
      </c>
      <c r="M272" s="0" t="str">
        <f aca="false">IFERROR(CONCATENATE((INDEX($A$7:$A$171,SMALL(IF($N$7:$N$171&lt;&gt;"",IF($K$7:$K$171&lt;&gt;"",ROW($K$7:$K$171)-MIN(ROW($K$7:$K$171))+1,""),""),ROW()-ROW(A$173)+1))),),"")</f>
        <v/>
      </c>
      <c r="Q272" s="0" t="str">
        <f aca="false">IFERROR(CONCATENATE((INDEX($T$7:$T$171,SMALL(IF($T$7:$T$171&lt;&gt;"",IF($Q$7:$Q$171&lt;&gt;"",ROW($Q$7:$Q$171)-MIN(ROW($Q$7:$Q$171))+1,""),""),ROW()-ROW(A$173)+1)))," "),"")</f>
        <v/>
      </c>
      <c r="R272" s="0" t="str">
        <f aca="false">IFERROR(CONCATENATE(TEXT(INDEX($Q$7:$Q$171,SMALL(IF($T$7:$T$171&lt;&gt;"",IF($Q$7:$Q$171&lt;&gt;"",ROW($Q$7:$Q$171)-MIN(ROW($Q$7:$Q$171))+1,""),""),ROW()-ROW(A$173)+1)),"##0")," "),"")</f>
        <v/>
      </c>
      <c r="S272" s="0" t="str">
        <f aca="false">IFERROR(CONCATENATE((INDEX($A$7:$A$171,SMALL(IF($T$7:$T$171&lt;&gt;"",IF($Q$7:$Q$171&lt;&gt;"",ROW($Q$7:$Q$171)-MIN(ROW($Q$7:$Q$171))+1,""),""),ROW()-ROW(A$173)+1))),),"")</f>
        <v/>
      </c>
      <c r="W272" s="0" t="str">
        <f aca="false">IFERROR(CONCATENATE((INDEX($Z$7:$Z$171,SMALL(IF($Z$7:$Z$171&lt;&gt;"",IF($W$7:$W$171&lt;&gt;"",ROW($W$7:$W$171)-MIN(ROW($W$7:$W$171))+1,""),""),ROW()-ROW(A$173)+1))),","),"")</f>
        <v/>
      </c>
      <c r="X272" s="0" t="str">
        <f aca="false">IFERROR(CONCATENATE(TEXT(INDEX($W$7:$W$171,SMALL(IF($Z$7:$Z$171&lt;&gt;"",IF($W$7:$W$171&lt;&gt;"",ROW($W$7:$W$171)-MIN(ROW($W$7:$W$171))+1,""),""),ROW()-ROW(A$173)+1)),"##0"),","),"")</f>
        <v/>
      </c>
      <c r="Y272" s="0" t="str">
        <f aca="false">IFERROR(CONCATENATE((INDEX($A$7:$A$171,SMALL(IF($Z$7:$Z$171&lt;&gt;"",IF($W$7:$W$171&lt;&gt;"",ROW($W$7:$W$171)-MIN(ROW($W$7:$W$171))+1,""),""),ROW()-ROW(A$173)+1))),),"")</f>
        <v/>
      </c>
    </row>
    <row r="273" customFormat="false" ht="15" hidden="false" customHeight="false" outlineLevel="0" collapsed="false">
      <c r="K273" s="0" t="str">
        <f aca="false">IFERROR(CONCATENATE(TEXT(INDEX($K$7:$K$171,SMALL(IF($N$7:$N$171&lt;&gt;"",IF($K$7:$K$171&lt;&gt;"",ROW($K$7:$K$171)-MIN(ROW($K$7:$K$171))+1,""),""),ROW()-ROW(A$173)+1)),"##0"),","),"")</f>
        <v/>
      </c>
      <c r="L273" s="0" t="str">
        <f aca="false">IFERROR(CONCATENATE((INDEX($N$7:$N$171,SMALL(IF($N$7:$N$171&lt;&gt;"",IF($K$7:$K$171&lt;&gt;"",ROW($K$7:$K$171)-MIN(ROW($K$7:$K$171))+1,""),""),ROW()-ROW(A$173)+1))),","),"")</f>
        <v/>
      </c>
      <c r="M273" s="0" t="str">
        <f aca="false">IFERROR(CONCATENATE((INDEX($A$7:$A$171,SMALL(IF($N$7:$N$171&lt;&gt;"",IF($K$7:$K$171&lt;&gt;"",ROW($K$7:$K$171)-MIN(ROW($K$7:$K$171))+1,""),""),ROW()-ROW(A$173)+1))),),"")</f>
        <v/>
      </c>
      <c r="Q273" s="0" t="str">
        <f aca="false">IFERROR(CONCATENATE((INDEX($T$7:$T$171,SMALL(IF($T$7:$T$171&lt;&gt;"",IF($Q$7:$Q$171&lt;&gt;"",ROW($Q$7:$Q$171)-MIN(ROW($Q$7:$Q$171))+1,""),""),ROW()-ROW(A$173)+1)))," "),"")</f>
        <v/>
      </c>
      <c r="R273" s="0" t="str">
        <f aca="false">IFERROR(CONCATENATE(TEXT(INDEX($Q$7:$Q$171,SMALL(IF($T$7:$T$171&lt;&gt;"",IF($Q$7:$Q$171&lt;&gt;"",ROW($Q$7:$Q$171)-MIN(ROW($Q$7:$Q$171))+1,""),""),ROW()-ROW(A$173)+1)),"##0")," "),"")</f>
        <v/>
      </c>
      <c r="S273" s="0" t="str">
        <f aca="false">IFERROR(CONCATENATE((INDEX($A$7:$A$171,SMALL(IF($T$7:$T$171&lt;&gt;"",IF($Q$7:$Q$171&lt;&gt;"",ROW($Q$7:$Q$171)-MIN(ROW($Q$7:$Q$171))+1,""),""),ROW()-ROW(A$173)+1))),),"")</f>
        <v/>
      </c>
      <c r="W273" s="0" t="str">
        <f aca="false">IFERROR(CONCATENATE((INDEX($Z$7:$Z$171,SMALL(IF($Z$7:$Z$171&lt;&gt;"",IF($W$7:$W$171&lt;&gt;"",ROW($W$7:$W$171)-MIN(ROW($W$7:$W$171))+1,""),""),ROW()-ROW(A$173)+1))),","),"")</f>
        <v/>
      </c>
      <c r="X273" s="0" t="str">
        <f aca="false">IFERROR(CONCATENATE(TEXT(INDEX($W$7:$W$171,SMALL(IF($Z$7:$Z$171&lt;&gt;"",IF($W$7:$W$171&lt;&gt;"",ROW($W$7:$W$171)-MIN(ROW($W$7:$W$171))+1,""),""),ROW()-ROW(A$173)+1)),"##0"),","),"")</f>
        <v/>
      </c>
      <c r="Y273" s="0" t="str">
        <f aca="false">IFERROR(CONCATENATE((INDEX($A$7:$A$171,SMALL(IF($Z$7:$Z$171&lt;&gt;"",IF($W$7:$W$171&lt;&gt;"",ROW($W$7:$W$171)-MIN(ROW($W$7:$W$171))+1,""),""),ROW()-ROW(A$173)+1))),),"")</f>
        <v/>
      </c>
    </row>
    <row r="274" customFormat="false" ht="15" hidden="false" customHeight="false" outlineLevel="0" collapsed="false">
      <c r="K274" s="0" t="str">
        <f aca="false">IFERROR(CONCATENATE(TEXT(INDEX($K$7:$K$171,SMALL(IF($N$7:$N$171&lt;&gt;"",IF($K$7:$K$171&lt;&gt;"",ROW($K$7:$K$171)-MIN(ROW($K$7:$K$171))+1,""),""),ROW()-ROW(A$173)+1)),"##0"),","),"")</f>
        <v/>
      </c>
      <c r="L274" s="0" t="str">
        <f aca="false">IFERROR(CONCATENATE((INDEX($N$7:$N$171,SMALL(IF($N$7:$N$171&lt;&gt;"",IF($K$7:$K$171&lt;&gt;"",ROW($K$7:$K$171)-MIN(ROW($K$7:$K$171))+1,""),""),ROW()-ROW(A$173)+1))),","),"")</f>
        <v/>
      </c>
      <c r="M274" s="0" t="str">
        <f aca="false">IFERROR(CONCATENATE((INDEX($A$7:$A$171,SMALL(IF($N$7:$N$171&lt;&gt;"",IF($K$7:$K$171&lt;&gt;"",ROW($K$7:$K$171)-MIN(ROW($K$7:$K$171))+1,""),""),ROW()-ROW(A$173)+1))),),"")</f>
        <v/>
      </c>
      <c r="Q274" s="0" t="str">
        <f aca="false">IFERROR(CONCATENATE((INDEX($T$7:$T$171,SMALL(IF($T$7:$T$171&lt;&gt;"",IF($Q$7:$Q$171&lt;&gt;"",ROW($Q$7:$Q$171)-MIN(ROW($Q$7:$Q$171))+1,""),""),ROW()-ROW(A$173)+1)))," "),"")</f>
        <v/>
      </c>
      <c r="R274" s="0" t="str">
        <f aca="false">IFERROR(CONCATENATE(TEXT(INDEX($Q$7:$Q$171,SMALL(IF($T$7:$T$171&lt;&gt;"",IF($Q$7:$Q$171&lt;&gt;"",ROW($Q$7:$Q$171)-MIN(ROW($Q$7:$Q$171))+1,""),""),ROW()-ROW(A$173)+1)),"##0")," "),"")</f>
        <v/>
      </c>
      <c r="S274" s="0" t="str">
        <f aca="false">IFERROR(CONCATENATE((INDEX($A$7:$A$171,SMALL(IF($T$7:$T$171&lt;&gt;"",IF($Q$7:$Q$171&lt;&gt;"",ROW($Q$7:$Q$171)-MIN(ROW($Q$7:$Q$171))+1,""),""),ROW()-ROW(A$173)+1))),),"")</f>
        <v/>
      </c>
      <c r="W274" s="0" t="str">
        <f aca="false">IFERROR(CONCATENATE((INDEX($Z$7:$Z$171,SMALL(IF($Z$7:$Z$171&lt;&gt;"",IF($W$7:$W$171&lt;&gt;"",ROW($W$7:$W$171)-MIN(ROW($W$7:$W$171))+1,""),""),ROW()-ROW(A$173)+1))),","),"")</f>
        <v/>
      </c>
      <c r="X274" s="0" t="str">
        <f aca="false">IFERROR(CONCATENATE(TEXT(INDEX($W$7:$W$171,SMALL(IF($Z$7:$Z$171&lt;&gt;"",IF($W$7:$W$171&lt;&gt;"",ROW($W$7:$W$171)-MIN(ROW($W$7:$W$171))+1,""),""),ROW()-ROW(A$173)+1)),"##0"),","),"")</f>
        <v/>
      </c>
      <c r="Y274" s="0" t="str">
        <f aca="false">IFERROR(CONCATENATE((INDEX($A$7:$A$171,SMALL(IF($Z$7:$Z$171&lt;&gt;"",IF($W$7:$W$171&lt;&gt;"",ROW($W$7:$W$171)-MIN(ROW($W$7:$W$171))+1,""),""),ROW()-ROW(A$173)+1))),),"")</f>
        <v/>
      </c>
    </row>
    <row r="275" customFormat="false" ht="15" hidden="false" customHeight="false" outlineLevel="0" collapsed="false">
      <c r="K275" s="0" t="str">
        <f aca="false">IFERROR(CONCATENATE(TEXT(INDEX($K$7:$K$171,SMALL(IF($N$7:$N$171&lt;&gt;"",IF($K$7:$K$171&lt;&gt;"",ROW($K$7:$K$171)-MIN(ROW($K$7:$K$171))+1,""),""),ROW()-ROW(A$173)+1)),"##0"),","),"")</f>
        <v/>
      </c>
      <c r="L275" s="0" t="str">
        <f aca="false">IFERROR(CONCATENATE((INDEX($N$7:$N$171,SMALL(IF($N$7:$N$171&lt;&gt;"",IF($K$7:$K$171&lt;&gt;"",ROW($K$7:$K$171)-MIN(ROW($K$7:$K$171))+1,""),""),ROW()-ROW(A$173)+1))),","),"")</f>
        <v/>
      </c>
      <c r="M275" s="0" t="str">
        <f aca="false">IFERROR(CONCATENATE((INDEX($A$7:$A$171,SMALL(IF($N$7:$N$171&lt;&gt;"",IF($K$7:$K$171&lt;&gt;"",ROW($K$7:$K$171)-MIN(ROW($K$7:$K$171))+1,""),""),ROW()-ROW(A$173)+1))),),"")</f>
        <v/>
      </c>
      <c r="Q275" s="0" t="str">
        <f aca="false">IFERROR(CONCATENATE((INDEX($T$7:$T$171,SMALL(IF($T$7:$T$171&lt;&gt;"",IF($Q$7:$Q$171&lt;&gt;"",ROW($Q$7:$Q$171)-MIN(ROW($Q$7:$Q$171))+1,""),""),ROW()-ROW(A$173)+1)))," "),"")</f>
        <v/>
      </c>
      <c r="R275" s="0" t="str">
        <f aca="false">IFERROR(CONCATENATE(TEXT(INDEX($Q$7:$Q$171,SMALL(IF($T$7:$T$171&lt;&gt;"",IF($Q$7:$Q$171&lt;&gt;"",ROW($Q$7:$Q$171)-MIN(ROW($Q$7:$Q$171))+1,""),""),ROW()-ROW(A$173)+1)),"##0")," "),"")</f>
        <v/>
      </c>
      <c r="S275" s="0" t="str">
        <f aca="false">IFERROR(CONCATENATE((INDEX($A$7:$A$171,SMALL(IF($T$7:$T$171&lt;&gt;"",IF($Q$7:$Q$171&lt;&gt;"",ROW($Q$7:$Q$171)-MIN(ROW($Q$7:$Q$171))+1,""),""),ROW()-ROW(A$173)+1))),),"")</f>
        <v/>
      </c>
      <c r="W275" s="0" t="str">
        <f aca="false">IFERROR(CONCATENATE((INDEX($Z$7:$Z$171,SMALL(IF($Z$7:$Z$171&lt;&gt;"",IF($W$7:$W$171&lt;&gt;"",ROW($W$7:$W$171)-MIN(ROW($W$7:$W$171))+1,""),""),ROW()-ROW(A$173)+1))),","),"")</f>
        <v/>
      </c>
      <c r="X275" s="0" t="str">
        <f aca="false">IFERROR(CONCATENATE(TEXT(INDEX($W$7:$W$171,SMALL(IF($Z$7:$Z$171&lt;&gt;"",IF($W$7:$W$171&lt;&gt;"",ROW($W$7:$W$171)-MIN(ROW($W$7:$W$171))+1,""),""),ROW()-ROW(A$173)+1)),"##0"),","),"")</f>
        <v/>
      </c>
      <c r="Y275" s="0" t="str">
        <f aca="false">IFERROR(CONCATENATE((INDEX($A$7:$A$171,SMALL(IF($Z$7:$Z$171&lt;&gt;"",IF($W$7:$W$171&lt;&gt;"",ROW($W$7:$W$171)-MIN(ROW($W$7:$W$171))+1,""),""),ROW()-ROW(A$173)+1))),),"")</f>
        <v/>
      </c>
    </row>
    <row r="276" customFormat="false" ht="15" hidden="false" customHeight="false" outlineLevel="0" collapsed="false">
      <c r="K276" s="0" t="str">
        <f aca="false">IFERROR(CONCATENATE(TEXT(INDEX($K$7:$K$171,SMALL(IF($N$7:$N$171&lt;&gt;"",IF($K$7:$K$171&lt;&gt;"",ROW($K$7:$K$171)-MIN(ROW($K$7:$K$171))+1,""),""),ROW()-ROW(A$173)+1)),"##0"),","),"")</f>
        <v/>
      </c>
      <c r="L276" s="0" t="str">
        <f aca="false">IFERROR(CONCATENATE((INDEX($N$7:$N$171,SMALL(IF($N$7:$N$171&lt;&gt;"",IF($K$7:$K$171&lt;&gt;"",ROW($K$7:$K$171)-MIN(ROW($K$7:$K$171))+1,""),""),ROW()-ROW(A$173)+1))),","),"")</f>
        <v/>
      </c>
      <c r="M276" s="0" t="str">
        <f aca="false">IFERROR(CONCATENATE((INDEX($A$7:$A$171,SMALL(IF($N$7:$N$171&lt;&gt;"",IF($K$7:$K$171&lt;&gt;"",ROW($K$7:$K$171)-MIN(ROW($K$7:$K$171))+1,""),""),ROW()-ROW(A$173)+1))),),"")</f>
        <v/>
      </c>
      <c r="Q276" s="0" t="str">
        <f aca="false">IFERROR(CONCATENATE((INDEX($T$7:$T$171,SMALL(IF($T$7:$T$171&lt;&gt;"",IF($Q$7:$Q$171&lt;&gt;"",ROW($Q$7:$Q$171)-MIN(ROW($Q$7:$Q$171))+1,""),""),ROW()-ROW(A$173)+1)))," "),"")</f>
        <v/>
      </c>
      <c r="R276" s="0" t="str">
        <f aca="false">IFERROR(CONCATENATE(TEXT(INDEX($Q$7:$Q$171,SMALL(IF($T$7:$T$171&lt;&gt;"",IF($Q$7:$Q$171&lt;&gt;"",ROW($Q$7:$Q$171)-MIN(ROW($Q$7:$Q$171))+1,""),""),ROW()-ROW(A$173)+1)),"##0")," "),"")</f>
        <v/>
      </c>
      <c r="S276" s="0" t="str">
        <f aca="false">IFERROR(CONCATENATE((INDEX($A$7:$A$171,SMALL(IF($T$7:$T$171&lt;&gt;"",IF($Q$7:$Q$171&lt;&gt;"",ROW($Q$7:$Q$171)-MIN(ROW($Q$7:$Q$171))+1,""),""),ROW()-ROW(A$173)+1))),),"")</f>
        <v/>
      </c>
      <c r="W276" s="0" t="str">
        <f aca="false">IFERROR(CONCATENATE((INDEX($Z$7:$Z$171,SMALL(IF($Z$7:$Z$171&lt;&gt;"",IF($W$7:$W$171&lt;&gt;"",ROW($W$7:$W$171)-MIN(ROW($W$7:$W$171))+1,""),""),ROW()-ROW(A$173)+1))),","),"")</f>
        <v/>
      </c>
      <c r="X276" s="0" t="str">
        <f aca="false">IFERROR(CONCATENATE(TEXT(INDEX($W$7:$W$171,SMALL(IF($Z$7:$Z$171&lt;&gt;"",IF($W$7:$W$171&lt;&gt;"",ROW($W$7:$W$171)-MIN(ROW($W$7:$W$171))+1,""),""),ROW()-ROW(A$173)+1)),"##0"),","),"")</f>
        <v/>
      </c>
      <c r="Y276" s="0" t="str">
        <f aca="false">IFERROR(CONCATENATE((INDEX($A$7:$A$171,SMALL(IF($Z$7:$Z$171&lt;&gt;"",IF($W$7:$W$171&lt;&gt;"",ROW($W$7:$W$171)-MIN(ROW($W$7:$W$171))+1,""),""),ROW()-ROW(A$173)+1))),),"")</f>
        <v/>
      </c>
    </row>
    <row r="277" customFormat="false" ht="15" hidden="false" customHeight="false" outlineLevel="0" collapsed="false">
      <c r="K277" s="0" t="str">
        <f aca="false">IFERROR(CONCATENATE(TEXT(INDEX($K$7:$K$171,SMALL(IF($N$7:$N$171&lt;&gt;"",IF($K$7:$K$171&lt;&gt;"",ROW($K$7:$K$171)-MIN(ROW($K$7:$K$171))+1,""),""),ROW()-ROW(A$173)+1)),"##0"),","),"")</f>
        <v/>
      </c>
      <c r="L277" s="0" t="str">
        <f aca="false">IFERROR(CONCATENATE((INDEX($N$7:$N$171,SMALL(IF($N$7:$N$171&lt;&gt;"",IF($K$7:$K$171&lt;&gt;"",ROW($K$7:$K$171)-MIN(ROW($K$7:$K$171))+1,""),""),ROW()-ROW(A$173)+1))),","),"")</f>
        <v/>
      </c>
      <c r="M277" s="0" t="str">
        <f aca="false">IFERROR(CONCATENATE((INDEX($A$7:$A$171,SMALL(IF($N$7:$N$171&lt;&gt;"",IF($K$7:$K$171&lt;&gt;"",ROW($K$7:$K$171)-MIN(ROW($K$7:$K$171))+1,""),""),ROW()-ROW(A$173)+1))),),"")</f>
        <v/>
      </c>
      <c r="Q277" s="0" t="str">
        <f aca="false">IFERROR(CONCATENATE((INDEX($T$7:$T$171,SMALL(IF($T$7:$T$171&lt;&gt;"",IF($Q$7:$Q$171&lt;&gt;"",ROW($Q$7:$Q$171)-MIN(ROW($Q$7:$Q$171))+1,""),""),ROW()-ROW(A$173)+1)))," "),"")</f>
        <v/>
      </c>
      <c r="R277" s="0" t="str">
        <f aca="false">IFERROR(CONCATENATE(TEXT(INDEX($Q$7:$Q$171,SMALL(IF($T$7:$T$171&lt;&gt;"",IF($Q$7:$Q$171&lt;&gt;"",ROW($Q$7:$Q$171)-MIN(ROW($Q$7:$Q$171))+1,""),""),ROW()-ROW(A$173)+1)),"##0")," "),"")</f>
        <v/>
      </c>
      <c r="S277" s="0" t="str">
        <f aca="false">IFERROR(CONCATENATE((INDEX($A$7:$A$171,SMALL(IF($T$7:$T$171&lt;&gt;"",IF($Q$7:$Q$171&lt;&gt;"",ROW($Q$7:$Q$171)-MIN(ROW($Q$7:$Q$171))+1,""),""),ROW()-ROW(A$173)+1))),),"")</f>
        <v/>
      </c>
      <c r="W277" s="0" t="str">
        <f aca="false">IFERROR(CONCATENATE((INDEX($Z$7:$Z$171,SMALL(IF($Z$7:$Z$171&lt;&gt;"",IF($W$7:$W$171&lt;&gt;"",ROW($W$7:$W$171)-MIN(ROW($W$7:$W$171))+1,""),""),ROW()-ROW(A$173)+1))),","),"")</f>
        <v/>
      </c>
      <c r="X277" s="0" t="str">
        <f aca="false">IFERROR(CONCATENATE(TEXT(INDEX($W$7:$W$171,SMALL(IF($Z$7:$Z$171&lt;&gt;"",IF($W$7:$W$171&lt;&gt;"",ROW($W$7:$W$171)-MIN(ROW($W$7:$W$171))+1,""),""),ROW()-ROW(A$173)+1)),"##0"),","),"")</f>
        <v/>
      </c>
      <c r="Y277" s="0" t="str">
        <f aca="false">IFERROR(CONCATENATE((INDEX($A$7:$A$171,SMALL(IF($Z$7:$Z$171&lt;&gt;"",IF($W$7:$W$171&lt;&gt;"",ROW($W$7:$W$171)-MIN(ROW($W$7:$W$171))+1,""),""),ROW()-ROW(A$173)+1))),),"")</f>
        <v/>
      </c>
    </row>
    <row r="278" customFormat="false" ht="15" hidden="false" customHeight="false" outlineLevel="0" collapsed="false">
      <c r="K278" s="0" t="str">
        <f aca="false">IFERROR(CONCATENATE(TEXT(INDEX($K$7:$K$171,SMALL(IF($N$7:$N$171&lt;&gt;"",IF($K$7:$K$171&lt;&gt;"",ROW($K$7:$K$171)-MIN(ROW($K$7:$K$171))+1,""),""),ROW()-ROW(A$173)+1)),"##0"),","),"")</f>
        <v/>
      </c>
      <c r="L278" s="0" t="str">
        <f aca="false">IFERROR(CONCATENATE((INDEX($N$7:$N$171,SMALL(IF($N$7:$N$171&lt;&gt;"",IF($K$7:$K$171&lt;&gt;"",ROW($K$7:$K$171)-MIN(ROW($K$7:$K$171))+1,""),""),ROW()-ROW(A$173)+1))),","),"")</f>
        <v/>
      </c>
      <c r="M278" s="0" t="str">
        <f aca="false">IFERROR(CONCATENATE((INDEX($A$7:$A$171,SMALL(IF($N$7:$N$171&lt;&gt;"",IF($K$7:$K$171&lt;&gt;"",ROW($K$7:$K$171)-MIN(ROW($K$7:$K$171))+1,""),""),ROW()-ROW(A$173)+1))),),"")</f>
        <v/>
      </c>
      <c r="Q278" s="0" t="str">
        <f aca="false">IFERROR(CONCATENATE((INDEX($T$7:$T$171,SMALL(IF($T$7:$T$171&lt;&gt;"",IF($Q$7:$Q$171&lt;&gt;"",ROW($Q$7:$Q$171)-MIN(ROW($Q$7:$Q$171))+1,""),""),ROW()-ROW(A$173)+1)))," "),"")</f>
        <v/>
      </c>
      <c r="R278" s="0" t="str">
        <f aca="false">IFERROR(CONCATENATE(TEXT(INDEX($Q$7:$Q$171,SMALL(IF($T$7:$T$171&lt;&gt;"",IF($Q$7:$Q$171&lt;&gt;"",ROW($Q$7:$Q$171)-MIN(ROW($Q$7:$Q$171))+1,""),""),ROW()-ROW(A$173)+1)),"##0")," "),"")</f>
        <v/>
      </c>
      <c r="S278" s="0" t="str">
        <f aca="false">IFERROR(CONCATENATE((INDEX($A$7:$A$171,SMALL(IF($T$7:$T$171&lt;&gt;"",IF($Q$7:$Q$171&lt;&gt;"",ROW($Q$7:$Q$171)-MIN(ROW($Q$7:$Q$171))+1,""),""),ROW()-ROW(A$173)+1))),),"")</f>
        <v/>
      </c>
      <c r="W278" s="0" t="str">
        <f aca="false">IFERROR(CONCATENATE((INDEX($Z$7:$Z$171,SMALL(IF($Z$7:$Z$171&lt;&gt;"",IF($W$7:$W$171&lt;&gt;"",ROW($W$7:$W$171)-MIN(ROW($W$7:$W$171))+1,""),""),ROW()-ROW(A$173)+1))),","),"")</f>
        <v/>
      </c>
      <c r="X278" s="0" t="str">
        <f aca="false">IFERROR(CONCATENATE(TEXT(INDEX($W$7:$W$171,SMALL(IF($Z$7:$Z$171&lt;&gt;"",IF($W$7:$W$171&lt;&gt;"",ROW($W$7:$W$171)-MIN(ROW($W$7:$W$171))+1,""),""),ROW()-ROW(A$173)+1)),"##0"),","),"")</f>
        <v/>
      </c>
      <c r="Y278" s="0" t="str">
        <f aca="false">IFERROR(CONCATENATE((INDEX($A$7:$A$171,SMALL(IF($Z$7:$Z$171&lt;&gt;"",IF($W$7:$W$171&lt;&gt;"",ROW($W$7:$W$171)-MIN(ROW($W$7:$W$171))+1,""),""),ROW()-ROW(A$173)+1))),),"")</f>
        <v/>
      </c>
    </row>
    <row r="279" customFormat="false" ht="15" hidden="false" customHeight="false" outlineLevel="0" collapsed="false">
      <c r="K279" s="0" t="str">
        <f aca="false">IFERROR(CONCATENATE(TEXT(INDEX($K$7:$K$171,SMALL(IF($N$7:$N$171&lt;&gt;"",IF($K$7:$K$171&lt;&gt;"",ROW($K$7:$K$171)-MIN(ROW($K$7:$K$171))+1,""),""),ROW()-ROW(A$173)+1)),"##0"),","),"")</f>
        <v/>
      </c>
      <c r="L279" s="0" t="str">
        <f aca="false">IFERROR(CONCATENATE((INDEX($N$7:$N$171,SMALL(IF($N$7:$N$171&lt;&gt;"",IF($K$7:$K$171&lt;&gt;"",ROW($K$7:$K$171)-MIN(ROW($K$7:$K$171))+1,""),""),ROW()-ROW(A$173)+1))),","),"")</f>
        <v/>
      </c>
      <c r="M279" s="0" t="str">
        <f aca="false">IFERROR(CONCATENATE((INDEX($A$7:$A$171,SMALL(IF($N$7:$N$171&lt;&gt;"",IF($K$7:$K$171&lt;&gt;"",ROW($K$7:$K$171)-MIN(ROW($K$7:$K$171))+1,""),""),ROW()-ROW(A$173)+1))),),"")</f>
        <v/>
      </c>
      <c r="Q279" s="0" t="str">
        <f aca="false">IFERROR(CONCATENATE((INDEX($T$7:$T$171,SMALL(IF($T$7:$T$171&lt;&gt;"",IF($Q$7:$Q$171&lt;&gt;"",ROW($Q$7:$Q$171)-MIN(ROW($Q$7:$Q$171))+1,""),""),ROW()-ROW(A$173)+1)))," "),"")</f>
        <v/>
      </c>
      <c r="R279" s="0" t="str">
        <f aca="false">IFERROR(CONCATENATE(TEXT(INDEX($Q$7:$Q$171,SMALL(IF($T$7:$T$171&lt;&gt;"",IF($Q$7:$Q$171&lt;&gt;"",ROW($Q$7:$Q$171)-MIN(ROW($Q$7:$Q$171))+1,""),""),ROW()-ROW(A$173)+1)),"##0")," "),"")</f>
        <v/>
      </c>
      <c r="S279" s="0" t="str">
        <f aca="false">IFERROR(CONCATENATE((INDEX($A$7:$A$171,SMALL(IF($T$7:$T$171&lt;&gt;"",IF($Q$7:$Q$171&lt;&gt;"",ROW($Q$7:$Q$171)-MIN(ROW($Q$7:$Q$171))+1,""),""),ROW()-ROW(A$173)+1))),),"")</f>
        <v/>
      </c>
      <c r="W279" s="0" t="str">
        <f aca="false">IFERROR(CONCATENATE((INDEX($Z$7:$Z$171,SMALL(IF($Z$7:$Z$171&lt;&gt;"",IF($W$7:$W$171&lt;&gt;"",ROW($W$7:$W$171)-MIN(ROW($W$7:$W$171))+1,""),""),ROW()-ROW(A$173)+1))),","),"")</f>
        <v/>
      </c>
      <c r="X279" s="0" t="str">
        <f aca="false">IFERROR(CONCATENATE(TEXT(INDEX($W$7:$W$171,SMALL(IF($Z$7:$Z$171&lt;&gt;"",IF($W$7:$W$171&lt;&gt;"",ROW($W$7:$W$171)-MIN(ROW($W$7:$W$171))+1,""),""),ROW()-ROW(A$173)+1)),"##0"),","),"")</f>
        <v/>
      </c>
      <c r="Y279" s="0" t="str">
        <f aca="false">IFERROR(CONCATENATE((INDEX($A$7:$A$171,SMALL(IF($Z$7:$Z$171&lt;&gt;"",IF($W$7:$W$171&lt;&gt;"",ROW($W$7:$W$171)-MIN(ROW($W$7:$W$171))+1,""),""),ROW()-ROW(A$173)+1))),),"")</f>
        <v/>
      </c>
    </row>
    <row r="280" customFormat="false" ht="15" hidden="false" customHeight="false" outlineLevel="0" collapsed="false">
      <c r="K280" s="0" t="str">
        <f aca="false">IFERROR(CONCATENATE(TEXT(INDEX($K$7:$K$171,SMALL(IF($N$7:$N$171&lt;&gt;"",IF($K$7:$K$171&lt;&gt;"",ROW($K$7:$K$171)-MIN(ROW($K$7:$K$171))+1,""),""),ROW()-ROW(A$173)+1)),"##0"),","),"")</f>
        <v/>
      </c>
      <c r="L280" s="0" t="str">
        <f aca="false">IFERROR(CONCATENATE((INDEX($N$7:$N$171,SMALL(IF($N$7:$N$171&lt;&gt;"",IF($K$7:$K$171&lt;&gt;"",ROW($K$7:$K$171)-MIN(ROW($K$7:$K$171))+1,""),""),ROW()-ROW(A$173)+1))),","),"")</f>
        <v/>
      </c>
      <c r="M280" s="0" t="str">
        <f aca="false">IFERROR(CONCATENATE((INDEX($A$7:$A$171,SMALL(IF($N$7:$N$171&lt;&gt;"",IF($K$7:$K$171&lt;&gt;"",ROW($K$7:$K$171)-MIN(ROW($K$7:$K$171))+1,""),""),ROW()-ROW(A$173)+1))),),"")</f>
        <v/>
      </c>
      <c r="Q280" s="0" t="str">
        <f aca="false">IFERROR(CONCATENATE((INDEX($T$7:$T$171,SMALL(IF($T$7:$T$171&lt;&gt;"",IF($Q$7:$Q$171&lt;&gt;"",ROW($Q$7:$Q$171)-MIN(ROW($Q$7:$Q$171))+1,""),""),ROW()-ROW(A$173)+1)))," "),"")</f>
        <v/>
      </c>
      <c r="R280" s="0" t="str">
        <f aca="false">IFERROR(CONCATENATE(TEXT(INDEX($Q$7:$Q$171,SMALL(IF($T$7:$T$171&lt;&gt;"",IF($Q$7:$Q$171&lt;&gt;"",ROW($Q$7:$Q$171)-MIN(ROW($Q$7:$Q$171))+1,""),""),ROW()-ROW(A$173)+1)),"##0")," "),"")</f>
        <v/>
      </c>
      <c r="S280" s="0" t="str">
        <f aca="false">IFERROR(CONCATENATE((INDEX($A$7:$A$171,SMALL(IF($T$7:$T$171&lt;&gt;"",IF($Q$7:$Q$171&lt;&gt;"",ROW($Q$7:$Q$171)-MIN(ROW($Q$7:$Q$171))+1,""),""),ROW()-ROW(A$173)+1))),),"")</f>
        <v/>
      </c>
      <c r="W280" s="0" t="str">
        <f aca="false">IFERROR(CONCATENATE((INDEX($Z$7:$Z$171,SMALL(IF($Z$7:$Z$171&lt;&gt;"",IF($W$7:$W$171&lt;&gt;"",ROW($W$7:$W$171)-MIN(ROW($W$7:$W$171))+1,""),""),ROW()-ROW(A$173)+1))),","),"")</f>
        <v/>
      </c>
      <c r="X280" s="0" t="str">
        <f aca="false">IFERROR(CONCATENATE(TEXT(INDEX($W$7:$W$171,SMALL(IF($Z$7:$Z$171&lt;&gt;"",IF($W$7:$W$171&lt;&gt;"",ROW($W$7:$W$171)-MIN(ROW($W$7:$W$171))+1,""),""),ROW()-ROW(A$173)+1)),"##0"),","),"")</f>
        <v/>
      </c>
      <c r="Y280" s="0" t="str">
        <f aca="false">IFERROR(CONCATENATE((INDEX($A$7:$A$171,SMALL(IF($Z$7:$Z$171&lt;&gt;"",IF($W$7:$W$171&lt;&gt;"",ROW($W$7:$W$171)-MIN(ROW($W$7:$W$171))+1,""),""),ROW()-ROW(A$173)+1))),),"")</f>
        <v/>
      </c>
    </row>
    <row r="281" customFormat="false" ht="15" hidden="false" customHeight="false" outlineLevel="0" collapsed="false">
      <c r="K281" s="0" t="str">
        <f aca="false">IFERROR(CONCATENATE(TEXT(INDEX($K$7:$K$171,SMALL(IF($N$7:$N$171&lt;&gt;"",IF($K$7:$K$171&lt;&gt;"",ROW($K$7:$K$171)-MIN(ROW($K$7:$K$171))+1,""),""),ROW()-ROW(A$173)+1)),"##0"),","),"")</f>
        <v/>
      </c>
      <c r="L281" s="0" t="str">
        <f aca="false">IFERROR(CONCATENATE((INDEX($N$7:$N$171,SMALL(IF($N$7:$N$171&lt;&gt;"",IF($K$7:$K$171&lt;&gt;"",ROW($K$7:$K$171)-MIN(ROW($K$7:$K$171))+1,""),""),ROW()-ROW(A$173)+1))),","),"")</f>
        <v/>
      </c>
      <c r="M281" s="0" t="str">
        <f aca="false">IFERROR(CONCATENATE((INDEX($A$7:$A$171,SMALL(IF($N$7:$N$171&lt;&gt;"",IF($K$7:$K$171&lt;&gt;"",ROW($K$7:$K$171)-MIN(ROW($K$7:$K$171))+1,""),""),ROW()-ROW(A$173)+1))),),"")</f>
        <v/>
      </c>
      <c r="Q281" s="0" t="str">
        <f aca="false">IFERROR(CONCATENATE((INDEX($T$7:$T$171,SMALL(IF($T$7:$T$171&lt;&gt;"",IF($Q$7:$Q$171&lt;&gt;"",ROW($Q$7:$Q$171)-MIN(ROW($Q$7:$Q$171))+1,""),""),ROW()-ROW(A$173)+1)))," "),"")</f>
        <v/>
      </c>
      <c r="R281" s="0" t="str">
        <f aca="false">IFERROR(CONCATENATE(TEXT(INDEX($Q$7:$Q$171,SMALL(IF($T$7:$T$171&lt;&gt;"",IF($Q$7:$Q$171&lt;&gt;"",ROW($Q$7:$Q$171)-MIN(ROW($Q$7:$Q$171))+1,""),""),ROW()-ROW(A$173)+1)),"##0")," "),"")</f>
        <v/>
      </c>
      <c r="S281" s="0" t="str">
        <f aca="false">IFERROR(CONCATENATE((INDEX($A$7:$A$171,SMALL(IF($T$7:$T$171&lt;&gt;"",IF($Q$7:$Q$171&lt;&gt;"",ROW($Q$7:$Q$171)-MIN(ROW($Q$7:$Q$171))+1,""),""),ROW()-ROW(A$173)+1))),),"")</f>
        <v/>
      </c>
      <c r="W281" s="0" t="str">
        <f aca="false">IFERROR(CONCATENATE((INDEX($Z$7:$Z$171,SMALL(IF($Z$7:$Z$171&lt;&gt;"",IF($W$7:$W$171&lt;&gt;"",ROW($W$7:$W$171)-MIN(ROW($W$7:$W$171))+1,""),""),ROW()-ROW(A$173)+1))),","),"")</f>
        <v/>
      </c>
      <c r="X281" s="0" t="str">
        <f aca="false">IFERROR(CONCATENATE(TEXT(INDEX($W$7:$W$171,SMALL(IF($Z$7:$Z$171&lt;&gt;"",IF($W$7:$W$171&lt;&gt;"",ROW($W$7:$W$171)-MIN(ROW($W$7:$W$171))+1,""),""),ROW()-ROW(A$173)+1)),"##0"),","),"")</f>
        <v/>
      </c>
      <c r="Y281" s="0" t="str">
        <f aca="false">IFERROR(CONCATENATE((INDEX($A$7:$A$171,SMALL(IF($Z$7:$Z$171&lt;&gt;"",IF($W$7:$W$171&lt;&gt;"",ROW($W$7:$W$171)-MIN(ROW($W$7:$W$171))+1,""),""),ROW()-ROW(A$173)+1))),),"")</f>
        <v/>
      </c>
    </row>
    <row r="282" customFormat="false" ht="15" hidden="false" customHeight="false" outlineLevel="0" collapsed="false">
      <c r="K282" s="0" t="str">
        <f aca="false">IFERROR(CONCATENATE(TEXT(INDEX($K$7:$K$171,SMALL(IF($N$7:$N$171&lt;&gt;"",IF($K$7:$K$171&lt;&gt;"",ROW($K$7:$K$171)-MIN(ROW($K$7:$K$171))+1,""),""),ROW()-ROW(A$173)+1)),"##0"),","),"")</f>
        <v/>
      </c>
      <c r="L282" s="0" t="str">
        <f aca="false">IFERROR(CONCATENATE((INDEX($N$7:$N$171,SMALL(IF($N$7:$N$171&lt;&gt;"",IF($K$7:$K$171&lt;&gt;"",ROW($K$7:$K$171)-MIN(ROW($K$7:$K$171))+1,""),""),ROW()-ROW(A$173)+1))),","),"")</f>
        <v/>
      </c>
      <c r="M282" s="0" t="str">
        <f aca="false">IFERROR(CONCATENATE((INDEX($A$7:$A$171,SMALL(IF($N$7:$N$171&lt;&gt;"",IF($K$7:$K$171&lt;&gt;"",ROW($K$7:$K$171)-MIN(ROW($K$7:$K$171))+1,""),""),ROW()-ROW(A$173)+1))),),"")</f>
        <v/>
      </c>
      <c r="Q282" s="0" t="str">
        <f aca="false">IFERROR(CONCATENATE((INDEX($T$7:$T$171,SMALL(IF($T$7:$T$171&lt;&gt;"",IF($Q$7:$Q$171&lt;&gt;"",ROW($Q$7:$Q$171)-MIN(ROW($Q$7:$Q$171))+1,""),""),ROW()-ROW(A$173)+1)))," "),"")</f>
        <v/>
      </c>
      <c r="R282" s="0" t="str">
        <f aca="false">IFERROR(CONCATENATE(TEXT(INDEX($Q$7:$Q$171,SMALL(IF($T$7:$T$171&lt;&gt;"",IF($Q$7:$Q$171&lt;&gt;"",ROW($Q$7:$Q$171)-MIN(ROW($Q$7:$Q$171))+1,""),""),ROW()-ROW(A$173)+1)),"##0")," "),"")</f>
        <v/>
      </c>
      <c r="S282" s="0" t="str">
        <f aca="false">IFERROR(CONCATENATE((INDEX($A$7:$A$171,SMALL(IF($T$7:$T$171&lt;&gt;"",IF($Q$7:$Q$171&lt;&gt;"",ROW($Q$7:$Q$171)-MIN(ROW($Q$7:$Q$171))+1,""),""),ROW()-ROW(A$173)+1))),),"")</f>
        <v/>
      </c>
      <c r="W282" s="0" t="str">
        <f aca="false">IFERROR(CONCATENATE((INDEX($Z$7:$Z$171,SMALL(IF($Z$7:$Z$171&lt;&gt;"",IF($W$7:$W$171&lt;&gt;"",ROW($W$7:$W$171)-MIN(ROW($W$7:$W$171))+1,""),""),ROW()-ROW(A$173)+1))),","),"")</f>
        <v/>
      </c>
      <c r="X282" s="0" t="str">
        <f aca="false">IFERROR(CONCATENATE(TEXT(INDEX($W$7:$W$171,SMALL(IF($Z$7:$Z$171&lt;&gt;"",IF($W$7:$W$171&lt;&gt;"",ROW($W$7:$W$171)-MIN(ROW($W$7:$W$171))+1,""),""),ROW()-ROW(A$173)+1)),"##0"),","),"")</f>
        <v/>
      </c>
      <c r="Y282" s="0" t="str">
        <f aca="false">IFERROR(CONCATENATE((INDEX($A$7:$A$171,SMALL(IF($Z$7:$Z$171&lt;&gt;"",IF($W$7:$W$171&lt;&gt;"",ROW($W$7:$W$171)-MIN(ROW($W$7:$W$171))+1,""),""),ROW()-ROW(A$173)+1))),),"")</f>
        <v/>
      </c>
    </row>
    <row r="283" customFormat="false" ht="15" hidden="false" customHeight="false" outlineLevel="0" collapsed="false">
      <c r="K283" s="0" t="str">
        <f aca="false">IFERROR(CONCATENATE(TEXT(INDEX($K$7:$K$171,SMALL(IF($N$7:$N$171&lt;&gt;"",IF($K$7:$K$171&lt;&gt;"",ROW($K$7:$K$171)-MIN(ROW($K$7:$K$171))+1,""),""),ROW()-ROW(A$173)+1)),"##0"),","),"")</f>
        <v/>
      </c>
      <c r="L283" s="0" t="str">
        <f aca="false">IFERROR(CONCATENATE((INDEX($N$7:$N$171,SMALL(IF($N$7:$N$171&lt;&gt;"",IF($K$7:$K$171&lt;&gt;"",ROW($K$7:$K$171)-MIN(ROW($K$7:$K$171))+1,""),""),ROW()-ROW(A$173)+1))),","),"")</f>
        <v/>
      </c>
      <c r="M283" s="0" t="str">
        <f aca="false">IFERROR(CONCATENATE((INDEX($A$7:$A$171,SMALL(IF($N$7:$N$171&lt;&gt;"",IF($K$7:$K$171&lt;&gt;"",ROW($K$7:$K$171)-MIN(ROW($K$7:$K$171))+1,""),""),ROW()-ROW(A$173)+1))),),"")</f>
        <v/>
      </c>
      <c r="Q283" s="0" t="str">
        <f aca="false">IFERROR(CONCATENATE((INDEX($T$7:$T$171,SMALL(IF($T$7:$T$171&lt;&gt;"",IF($Q$7:$Q$171&lt;&gt;"",ROW($Q$7:$Q$171)-MIN(ROW($Q$7:$Q$171))+1,""),""),ROW()-ROW(A$173)+1)))," "),"")</f>
        <v/>
      </c>
      <c r="R283" s="0" t="str">
        <f aca="false">IFERROR(CONCATENATE(TEXT(INDEX($Q$7:$Q$171,SMALL(IF($T$7:$T$171&lt;&gt;"",IF($Q$7:$Q$171&lt;&gt;"",ROW($Q$7:$Q$171)-MIN(ROW($Q$7:$Q$171))+1,""),""),ROW()-ROW(A$173)+1)),"##0")," "),"")</f>
        <v/>
      </c>
      <c r="S283" s="0" t="str">
        <f aca="false">IFERROR(CONCATENATE((INDEX($A$7:$A$171,SMALL(IF($T$7:$T$171&lt;&gt;"",IF($Q$7:$Q$171&lt;&gt;"",ROW($Q$7:$Q$171)-MIN(ROW($Q$7:$Q$171))+1,""),""),ROW()-ROW(A$173)+1))),),"")</f>
        <v/>
      </c>
      <c r="W283" s="0" t="str">
        <f aca="false">IFERROR(CONCATENATE((INDEX($Z$7:$Z$171,SMALL(IF($Z$7:$Z$171&lt;&gt;"",IF($W$7:$W$171&lt;&gt;"",ROW($W$7:$W$171)-MIN(ROW($W$7:$W$171))+1,""),""),ROW()-ROW(A$173)+1))),","),"")</f>
        <v/>
      </c>
      <c r="X283" s="0" t="str">
        <f aca="false">IFERROR(CONCATENATE(TEXT(INDEX($W$7:$W$171,SMALL(IF($Z$7:$Z$171&lt;&gt;"",IF($W$7:$W$171&lt;&gt;"",ROW($W$7:$W$171)-MIN(ROW($W$7:$W$171))+1,""),""),ROW()-ROW(A$173)+1)),"##0"),","),"")</f>
        <v/>
      </c>
      <c r="Y283" s="0" t="str">
        <f aca="false">IFERROR(CONCATENATE((INDEX($A$7:$A$171,SMALL(IF($Z$7:$Z$171&lt;&gt;"",IF($W$7:$W$171&lt;&gt;"",ROW($W$7:$W$171)-MIN(ROW($W$7:$W$171))+1,""),""),ROW()-ROW(A$173)+1))),),"")</f>
        <v/>
      </c>
    </row>
    <row r="284" customFormat="false" ht="15" hidden="false" customHeight="false" outlineLevel="0" collapsed="false">
      <c r="K284" s="0" t="str">
        <f aca="false">IFERROR(CONCATENATE(TEXT(INDEX($K$7:$K$171,SMALL(IF($N$7:$N$171&lt;&gt;"",IF($K$7:$K$171&lt;&gt;"",ROW($K$7:$K$171)-MIN(ROW($K$7:$K$171))+1,""),""),ROW()-ROW(A$173)+1)),"##0"),","),"")</f>
        <v/>
      </c>
      <c r="L284" s="0" t="str">
        <f aca="false">IFERROR(CONCATENATE((INDEX($N$7:$N$171,SMALL(IF($N$7:$N$171&lt;&gt;"",IF($K$7:$K$171&lt;&gt;"",ROW($K$7:$K$171)-MIN(ROW($K$7:$K$171))+1,""),""),ROW()-ROW(A$173)+1))),","),"")</f>
        <v/>
      </c>
      <c r="M284" s="0" t="str">
        <f aca="false">IFERROR(CONCATENATE((INDEX($A$7:$A$171,SMALL(IF($N$7:$N$171&lt;&gt;"",IF($K$7:$K$171&lt;&gt;"",ROW($K$7:$K$171)-MIN(ROW($K$7:$K$171))+1,""),""),ROW()-ROW(A$173)+1))),),"")</f>
        <v/>
      </c>
      <c r="Q284" s="0" t="str">
        <f aca="false">IFERROR(CONCATENATE((INDEX($T$7:$T$171,SMALL(IF($T$7:$T$171&lt;&gt;"",IF($Q$7:$Q$171&lt;&gt;"",ROW($Q$7:$Q$171)-MIN(ROW($Q$7:$Q$171))+1,""),""),ROW()-ROW(A$173)+1)))," "),"")</f>
        <v/>
      </c>
      <c r="R284" s="0" t="str">
        <f aca="false">IFERROR(CONCATENATE(TEXT(INDEX($Q$7:$Q$171,SMALL(IF($T$7:$T$171&lt;&gt;"",IF($Q$7:$Q$171&lt;&gt;"",ROW($Q$7:$Q$171)-MIN(ROW($Q$7:$Q$171))+1,""),""),ROW()-ROW(A$173)+1)),"##0")," "),"")</f>
        <v/>
      </c>
      <c r="S284" s="0" t="str">
        <f aca="false">IFERROR(CONCATENATE((INDEX($A$7:$A$171,SMALL(IF($T$7:$T$171&lt;&gt;"",IF($Q$7:$Q$171&lt;&gt;"",ROW($Q$7:$Q$171)-MIN(ROW($Q$7:$Q$171))+1,""),""),ROW()-ROW(A$173)+1))),),"")</f>
        <v/>
      </c>
      <c r="W284" s="0" t="str">
        <f aca="false">IFERROR(CONCATENATE((INDEX($Z$7:$Z$171,SMALL(IF($Z$7:$Z$171&lt;&gt;"",IF($W$7:$W$171&lt;&gt;"",ROW($W$7:$W$171)-MIN(ROW($W$7:$W$171))+1,""),""),ROW()-ROW(A$173)+1))),","),"")</f>
        <v/>
      </c>
      <c r="X284" s="0" t="str">
        <f aca="false">IFERROR(CONCATENATE(TEXT(INDEX($W$7:$W$171,SMALL(IF($Z$7:$Z$171&lt;&gt;"",IF($W$7:$W$171&lt;&gt;"",ROW($W$7:$W$171)-MIN(ROW($W$7:$W$171))+1,""),""),ROW()-ROW(A$173)+1)),"##0"),","),"")</f>
        <v/>
      </c>
      <c r="Y284" s="0" t="str">
        <f aca="false">IFERROR(CONCATENATE((INDEX($A$7:$A$171,SMALL(IF($Z$7:$Z$171&lt;&gt;"",IF($W$7:$W$171&lt;&gt;"",ROW($W$7:$W$171)-MIN(ROW($W$7:$W$171))+1,""),""),ROW()-ROW(A$173)+1))),),"")</f>
        <v/>
      </c>
    </row>
    <row r="285" customFormat="false" ht="15" hidden="false" customHeight="false" outlineLevel="0" collapsed="false">
      <c r="K285" s="0" t="str">
        <f aca="false">IFERROR(CONCATENATE(TEXT(INDEX($K$7:$K$171,SMALL(IF($N$7:$N$171&lt;&gt;"",IF($K$7:$K$171&lt;&gt;"",ROW($K$7:$K$171)-MIN(ROW($K$7:$K$171))+1,""),""),ROW()-ROW(A$173)+1)),"##0"),","),"")</f>
        <v/>
      </c>
      <c r="L285" s="0" t="str">
        <f aca="false">IFERROR(CONCATENATE((INDEX($N$7:$N$171,SMALL(IF($N$7:$N$171&lt;&gt;"",IF($K$7:$K$171&lt;&gt;"",ROW($K$7:$K$171)-MIN(ROW($K$7:$K$171))+1,""),""),ROW()-ROW(A$173)+1))),","),"")</f>
        <v/>
      </c>
      <c r="M285" s="0" t="str">
        <f aca="false">IFERROR(CONCATENATE((INDEX($A$7:$A$171,SMALL(IF($N$7:$N$171&lt;&gt;"",IF($K$7:$K$171&lt;&gt;"",ROW($K$7:$K$171)-MIN(ROW($K$7:$K$171))+1,""),""),ROW()-ROW(A$173)+1))),),"")</f>
        <v/>
      </c>
      <c r="Q285" s="0" t="str">
        <f aca="false">IFERROR(CONCATENATE((INDEX($T$7:$T$171,SMALL(IF($T$7:$T$171&lt;&gt;"",IF($Q$7:$Q$171&lt;&gt;"",ROW($Q$7:$Q$171)-MIN(ROW($Q$7:$Q$171))+1,""),""),ROW()-ROW(A$173)+1)))," "),"")</f>
        <v/>
      </c>
      <c r="R285" s="0" t="str">
        <f aca="false">IFERROR(CONCATENATE(TEXT(INDEX($Q$7:$Q$171,SMALL(IF($T$7:$T$171&lt;&gt;"",IF($Q$7:$Q$171&lt;&gt;"",ROW($Q$7:$Q$171)-MIN(ROW($Q$7:$Q$171))+1,""),""),ROW()-ROW(A$173)+1)),"##0")," "),"")</f>
        <v/>
      </c>
      <c r="S285" s="0" t="str">
        <f aca="false">IFERROR(CONCATENATE((INDEX($A$7:$A$171,SMALL(IF($T$7:$T$171&lt;&gt;"",IF($Q$7:$Q$171&lt;&gt;"",ROW($Q$7:$Q$171)-MIN(ROW($Q$7:$Q$171))+1,""),""),ROW()-ROW(A$173)+1))),),"")</f>
        <v/>
      </c>
      <c r="W285" s="0" t="str">
        <f aca="false">IFERROR(CONCATENATE((INDEX($Z$7:$Z$171,SMALL(IF($Z$7:$Z$171&lt;&gt;"",IF($W$7:$W$171&lt;&gt;"",ROW($W$7:$W$171)-MIN(ROW($W$7:$W$171))+1,""),""),ROW()-ROW(A$173)+1))),","),"")</f>
        <v/>
      </c>
      <c r="X285" s="0" t="str">
        <f aca="false">IFERROR(CONCATENATE(TEXT(INDEX($W$7:$W$171,SMALL(IF($Z$7:$Z$171&lt;&gt;"",IF($W$7:$W$171&lt;&gt;"",ROW($W$7:$W$171)-MIN(ROW($W$7:$W$171))+1,""),""),ROW()-ROW(A$173)+1)),"##0"),","),"")</f>
        <v/>
      </c>
      <c r="Y285" s="0" t="str">
        <f aca="false">IFERROR(CONCATENATE((INDEX($A$7:$A$171,SMALL(IF($Z$7:$Z$171&lt;&gt;"",IF($W$7:$W$171&lt;&gt;"",ROW($W$7:$W$171)-MIN(ROW($W$7:$W$171))+1,""),""),ROW()-ROW(A$173)+1))),),"")</f>
        <v/>
      </c>
    </row>
    <row r="286" customFormat="false" ht="15" hidden="false" customHeight="false" outlineLevel="0" collapsed="false">
      <c r="K286" s="0" t="str">
        <f aca="false">IFERROR(CONCATENATE(TEXT(INDEX($K$7:$K$171,SMALL(IF($N$7:$N$171&lt;&gt;"",IF($K$7:$K$171&lt;&gt;"",ROW($K$7:$K$171)-MIN(ROW($K$7:$K$171))+1,""),""),ROW()-ROW(A$173)+1)),"##0"),","),"")</f>
        <v/>
      </c>
      <c r="L286" s="0" t="str">
        <f aca="false">IFERROR(CONCATENATE((INDEX($N$7:$N$171,SMALL(IF($N$7:$N$171&lt;&gt;"",IF($K$7:$K$171&lt;&gt;"",ROW($K$7:$K$171)-MIN(ROW($K$7:$K$171))+1,""),""),ROW()-ROW(A$173)+1))),","),"")</f>
        <v/>
      </c>
      <c r="M286" s="0" t="str">
        <f aca="false">IFERROR(CONCATENATE((INDEX($A$7:$A$171,SMALL(IF($N$7:$N$171&lt;&gt;"",IF($K$7:$K$171&lt;&gt;"",ROW($K$7:$K$171)-MIN(ROW($K$7:$K$171))+1,""),""),ROW()-ROW(A$173)+1))),),"")</f>
        <v/>
      </c>
      <c r="Q286" s="0" t="str">
        <f aca="false">IFERROR(CONCATENATE((INDEX($T$7:$T$171,SMALL(IF($T$7:$T$171&lt;&gt;"",IF($Q$7:$Q$171&lt;&gt;"",ROW($Q$7:$Q$171)-MIN(ROW($Q$7:$Q$171))+1,""),""),ROW()-ROW(A$173)+1)))," "),"")</f>
        <v/>
      </c>
      <c r="R286" s="0" t="str">
        <f aca="false">IFERROR(CONCATENATE(TEXT(INDEX($Q$7:$Q$171,SMALL(IF($T$7:$T$171&lt;&gt;"",IF($Q$7:$Q$171&lt;&gt;"",ROW($Q$7:$Q$171)-MIN(ROW($Q$7:$Q$171))+1,""),""),ROW()-ROW(A$173)+1)),"##0")," "),"")</f>
        <v/>
      </c>
      <c r="S286" s="0" t="str">
        <f aca="false">IFERROR(CONCATENATE((INDEX($A$7:$A$171,SMALL(IF($T$7:$T$171&lt;&gt;"",IF($Q$7:$Q$171&lt;&gt;"",ROW($Q$7:$Q$171)-MIN(ROW($Q$7:$Q$171))+1,""),""),ROW()-ROW(A$173)+1))),),"")</f>
        <v/>
      </c>
      <c r="W286" s="0" t="str">
        <f aca="false">IFERROR(CONCATENATE((INDEX($Z$7:$Z$171,SMALL(IF($Z$7:$Z$171&lt;&gt;"",IF($W$7:$W$171&lt;&gt;"",ROW($W$7:$W$171)-MIN(ROW($W$7:$W$171))+1,""),""),ROW()-ROW(A$173)+1))),","),"")</f>
        <v/>
      </c>
      <c r="X286" s="0" t="str">
        <f aca="false">IFERROR(CONCATENATE(TEXT(INDEX($W$7:$W$171,SMALL(IF($Z$7:$Z$171&lt;&gt;"",IF($W$7:$W$171&lt;&gt;"",ROW($W$7:$W$171)-MIN(ROW($W$7:$W$171))+1,""),""),ROW()-ROW(A$173)+1)),"##0"),","),"")</f>
        <v/>
      </c>
      <c r="Y286" s="0" t="str">
        <f aca="false">IFERROR(CONCATENATE((INDEX($A$7:$A$171,SMALL(IF($Z$7:$Z$171&lt;&gt;"",IF($W$7:$W$171&lt;&gt;"",ROW($W$7:$W$171)-MIN(ROW($W$7:$W$171))+1,""),""),ROW()-ROW(A$173)+1))),),"")</f>
        <v/>
      </c>
    </row>
    <row r="287" customFormat="false" ht="15" hidden="false" customHeight="false" outlineLevel="0" collapsed="false">
      <c r="K287" s="0" t="str">
        <f aca="false">IFERROR(CONCATENATE(TEXT(INDEX($K$7:$K$171,SMALL(IF($N$7:$N$171&lt;&gt;"",IF($K$7:$K$171&lt;&gt;"",ROW($K$7:$K$171)-MIN(ROW($K$7:$K$171))+1,""),""),ROW()-ROW(A$173)+1)),"##0"),","),"")</f>
        <v/>
      </c>
      <c r="L287" s="0" t="str">
        <f aca="false">IFERROR(CONCATENATE((INDEX($N$7:$N$171,SMALL(IF($N$7:$N$171&lt;&gt;"",IF($K$7:$K$171&lt;&gt;"",ROW($K$7:$K$171)-MIN(ROW($K$7:$K$171))+1,""),""),ROW()-ROW(A$173)+1))),","),"")</f>
        <v/>
      </c>
      <c r="M287" s="0" t="str">
        <f aca="false">IFERROR(CONCATENATE((INDEX($A$7:$A$171,SMALL(IF($N$7:$N$171&lt;&gt;"",IF($K$7:$K$171&lt;&gt;"",ROW($K$7:$K$171)-MIN(ROW($K$7:$K$171))+1,""),""),ROW()-ROW(A$173)+1))),),"")</f>
        <v/>
      </c>
      <c r="Q287" s="0" t="str">
        <f aca="false">IFERROR(CONCATENATE((INDEX($T$7:$T$171,SMALL(IF($T$7:$T$171&lt;&gt;"",IF($Q$7:$Q$171&lt;&gt;"",ROW($Q$7:$Q$171)-MIN(ROW($Q$7:$Q$171))+1,""),""),ROW()-ROW(A$173)+1)))," "),"")</f>
        <v/>
      </c>
      <c r="R287" s="0" t="str">
        <f aca="false">IFERROR(CONCATENATE(TEXT(INDEX($Q$7:$Q$171,SMALL(IF($T$7:$T$171&lt;&gt;"",IF($Q$7:$Q$171&lt;&gt;"",ROW($Q$7:$Q$171)-MIN(ROW($Q$7:$Q$171))+1,""),""),ROW()-ROW(A$173)+1)),"##0")," "),"")</f>
        <v/>
      </c>
      <c r="S287" s="0" t="str">
        <f aca="false">IFERROR(CONCATENATE((INDEX($A$7:$A$171,SMALL(IF($T$7:$T$171&lt;&gt;"",IF($Q$7:$Q$171&lt;&gt;"",ROW($Q$7:$Q$171)-MIN(ROW($Q$7:$Q$171))+1,""),""),ROW()-ROW(A$173)+1))),),"")</f>
        <v/>
      </c>
      <c r="W287" s="0" t="str">
        <f aca="false">IFERROR(CONCATENATE((INDEX($Z$7:$Z$171,SMALL(IF($Z$7:$Z$171&lt;&gt;"",IF($W$7:$W$171&lt;&gt;"",ROW($W$7:$W$171)-MIN(ROW($W$7:$W$171))+1,""),""),ROW()-ROW(A$173)+1))),","),"")</f>
        <v/>
      </c>
      <c r="X287" s="0" t="str">
        <f aca="false">IFERROR(CONCATENATE(TEXT(INDEX($W$7:$W$171,SMALL(IF($Z$7:$Z$171&lt;&gt;"",IF($W$7:$W$171&lt;&gt;"",ROW($W$7:$W$171)-MIN(ROW($W$7:$W$171))+1,""),""),ROW()-ROW(A$173)+1)),"##0"),","),"")</f>
        <v/>
      </c>
      <c r="Y287" s="0" t="str">
        <f aca="false">IFERROR(CONCATENATE((INDEX($A$7:$A$171,SMALL(IF($Z$7:$Z$171&lt;&gt;"",IF($W$7:$W$171&lt;&gt;"",ROW($W$7:$W$171)-MIN(ROW($W$7:$W$171))+1,""),""),ROW()-ROW(A$173)+1))),),"")</f>
        <v/>
      </c>
    </row>
    <row r="288" customFormat="false" ht="15" hidden="false" customHeight="false" outlineLevel="0" collapsed="false">
      <c r="K288" s="0" t="str">
        <f aca="false">IFERROR(CONCATENATE(TEXT(INDEX($K$7:$K$171,SMALL(IF($N$7:$N$171&lt;&gt;"",IF($K$7:$K$171&lt;&gt;"",ROW($K$7:$K$171)-MIN(ROW($K$7:$K$171))+1,""),""),ROW()-ROW(A$173)+1)),"##0"),","),"")</f>
        <v/>
      </c>
      <c r="L288" s="0" t="str">
        <f aca="false">IFERROR(CONCATENATE((INDEX($N$7:$N$171,SMALL(IF($N$7:$N$171&lt;&gt;"",IF($K$7:$K$171&lt;&gt;"",ROW($K$7:$K$171)-MIN(ROW($K$7:$K$171))+1,""),""),ROW()-ROW(A$173)+1))),","),"")</f>
        <v/>
      </c>
      <c r="M288" s="0" t="str">
        <f aca="false">IFERROR(CONCATENATE((INDEX($A$7:$A$171,SMALL(IF($N$7:$N$171&lt;&gt;"",IF($K$7:$K$171&lt;&gt;"",ROW($K$7:$K$171)-MIN(ROW($K$7:$K$171))+1,""),""),ROW()-ROW(A$173)+1))),),"")</f>
        <v/>
      </c>
      <c r="Q288" s="0" t="str">
        <f aca="false">IFERROR(CONCATENATE((INDEX($T$7:$T$171,SMALL(IF($T$7:$T$171&lt;&gt;"",IF($Q$7:$Q$171&lt;&gt;"",ROW($Q$7:$Q$171)-MIN(ROW($Q$7:$Q$171))+1,""),""),ROW()-ROW(A$173)+1)))," "),"")</f>
        <v/>
      </c>
      <c r="R288" s="0" t="str">
        <f aca="false">IFERROR(CONCATENATE(TEXT(INDEX($Q$7:$Q$171,SMALL(IF($T$7:$T$171&lt;&gt;"",IF($Q$7:$Q$171&lt;&gt;"",ROW($Q$7:$Q$171)-MIN(ROW($Q$7:$Q$171))+1,""),""),ROW()-ROW(A$173)+1)),"##0")," "),"")</f>
        <v/>
      </c>
      <c r="S288" s="0" t="str">
        <f aca="false">IFERROR(CONCATENATE((INDEX($A$7:$A$171,SMALL(IF($T$7:$T$171&lt;&gt;"",IF($Q$7:$Q$171&lt;&gt;"",ROW($Q$7:$Q$171)-MIN(ROW($Q$7:$Q$171))+1,""),""),ROW()-ROW(A$173)+1))),),"")</f>
        <v/>
      </c>
      <c r="W288" s="0" t="str">
        <f aca="false">IFERROR(CONCATENATE((INDEX($Z$7:$Z$171,SMALL(IF($Z$7:$Z$171&lt;&gt;"",IF($W$7:$W$171&lt;&gt;"",ROW($W$7:$W$171)-MIN(ROW($W$7:$W$171))+1,""),""),ROW()-ROW(A$173)+1))),","),"")</f>
        <v/>
      </c>
      <c r="X288" s="0" t="str">
        <f aca="false">IFERROR(CONCATENATE(TEXT(INDEX($W$7:$W$171,SMALL(IF($Z$7:$Z$171&lt;&gt;"",IF($W$7:$W$171&lt;&gt;"",ROW($W$7:$W$171)-MIN(ROW($W$7:$W$171))+1,""),""),ROW()-ROW(A$173)+1)),"##0"),","),"")</f>
        <v/>
      </c>
      <c r="Y288" s="0" t="str">
        <f aca="false">IFERROR(CONCATENATE((INDEX($A$7:$A$171,SMALL(IF($Z$7:$Z$171&lt;&gt;"",IF($W$7:$W$171&lt;&gt;"",ROW($W$7:$W$171)-MIN(ROW($W$7:$W$171))+1,""),""),ROW()-ROW(A$173)+1))),),"")</f>
        <v/>
      </c>
    </row>
    <row r="289" customFormat="false" ht="15" hidden="false" customHeight="false" outlineLevel="0" collapsed="false">
      <c r="K289" s="0" t="str">
        <f aca="false">IFERROR(CONCATENATE(TEXT(INDEX($K$7:$K$171,SMALL(IF($N$7:$N$171&lt;&gt;"",IF($K$7:$K$171&lt;&gt;"",ROW($K$7:$K$171)-MIN(ROW($K$7:$K$171))+1,""),""),ROW()-ROW(A$173)+1)),"##0"),","),"")</f>
        <v/>
      </c>
      <c r="L289" s="0" t="str">
        <f aca="false">IFERROR(CONCATENATE((INDEX($N$7:$N$171,SMALL(IF($N$7:$N$171&lt;&gt;"",IF($K$7:$K$171&lt;&gt;"",ROW($K$7:$K$171)-MIN(ROW($K$7:$K$171))+1,""),""),ROW()-ROW(A$173)+1))),","),"")</f>
        <v/>
      </c>
      <c r="M289" s="0" t="str">
        <f aca="false">IFERROR(CONCATENATE((INDEX($A$7:$A$171,SMALL(IF($N$7:$N$171&lt;&gt;"",IF($K$7:$K$171&lt;&gt;"",ROW($K$7:$K$171)-MIN(ROW($K$7:$K$171))+1,""),""),ROW()-ROW(A$173)+1))),),"")</f>
        <v/>
      </c>
      <c r="Q289" s="0" t="str">
        <f aca="false">IFERROR(CONCATENATE((INDEX($T$7:$T$171,SMALL(IF($T$7:$T$171&lt;&gt;"",IF($Q$7:$Q$171&lt;&gt;"",ROW($Q$7:$Q$171)-MIN(ROW($Q$7:$Q$171))+1,""),""),ROW()-ROW(A$173)+1)))," "),"")</f>
        <v/>
      </c>
      <c r="R289" s="0" t="str">
        <f aca="false">IFERROR(CONCATENATE(TEXT(INDEX($Q$7:$Q$171,SMALL(IF($T$7:$T$171&lt;&gt;"",IF($Q$7:$Q$171&lt;&gt;"",ROW($Q$7:$Q$171)-MIN(ROW($Q$7:$Q$171))+1,""),""),ROW()-ROW(A$173)+1)),"##0")," "),"")</f>
        <v/>
      </c>
      <c r="S289" s="0" t="str">
        <f aca="false">IFERROR(CONCATENATE((INDEX($A$7:$A$171,SMALL(IF($T$7:$T$171&lt;&gt;"",IF($Q$7:$Q$171&lt;&gt;"",ROW($Q$7:$Q$171)-MIN(ROW($Q$7:$Q$171))+1,""),""),ROW()-ROW(A$173)+1))),),"")</f>
        <v/>
      </c>
      <c r="W289" s="0" t="str">
        <f aca="false">IFERROR(CONCATENATE((INDEX($Z$7:$Z$171,SMALL(IF($Z$7:$Z$171&lt;&gt;"",IF($W$7:$W$171&lt;&gt;"",ROW($W$7:$W$171)-MIN(ROW($W$7:$W$171))+1,""),""),ROW()-ROW(A$173)+1))),","),"")</f>
        <v/>
      </c>
      <c r="X289" s="0" t="str">
        <f aca="false">IFERROR(CONCATENATE(TEXT(INDEX($W$7:$W$171,SMALL(IF($Z$7:$Z$171&lt;&gt;"",IF($W$7:$W$171&lt;&gt;"",ROW($W$7:$W$171)-MIN(ROW($W$7:$W$171))+1,""),""),ROW()-ROW(A$173)+1)),"##0"),","),"")</f>
        <v/>
      </c>
      <c r="Y289" s="0" t="str">
        <f aca="false">IFERROR(CONCATENATE((INDEX($A$7:$A$171,SMALL(IF($Z$7:$Z$171&lt;&gt;"",IF($W$7:$W$171&lt;&gt;"",ROW($W$7:$W$171)-MIN(ROW($W$7:$W$171))+1,""),""),ROW()-ROW(A$173)+1))),),"")</f>
        <v/>
      </c>
    </row>
    <row r="290" customFormat="false" ht="15" hidden="false" customHeight="false" outlineLevel="0" collapsed="false">
      <c r="K290" s="0" t="str">
        <f aca="false">IFERROR(CONCATENATE(TEXT(INDEX($K$7:$K$171,SMALL(IF($N$7:$N$171&lt;&gt;"",IF($K$7:$K$171&lt;&gt;"",ROW($K$7:$K$171)-MIN(ROW($K$7:$K$171))+1,""),""),ROW()-ROW(A$173)+1)),"##0"),","),"")</f>
        <v/>
      </c>
      <c r="L290" s="0" t="str">
        <f aca="false">IFERROR(CONCATENATE((INDEX($N$7:$N$171,SMALL(IF($N$7:$N$171&lt;&gt;"",IF($K$7:$K$171&lt;&gt;"",ROW($K$7:$K$171)-MIN(ROW($K$7:$K$171))+1,""),""),ROW()-ROW(A$173)+1))),","),"")</f>
        <v/>
      </c>
      <c r="M290" s="0" t="str">
        <f aca="false">IFERROR(CONCATENATE((INDEX($A$7:$A$171,SMALL(IF($N$7:$N$171&lt;&gt;"",IF($K$7:$K$171&lt;&gt;"",ROW($K$7:$K$171)-MIN(ROW($K$7:$K$171))+1,""),""),ROW()-ROW(A$173)+1))),),"")</f>
        <v/>
      </c>
      <c r="Q290" s="0" t="str">
        <f aca="false">IFERROR(CONCATENATE((INDEX($T$7:$T$171,SMALL(IF($T$7:$T$171&lt;&gt;"",IF($Q$7:$Q$171&lt;&gt;"",ROW($Q$7:$Q$171)-MIN(ROW($Q$7:$Q$171))+1,""),""),ROW()-ROW(A$173)+1)))," "),"")</f>
        <v/>
      </c>
      <c r="R290" s="0" t="str">
        <f aca="false">IFERROR(CONCATENATE(TEXT(INDEX($Q$7:$Q$171,SMALL(IF($T$7:$T$171&lt;&gt;"",IF($Q$7:$Q$171&lt;&gt;"",ROW($Q$7:$Q$171)-MIN(ROW($Q$7:$Q$171))+1,""),""),ROW()-ROW(A$173)+1)),"##0")," "),"")</f>
        <v/>
      </c>
      <c r="S290" s="0" t="str">
        <f aca="false">IFERROR(CONCATENATE((INDEX($A$7:$A$171,SMALL(IF($T$7:$T$171&lt;&gt;"",IF($Q$7:$Q$171&lt;&gt;"",ROW($Q$7:$Q$171)-MIN(ROW($Q$7:$Q$171))+1,""),""),ROW()-ROW(A$173)+1))),),"")</f>
        <v/>
      </c>
      <c r="W290" s="0" t="str">
        <f aca="false">IFERROR(CONCATENATE((INDEX($Z$7:$Z$171,SMALL(IF($Z$7:$Z$171&lt;&gt;"",IF($W$7:$W$171&lt;&gt;"",ROW($W$7:$W$171)-MIN(ROW($W$7:$W$171))+1,""),""),ROW()-ROW(A$173)+1))),","),"")</f>
        <v/>
      </c>
      <c r="X290" s="0" t="str">
        <f aca="false">IFERROR(CONCATENATE(TEXT(INDEX($W$7:$W$171,SMALL(IF($Z$7:$Z$171&lt;&gt;"",IF($W$7:$W$171&lt;&gt;"",ROW($W$7:$W$171)-MIN(ROW($W$7:$W$171))+1,""),""),ROW()-ROW(A$173)+1)),"##0"),","),"")</f>
        <v/>
      </c>
      <c r="Y290" s="0" t="str">
        <f aca="false">IFERROR(CONCATENATE((INDEX($A$7:$A$171,SMALL(IF($Z$7:$Z$171&lt;&gt;"",IF($W$7:$W$171&lt;&gt;"",ROW($W$7:$W$171)-MIN(ROW($W$7:$W$171))+1,""),""),ROW()-ROW(A$173)+1))),),"")</f>
        <v/>
      </c>
    </row>
    <row r="291" customFormat="false" ht="15" hidden="false" customHeight="false" outlineLevel="0" collapsed="false">
      <c r="K291" s="0" t="str">
        <f aca="false">IFERROR(CONCATENATE(TEXT(INDEX($K$7:$K$171,SMALL(IF($N$7:$N$171&lt;&gt;"",IF($K$7:$K$171&lt;&gt;"",ROW($K$7:$K$171)-MIN(ROW($K$7:$K$171))+1,""),""),ROW()-ROW(A$173)+1)),"##0"),","),"")</f>
        <v/>
      </c>
      <c r="L291" s="0" t="str">
        <f aca="false">IFERROR(CONCATENATE((INDEX($N$7:$N$171,SMALL(IF($N$7:$N$171&lt;&gt;"",IF($K$7:$K$171&lt;&gt;"",ROW($K$7:$K$171)-MIN(ROW($K$7:$K$171))+1,""),""),ROW()-ROW(A$173)+1))),","),"")</f>
        <v/>
      </c>
      <c r="M291" s="0" t="str">
        <f aca="false">IFERROR(CONCATENATE((INDEX($A$7:$A$171,SMALL(IF($N$7:$N$171&lt;&gt;"",IF($K$7:$K$171&lt;&gt;"",ROW($K$7:$K$171)-MIN(ROW($K$7:$K$171))+1,""),""),ROW()-ROW(A$173)+1))),),"")</f>
        <v/>
      </c>
      <c r="Q291" s="0" t="str">
        <f aca="false">IFERROR(CONCATENATE((INDEX($T$7:$T$171,SMALL(IF($T$7:$T$171&lt;&gt;"",IF($Q$7:$Q$171&lt;&gt;"",ROW($Q$7:$Q$171)-MIN(ROW($Q$7:$Q$171))+1,""),""),ROW()-ROW(A$173)+1)))," "),"")</f>
        <v/>
      </c>
      <c r="R291" s="0" t="str">
        <f aca="false">IFERROR(CONCATENATE(TEXT(INDEX($Q$7:$Q$171,SMALL(IF($T$7:$T$171&lt;&gt;"",IF($Q$7:$Q$171&lt;&gt;"",ROW($Q$7:$Q$171)-MIN(ROW($Q$7:$Q$171))+1,""),""),ROW()-ROW(A$173)+1)),"##0")," "),"")</f>
        <v/>
      </c>
      <c r="S291" s="0" t="str">
        <f aca="false">IFERROR(CONCATENATE((INDEX($A$7:$A$171,SMALL(IF($T$7:$T$171&lt;&gt;"",IF($Q$7:$Q$171&lt;&gt;"",ROW($Q$7:$Q$171)-MIN(ROW($Q$7:$Q$171))+1,""),""),ROW()-ROW(A$173)+1))),),"")</f>
        <v/>
      </c>
      <c r="W291" s="0" t="str">
        <f aca="false">IFERROR(CONCATENATE((INDEX($Z$7:$Z$171,SMALL(IF($Z$7:$Z$171&lt;&gt;"",IF($W$7:$W$171&lt;&gt;"",ROW($W$7:$W$171)-MIN(ROW($W$7:$W$171))+1,""),""),ROW()-ROW(A$173)+1))),","),"")</f>
        <v/>
      </c>
      <c r="X291" s="0" t="str">
        <f aca="false">IFERROR(CONCATENATE(TEXT(INDEX($W$7:$W$171,SMALL(IF($Z$7:$Z$171&lt;&gt;"",IF($W$7:$W$171&lt;&gt;"",ROW($W$7:$W$171)-MIN(ROW($W$7:$W$171))+1,""),""),ROW()-ROW(A$173)+1)),"##0"),","),"")</f>
        <v/>
      </c>
      <c r="Y291" s="0" t="str">
        <f aca="false">IFERROR(CONCATENATE((INDEX($A$7:$A$171,SMALL(IF($Z$7:$Z$171&lt;&gt;"",IF($W$7:$W$171&lt;&gt;"",ROW($W$7:$W$171)-MIN(ROW($W$7:$W$171))+1,""),""),ROW()-ROW(A$173)+1))),),"")</f>
        <v/>
      </c>
    </row>
    <row r="292" customFormat="false" ht="15" hidden="false" customHeight="false" outlineLevel="0" collapsed="false">
      <c r="K292" s="0" t="str">
        <f aca="false">IFERROR(CONCATENATE(TEXT(INDEX($K$7:$K$171,SMALL(IF($N$7:$N$171&lt;&gt;"",IF($K$7:$K$171&lt;&gt;"",ROW($K$7:$K$171)-MIN(ROW($K$7:$K$171))+1,""),""),ROW()-ROW(A$173)+1)),"##0"),","),"")</f>
        <v/>
      </c>
      <c r="L292" s="0" t="str">
        <f aca="false">IFERROR(CONCATENATE((INDEX($N$7:$N$171,SMALL(IF($N$7:$N$171&lt;&gt;"",IF($K$7:$K$171&lt;&gt;"",ROW($K$7:$K$171)-MIN(ROW($K$7:$K$171))+1,""),""),ROW()-ROW(A$173)+1))),","),"")</f>
        <v/>
      </c>
      <c r="M292" s="0" t="str">
        <f aca="false">IFERROR(CONCATENATE((INDEX($A$7:$A$171,SMALL(IF($N$7:$N$171&lt;&gt;"",IF($K$7:$K$171&lt;&gt;"",ROW($K$7:$K$171)-MIN(ROW($K$7:$K$171))+1,""),""),ROW()-ROW(A$173)+1))),),"")</f>
        <v/>
      </c>
      <c r="Q292" s="0" t="str">
        <f aca="false">IFERROR(CONCATENATE((INDEX($T$7:$T$171,SMALL(IF($T$7:$T$171&lt;&gt;"",IF($Q$7:$Q$171&lt;&gt;"",ROW($Q$7:$Q$171)-MIN(ROW($Q$7:$Q$171))+1,""),""),ROW()-ROW(A$173)+1)))," "),"")</f>
        <v/>
      </c>
      <c r="R292" s="0" t="str">
        <f aca="false">IFERROR(CONCATENATE(TEXT(INDEX($Q$7:$Q$171,SMALL(IF($T$7:$T$171&lt;&gt;"",IF($Q$7:$Q$171&lt;&gt;"",ROW($Q$7:$Q$171)-MIN(ROW($Q$7:$Q$171))+1,""),""),ROW()-ROW(A$173)+1)),"##0")," "),"")</f>
        <v/>
      </c>
      <c r="S292" s="0" t="str">
        <f aca="false">IFERROR(CONCATENATE((INDEX($A$7:$A$171,SMALL(IF($T$7:$T$171&lt;&gt;"",IF($Q$7:$Q$171&lt;&gt;"",ROW($Q$7:$Q$171)-MIN(ROW($Q$7:$Q$171))+1,""),""),ROW()-ROW(A$173)+1))),),"")</f>
        <v/>
      </c>
      <c r="W292" s="0" t="str">
        <f aca="false">IFERROR(CONCATENATE((INDEX($Z$7:$Z$171,SMALL(IF($Z$7:$Z$171&lt;&gt;"",IF($W$7:$W$171&lt;&gt;"",ROW($W$7:$W$171)-MIN(ROW($W$7:$W$171))+1,""),""),ROW()-ROW(A$173)+1))),","),"")</f>
        <v/>
      </c>
      <c r="X292" s="0" t="str">
        <f aca="false">IFERROR(CONCATENATE(TEXT(INDEX($W$7:$W$171,SMALL(IF($Z$7:$Z$171&lt;&gt;"",IF($W$7:$W$171&lt;&gt;"",ROW($W$7:$W$171)-MIN(ROW($W$7:$W$171))+1,""),""),ROW()-ROW(A$173)+1)),"##0"),","),"")</f>
        <v/>
      </c>
      <c r="Y292" s="0" t="str">
        <f aca="false">IFERROR(CONCATENATE((INDEX($A$7:$A$171,SMALL(IF($Z$7:$Z$171&lt;&gt;"",IF($W$7:$W$171&lt;&gt;"",ROW($W$7:$W$171)-MIN(ROW($W$7:$W$171))+1,""),""),ROW()-ROW(A$173)+1))),),"")</f>
        <v/>
      </c>
    </row>
    <row r="293" customFormat="false" ht="15" hidden="false" customHeight="false" outlineLevel="0" collapsed="false">
      <c r="K293" s="0" t="str">
        <f aca="false">IFERROR(CONCATENATE(TEXT(INDEX($K$7:$K$171,SMALL(IF($N$7:$N$171&lt;&gt;"",IF($K$7:$K$171&lt;&gt;"",ROW($K$7:$K$171)-MIN(ROW($K$7:$K$171))+1,""),""),ROW()-ROW(A$173)+1)),"##0"),","),"")</f>
        <v/>
      </c>
      <c r="L293" s="0" t="str">
        <f aca="false">IFERROR(CONCATENATE((INDEX($N$7:$N$171,SMALL(IF($N$7:$N$171&lt;&gt;"",IF($K$7:$K$171&lt;&gt;"",ROW($K$7:$K$171)-MIN(ROW($K$7:$K$171))+1,""),""),ROW()-ROW(A$173)+1))),","),"")</f>
        <v/>
      </c>
      <c r="M293" s="0" t="str">
        <f aca="false">IFERROR(CONCATENATE((INDEX($A$7:$A$171,SMALL(IF($N$7:$N$171&lt;&gt;"",IF($K$7:$K$171&lt;&gt;"",ROW($K$7:$K$171)-MIN(ROW($K$7:$K$171))+1,""),""),ROW()-ROW(A$173)+1))),),"")</f>
        <v/>
      </c>
      <c r="Q293" s="0" t="str">
        <f aca="false">IFERROR(CONCATENATE((INDEX($T$7:$T$171,SMALL(IF($T$7:$T$171&lt;&gt;"",IF($Q$7:$Q$171&lt;&gt;"",ROW($Q$7:$Q$171)-MIN(ROW($Q$7:$Q$171))+1,""),""),ROW()-ROW(A$173)+1)))," "),"")</f>
        <v/>
      </c>
      <c r="R293" s="0" t="str">
        <f aca="false">IFERROR(CONCATENATE(TEXT(INDEX($Q$7:$Q$171,SMALL(IF($T$7:$T$171&lt;&gt;"",IF($Q$7:$Q$171&lt;&gt;"",ROW($Q$7:$Q$171)-MIN(ROW($Q$7:$Q$171))+1,""),""),ROW()-ROW(A$173)+1)),"##0")," "),"")</f>
        <v/>
      </c>
      <c r="S293" s="0" t="str">
        <f aca="false">IFERROR(CONCATENATE((INDEX($A$7:$A$171,SMALL(IF($T$7:$T$171&lt;&gt;"",IF($Q$7:$Q$171&lt;&gt;"",ROW($Q$7:$Q$171)-MIN(ROW($Q$7:$Q$171))+1,""),""),ROW()-ROW(A$173)+1))),),"")</f>
        <v/>
      </c>
      <c r="W293" s="0" t="str">
        <f aca="false">IFERROR(CONCATENATE((INDEX($Z$7:$Z$171,SMALL(IF($Z$7:$Z$171&lt;&gt;"",IF($W$7:$W$171&lt;&gt;"",ROW($W$7:$W$171)-MIN(ROW($W$7:$W$171))+1,""),""),ROW()-ROW(A$173)+1))),","),"")</f>
        <v/>
      </c>
      <c r="X293" s="0" t="str">
        <f aca="false">IFERROR(CONCATENATE(TEXT(INDEX($W$7:$W$171,SMALL(IF($Z$7:$Z$171&lt;&gt;"",IF($W$7:$W$171&lt;&gt;"",ROW($W$7:$W$171)-MIN(ROW($W$7:$W$171))+1,""),""),ROW()-ROW(A$173)+1)),"##0"),","),"")</f>
        <v/>
      </c>
      <c r="Y293" s="0" t="str">
        <f aca="false">IFERROR(CONCATENATE((INDEX($A$7:$A$171,SMALL(IF($Z$7:$Z$171&lt;&gt;"",IF($W$7:$W$171&lt;&gt;"",ROW($W$7:$W$171)-MIN(ROW($W$7:$W$171))+1,""),""),ROW()-ROW(A$173)+1))),),"")</f>
        <v/>
      </c>
    </row>
    <row r="294" customFormat="false" ht="15" hidden="false" customHeight="false" outlineLevel="0" collapsed="false">
      <c r="K294" s="0" t="str">
        <f aca="false">IFERROR(CONCATENATE(TEXT(INDEX($K$7:$K$171,SMALL(IF($N$7:$N$171&lt;&gt;"",IF($K$7:$K$171&lt;&gt;"",ROW($K$7:$K$171)-MIN(ROW($K$7:$K$171))+1,""),""),ROW()-ROW(A$173)+1)),"##0"),","),"")</f>
        <v/>
      </c>
      <c r="L294" s="0" t="str">
        <f aca="false">IFERROR(CONCATENATE((INDEX($N$7:$N$171,SMALL(IF($N$7:$N$171&lt;&gt;"",IF($K$7:$K$171&lt;&gt;"",ROW($K$7:$K$171)-MIN(ROW($K$7:$K$171))+1,""),""),ROW()-ROW(A$173)+1))),","),"")</f>
        <v/>
      </c>
      <c r="M294" s="0" t="str">
        <f aca="false">IFERROR(CONCATENATE((INDEX($A$7:$A$171,SMALL(IF($N$7:$N$171&lt;&gt;"",IF($K$7:$K$171&lt;&gt;"",ROW($K$7:$K$171)-MIN(ROW($K$7:$K$171))+1,""),""),ROW()-ROW(A$173)+1))),),"")</f>
        <v/>
      </c>
      <c r="Q294" s="0" t="str">
        <f aca="false">IFERROR(CONCATENATE((INDEX($T$7:$T$171,SMALL(IF($T$7:$T$171&lt;&gt;"",IF($Q$7:$Q$171&lt;&gt;"",ROW($Q$7:$Q$171)-MIN(ROW($Q$7:$Q$171))+1,""),""),ROW()-ROW(A$173)+1)))," "),"")</f>
        <v/>
      </c>
      <c r="R294" s="0" t="str">
        <f aca="false">IFERROR(CONCATENATE(TEXT(INDEX($Q$7:$Q$171,SMALL(IF($T$7:$T$171&lt;&gt;"",IF($Q$7:$Q$171&lt;&gt;"",ROW($Q$7:$Q$171)-MIN(ROW($Q$7:$Q$171))+1,""),""),ROW()-ROW(A$173)+1)),"##0")," "),"")</f>
        <v/>
      </c>
      <c r="S294" s="0" t="str">
        <f aca="false">IFERROR(CONCATENATE((INDEX($A$7:$A$171,SMALL(IF($T$7:$T$171&lt;&gt;"",IF($Q$7:$Q$171&lt;&gt;"",ROW($Q$7:$Q$171)-MIN(ROW($Q$7:$Q$171))+1,""),""),ROW()-ROW(A$173)+1))),),"")</f>
        <v/>
      </c>
      <c r="W294" s="0" t="str">
        <f aca="false">IFERROR(CONCATENATE((INDEX($Z$7:$Z$171,SMALL(IF($Z$7:$Z$171&lt;&gt;"",IF($W$7:$W$171&lt;&gt;"",ROW($W$7:$W$171)-MIN(ROW($W$7:$W$171))+1,""),""),ROW()-ROW(A$173)+1))),","),"")</f>
        <v/>
      </c>
      <c r="X294" s="0" t="str">
        <f aca="false">IFERROR(CONCATENATE(TEXT(INDEX($W$7:$W$171,SMALL(IF($Z$7:$Z$171&lt;&gt;"",IF($W$7:$W$171&lt;&gt;"",ROW($W$7:$W$171)-MIN(ROW($W$7:$W$171))+1,""),""),ROW()-ROW(A$173)+1)),"##0"),","),"")</f>
        <v/>
      </c>
      <c r="Y294" s="0" t="str">
        <f aca="false">IFERROR(CONCATENATE((INDEX($A$7:$A$171,SMALL(IF($Z$7:$Z$171&lt;&gt;"",IF($W$7:$W$171&lt;&gt;"",ROW($W$7:$W$171)-MIN(ROW($W$7:$W$171))+1,""),""),ROW()-ROW(A$173)+1))),),"")</f>
        <v/>
      </c>
    </row>
    <row r="295" customFormat="false" ht="15" hidden="false" customHeight="false" outlineLevel="0" collapsed="false">
      <c r="K295" s="0" t="str">
        <f aca="false">IFERROR(CONCATENATE(TEXT(INDEX($K$7:$K$171,SMALL(IF($N$7:$N$171&lt;&gt;"",IF($K$7:$K$171&lt;&gt;"",ROW($K$7:$K$171)-MIN(ROW($K$7:$K$171))+1,""),""),ROW()-ROW(A$173)+1)),"##0"),","),"")</f>
        <v/>
      </c>
      <c r="L295" s="0" t="str">
        <f aca="false">IFERROR(CONCATENATE((INDEX($N$7:$N$171,SMALL(IF($N$7:$N$171&lt;&gt;"",IF($K$7:$K$171&lt;&gt;"",ROW($K$7:$K$171)-MIN(ROW($K$7:$K$171))+1,""),""),ROW()-ROW(A$173)+1))),","),"")</f>
        <v/>
      </c>
      <c r="M295" s="0" t="str">
        <f aca="false">IFERROR(CONCATENATE((INDEX($A$7:$A$171,SMALL(IF($N$7:$N$171&lt;&gt;"",IF($K$7:$K$171&lt;&gt;"",ROW($K$7:$K$171)-MIN(ROW($K$7:$K$171))+1,""),""),ROW()-ROW(A$173)+1))),),"")</f>
        <v/>
      </c>
      <c r="Q295" s="0" t="str">
        <f aca="false">IFERROR(CONCATENATE((INDEX($T$7:$T$171,SMALL(IF($T$7:$T$171&lt;&gt;"",IF($Q$7:$Q$171&lt;&gt;"",ROW($Q$7:$Q$171)-MIN(ROW($Q$7:$Q$171))+1,""),""),ROW()-ROW(A$173)+1)))," "),"")</f>
        <v/>
      </c>
      <c r="R295" s="0" t="str">
        <f aca="false">IFERROR(CONCATENATE(TEXT(INDEX($Q$7:$Q$171,SMALL(IF($T$7:$T$171&lt;&gt;"",IF($Q$7:$Q$171&lt;&gt;"",ROW($Q$7:$Q$171)-MIN(ROW($Q$7:$Q$171))+1,""),""),ROW()-ROW(A$173)+1)),"##0")," "),"")</f>
        <v/>
      </c>
      <c r="S295" s="0" t="str">
        <f aca="false">IFERROR(CONCATENATE((INDEX($A$7:$A$171,SMALL(IF($T$7:$T$171&lt;&gt;"",IF($Q$7:$Q$171&lt;&gt;"",ROW($Q$7:$Q$171)-MIN(ROW($Q$7:$Q$171))+1,""),""),ROW()-ROW(A$173)+1))),),"")</f>
        <v/>
      </c>
      <c r="W295" s="0" t="str">
        <f aca="false">IFERROR(CONCATENATE((INDEX($Z$7:$Z$171,SMALL(IF($Z$7:$Z$171&lt;&gt;"",IF($W$7:$W$171&lt;&gt;"",ROW($W$7:$W$171)-MIN(ROW($W$7:$W$171))+1,""),""),ROW()-ROW(A$173)+1))),","),"")</f>
        <v/>
      </c>
      <c r="X295" s="0" t="str">
        <f aca="false">IFERROR(CONCATENATE(TEXT(INDEX($W$7:$W$171,SMALL(IF($Z$7:$Z$171&lt;&gt;"",IF($W$7:$W$171&lt;&gt;"",ROW($W$7:$W$171)-MIN(ROW($W$7:$W$171))+1,""),""),ROW()-ROW(A$173)+1)),"##0"),","),"")</f>
        <v/>
      </c>
      <c r="Y295" s="0" t="str">
        <f aca="false">IFERROR(CONCATENATE((INDEX($A$7:$A$171,SMALL(IF($Z$7:$Z$171&lt;&gt;"",IF($W$7:$W$171&lt;&gt;"",ROW($W$7:$W$171)-MIN(ROW($W$7:$W$171))+1,""),""),ROW()-ROW(A$173)+1))),),"")</f>
        <v/>
      </c>
    </row>
    <row r="296" customFormat="false" ht="15" hidden="false" customHeight="false" outlineLevel="0" collapsed="false">
      <c r="K296" s="0" t="str">
        <f aca="false">IFERROR(CONCATENATE(TEXT(INDEX($K$7:$K$171,SMALL(IF($N$7:$N$171&lt;&gt;"",IF($K$7:$K$171&lt;&gt;"",ROW($K$7:$K$171)-MIN(ROW($K$7:$K$171))+1,""),""),ROW()-ROW(A$173)+1)),"##0"),","),"")</f>
        <v/>
      </c>
      <c r="L296" s="0" t="str">
        <f aca="false">IFERROR(CONCATENATE((INDEX($N$7:$N$171,SMALL(IF($N$7:$N$171&lt;&gt;"",IF($K$7:$K$171&lt;&gt;"",ROW($K$7:$K$171)-MIN(ROW($K$7:$K$171))+1,""),""),ROW()-ROW(A$173)+1))),","),"")</f>
        <v/>
      </c>
      <c r="M296" s="0" t="str">
        <f aca="false">IFERROR(CONCATENATE((INDEX($A$7:$A$171,SMALL(IF($N$7:$N$171&lt;&gt;"",IF($K$7:$K$171&lt;&gt;"",ROW($K$7:$K$171)-MIN(ROW($K$7:$K$171))+1,""),""),ROW()-ROW(A$173)+1))),),"")</f>
        <v/>
      </c>
      <c r="Q296" s="0" t="str">
        <f aca="false">IFERROR(CONCATENATE((INDEX($T$7:$T$171,SMALL(IF($T$7:$T$171&lt;&gt;"",IF($Q$7:$Q$171&lt;&gt;"",ROW($Q$7:$Q$171)-MIN(ROW($Q$7:$Q$171))+1,""),""),ROW()-ROW(A$173)+1)))," "),"")</f>
        <v/>
      </c>
      <c r="R296" s="0" t="str">
        <f aca="false">IFERROR(CONCATENATE(TEXT(INDEX($Q$7:$Q$171,SMALL(IF($T$7:$T$171&lt;&gt;"",IF($Q$7:$Q$171&lt;&gt;"",ROW($Q$7:$Q$171)-MIN(ROW($Q$7:$Q$171))+1,""),""),ROW()-ROW(A$173)+1)),"##0")," "),"")</f>
        <v/>
      </c>
      <c r="S296" s="0" t="str">
        <f aca="false">IFERROR(CONCATENATE((INDEX($A$7:$A$171,SMALL(IF($T$7:$T$171&lt;&gt;"",IF($Q$7:$Q$171&lt;&gt;"",ROW($Q$7:$Q$171)-MIN(ROW($Q$7:$Q$171))+1,""),""),ROW()-ROW(A$173)+1))),),"")</f>
        <v/>
      </c>
      <c r="W296" s="0" t="str">
        <f aca="false">IFERROR(CONCATENATE((INDEX($Z$7:$Z$171,SMALL(IF($Z$7:$Z$171&lt;&gt;"",IF($W$7:$W$171&lt;&gt;"",ROW($W$7:$W$171)-MIN(ROW($W$7:$W$171))+1,""),""),ROW()-ROW(A$173)+1))),","),"")</f>
        <v/>
      </c>
      <c r="X296" s="0" t="str">
        <f aca="false">IFERROR(CONCATENATE(TEXT(INDEX($W$7:$W$171,SMALL(IF($Z$7:$Z$171&lt;&gt;"",IF($W$7:$W$171&lt;&gt;"",ROW($W$7:$W$171)-MIN(ROW($W$7:$W$171))+1,""),""),ROW()-ROW(A$173)+1)),"##0"),","),"")</f>
        <v/>
      </c>
      <c r="Y296" s="0" t="str">
        <f aca="false">IFERROR(CONCATENATE((INDEX($A$7:$A$171,SMALL(IF($Z$7:$Z$171&lt;&gt;"",IF($W$7:$W$171&lt;&gt;"",ROW($W$7:$W$171)-MIN(ROW($W$7:$W$171))+1,""),""),ROW()-ROW(A$173)+1))),),"")</f>
        <v/>
      </c>
    </row>
    <row r="297" customFormat="false" ht="15" hidden="false" customHeight="false" outlineLevel="0" collapsed="false">
      <c r="K297" s="0" t="str">
        <f aca="false">IFERROR(CONCATENATE(TEXT(INDEX($K$7:$K$171,SMALL(IF($N$7:$N$171&lt;&gt;"",IF($K$7:$K$171&lt;&gt;"",ROW($K$7:$K$171)-MIN(ROW($K$7:$K$171))+1,""),""),ROW()-ROW(A$173)+1)),"##0"),","),"")</f>
        <v/>
      </c>
      <c r="L297" s="0" t="str">
        <f aca="false">IFERROR(CONCATENATE((INDEX($N$7:$N$171,SMALL(IF($N$7:$N$171&lt;&gt;"",IF($K$7:$K$171&lt;&gt;"",ROW($K$7:$K$171)-MIN(ROW($K$7:$K$171))+1,""),""),ROW()-ROW(A$173)+1))),","),"")</f>
        <v/>
      </c>
      <c r="M297" s="0" t="str">
        <f aca="false">IFERROR(CONCATENATE((INDEX($A$7:$A$171,SMALL(IF($N$7:$N$171&lt;&gt;"",IF($K$7:$K$171&lt;&gt;"",ROW($K$7:$K$171)-MIN(ROW($K$7:$K$171))+1,""),""),ROW()-ROW(A$173)+1))),),"")</f>
        <v/>
      </c>
      <c r="Q297" s="0" t="str">
        <f aca="false">IFERROR(CONCATENATE((INDEX($T$7:$T$171,SMALL(IF($T$7:$T$171&lt;&gt;"",IF($Q$7:$Q$171&lt;&gt;"",ROW($Q$7:$Q$171)-MIN(ROW($Q$7:$Q$171))+1,""),""),ROW()-ROW(A$173)+1)))," "),"")</f>
        <v/>
      </c>
      <c r="R297" s="0" t="str">
        <f aca="false">IFERROR(CONCATENATE(TEXT(INDEX($Q$7:$Q$171,SMALL(IF($T$7:$T$171&lt;&gt;"",IF($Q$7:$Q$171&lt;&gt;"",ROW($Q$7:$Q$171)-MIN(ROW($Q$7:$Q$171))+1,""),""),ROW()-ROW(A$173)+1)),"##0")," "),"")</f>
        <v/>
      </c>
      <c r="S297" s="0" t="str">
        <f aca="false">IFERROR(CONCATENATE((INDEX($A$7:$A$171,SMALL(IF($T$7:$T$171&lt;&gt;"",IF($Q$7:$Q$171&lt;&gt;"",ROW($Q$7:$Q$171)-MIN(ROW($Q$7:$Q$171))+1,""),""),ROW()-ROW(A$173)+1))),),"")</f>
        <v/>
      </c>
      <c r="W297" s="0" t="str">
        <f aca="false">IFERROR(CONCATENATE((INDEX($Z$7:$Z$171,SMALL(IF($Z$7:$Z$171&lt;&gt;"",IF($W$7:$W$171&lt;&gt;"",ROW($W$7:$W$171)-MIN(ROW($W$7:$W$171))+1,""),""),ROW()-ROW(A$173)+1))),","),"")</f>
        <v/>
      </c>
      <c r="X297" s="0" t="str">
        <f aca="false">IFERROR(CONCATENATE(TEXT(INDEX($W$7:$W$171,SMALL(IF($Z$7:$Z$171&lt;&gt;"",IF($W$7:$W$171&lt;&gt;"",ROW($W$7:$W$171)-MIN(ROW($W$7:$W$171))+1,""),""),ROW()-ROW(A$173)+1)),"##0"),","),"")</f>
        <v/>
      </c>
      <c r="Y297" s="0" t="str">
        <f aca="false">IFERROR(CONCATENATE((INDEX($A$7:$A$171,SMALL(IF($Z$7:$Z$171&lt;&gt;"",IF($W$7:$W$171&lt;&gt;"",ROW($W$7:$W$171)-MIN(ROW($W$7:$W$171))+1,""),""),ROW()-ROW(A$173)+1))),),"")</f>
        <v/>
      </c>
    </row>
    <row r="298" customFormat="false" ht="15" hidden="false" customHeight="false" outlineLevel="0" collapsed="false">
      <c r="K298" s="0" t="str">
        <f aca="false">IFERROR(CONCATENATE(TEXT(INDEX($K$7:$K$171,SMALL(IF($N$7:$N$171&lt;&gt;"",IF($K$7:$K$171&lt;&gt;"",ROW($K$7:$K$171)-MIN(ROW($K$7:$K$171))+1,""),""),ROW()-ROW(A$173)+1)),"##0"),","),"")</f>
        <v/>
      </c>
      <c r="L298" s="0" t="str">
        <f aca="false">IFERROR(CONCATENATE((INDEX($N$7:$N$171,SMALL(IF($N$7:$N$171&lt;&gt;"",IF($K$7:$K$171&lt;&gt;"",ROW($K$7:$K$171)-MIN(ROW($K$7:$K$171))+1,""),""),ROW()-ROW(A$173)+1))),","),"")</f>
        <v/>
      </c>
      <c r="M298" s="0" t="str">
        <f aca="false">IFERROR(CONCATENATE((INDEX($A$7:$A$171,SMALL(IF($N$7:$N$171&lt;&gt;"",IF($K$7:$K$171&lt;&gt;"",ROW($K$7:$K$171)-MIN(ROW($K$7:$K$171))+1,""),""),ROW()-ROW(A$173)+1))),),"")</f>
        <v/>
      </c>
      <c r="Q298" s="0" t="str">
        <f aca="false">IFERROR(CONCATENATE((INDEX($T$7:$T$171,SMALL(IF($T$7:$T$171&lt;&gt;"",IF($Q$7:$Q$171&lt;&gt;"",ROW($Q$7:$Q$171)-MIN(ROW($Q$7:$Q$171))+1,""),""),ROW()-ROW(A$173)+1)))," "),"")</f>
        <v/>
      </c>
      <c r="R298" s="0" t="str">
        <f aca="false">IFERROR(CONCATENATE(TEXT(INDEX($Q$7:$Q$171,SMALL(IF($T$7:$T$171&lt;&gt;"",IF($Q$7:$Q$171&lt;&gt;"",ROW($Q$7:$Q$171)-MIN(ROW($Q$7:$Q$171))+1,""),""),ROW()-ROW(A$173)+1)),"##0")," "),"")</f>
        <v/>
      </c>
      <c r="S298" s="0" t="str">
        <f aca="false">IFERROR(CONCATENATE((INDEX($A$7:$A$171,SMALL(IF($T$7:$T$171&lt;&gt;"",IF($Q$7:$Q$171&lt;&gt;"",ROW($Q$7:$Q$171)-MIN(ROW($Q$7:$Q$171))+1,""),""),ROW()-ROW(A$173)+1))),),"")</f>
        <v/>
      </c>
      <c r="W298" s="0" t="str">
        <f aca="false">IFERROR(CONCATENATE((INDEX($Z$7:$Z$171,SMALL(IF($Z$7:$Z$171&lt;&gt;"",IF($W$7:$W$171&lt;&gt;"",ROW($W$7:$W$171)-MIN(ROW($W$7:$W$171))+1,""),""),ROW()-ROW(A$173)+1))),","),"")</f>
        <v/>
      </c>
      <c r="X298" s="0" t="str">
        <f aca="false">IFERROR(CONCATENATE(TEXT(INDEX($W$7:$W$171,SMALL(IF($Z$7:$Z$171&lt;&gt;"",IF($W$7:$W$171&lt;&gt;"",ROW($W$7:$W$171)-MIN(ROW($W$7:$W$171))+1,""),""),ROW()-ROW(A$173)+1)),"##0"),","),"")</f>
        <v/>
      </c>
      <c r="Y298" s="0" t="str">
        <f aca="false">IFERROR(CONCATENATE((INDEX($A$7:$A$171,SMALL(IF($Z$7:$Z$171&lt;&gt;"",IF($W$7:$W$171&lt;&gt;"",ROW($W$7:$W$171)-MIN(ROW($W$7:$W$171))+1,""),""),ROW()-ROW(A$173)+1))),),"")</f>
        <v/>
      </c>
    </row>
    <row r="299" customFormat="false" ht="15" hidden="false" customHeight="false" outlineLevel="0" collapsed="false">
      <c r="K299" s="0" t="str">
        <f aca="false">IFERROR(CONCATENATE(TEXT(INDEX($K$7:$K$171,SMALL(IF($N$7:$N$171&lt;&gt;"",IF($K$7:$K$171&lt;&gt;"",ROW($K$7:$K$171)-MIN(ROW($K$7:$K$171))+1,""),""),ROW()-ROW(A$173)+1)),"##0"),","),"")</f>
        <v/>
      </c>
      <c r="L299" s="0" t="str">
        <f aca="false">IFERROR(CONCATENATE((INDEX($N$7:$N$171,SMALL(IF($N$7:$N$171&lt;&gt;"",IF($K$7:$K$171&lt;&gt;"",ROW($K$7:$K$171)-MIN(ROW($K$7:$K$171))+1,""),""),ROW()-ROW(A$173)+1))),","),"")</f>
        <v/>
      </c>
      <c r="M299" s="0" t="str">
        <f aca="false">IFERROR(CONCATENATE((INDEX($A$7:$A$171,SMALL(IF($N$7:$N$171&lt;&gt;"",IF($K$7:$K$171&lt;&gt;"",ROW($K$7:$K$171)-MIN(ROW($K$7:$K$171))+1,""),""),ROW()-ROW(A$173)+1))),),"")</f>
        <v/>
      </c>
      <c r="Q299" s="0" t="str">
        <f aca="false">IFERROR(CONCATENATE((INDEX($T$7:$T$171,SMALL(IF($T$7:$T$171&lt;&gt;"",IF($Q$7:$Q$171&lt;&gt;"",ROW($Q$7:$Q$171)-MIN(ROW($Q$7:$Q$171))+1,""),""),ROW()-ROW(A$173)+1)))," "),"")</f>
        <v/>
      </c>
      <c r="R299" s="0" t="str">
        <f aca="false">IFERROR(CONCATENATE(TEXT(INDEX($Q$7:$Q$171,SMALL(IF($T$7:$T$171&lt;&gt;"",IF($Q$7:$Q$171&lt;&gt;"",ROW($Q$7:$Q$171)-MIN(ROW($Q$7:$Q$171))+1,""),""),ROW()-ROW(A$173)+1)),"##0")," "),"")</f>
        <v/>
      </c>
      <c r="S299" s="0" t="str">
        <f aca="false">IFERROR(CONCATENATE((INDEX($A$7:$A$171,SMALL(IF($T$7:$T$171&lt;&gt;"",IF($Q$7:$Q$171&lt;&gt;"",ROW($Q$7:$Q$171)-MIN(ROW($Q$7:$Q$171))+1,""),""),ROW()-ROW(A$173)+1))),),"")</f>
        <v/>
      </c>
      <c r="W299" s="0" t="str">
        <f aca="false">IFERROR(CONCATENATE((INDEX($Z$7:$Z$171,SMALL(IF($Z$7:$Z$171&lt;&gt;"",IF($W$7:$W$171&lt;&gt;"",ROW($W$7:$W$171)-MIN(ROW($W$7:$W$171))+1,""),""),ROW()-ROW(A$173)+1))),","),"")</f>
        <v/>
      </c>
      <c r="X299" s="0" t="str">
        <f aca="false">IFERROR(CONCATENATE(TEXT(INDEX($W$7:$W$171,SMALL(IF($Z$7:$Z$171&lt;&gt;"",IF($W$7:$W$171&lt;&gt;"",ROW($W$7:$W$171)-MIN(ROW($W$7:$W$171))+1,""),""),ROW()-ROW(A$173)+1)),"##0"),","),"")</f>
        <v/>
      </c>
      <c r="Y299" s="0" t="str">
        <f aca="false">IFERROR(CONCATENATE((INDEX($A$7:$A$171,SMALL(IF($Z$7:$Z$171&lt;&gt;"",IF($W$7:$W$171&lt;&gt;"",ROW($W$7:$W$171)-MIN(ROW($W$7:$W$171))+1,""),""),ROW()-ROW(A$173)+1))),),"")</f>
        <v/>
      </c>
    </row>
    <row r="300" customFormat="false" ht="15" hidden="false" customHeight="false" outlineLevel="0" collapsed="false">
      <c r="K300" s="0" t="str">
        <f aca="false">IFERROR(CONCATENATE(TEXT(INDEX($K$7:$K$171,SMALL(IF($N$7:$N$171&lt;&gt;"",IF($K$7:$K$171&lt;&gt;"",ROW($K$7:$K$171)-MIN(ROW($K$7:$K$171))+1,""),""),ROW()-ROW(A$173)+1)),"##0"),","),"")</f>
        <v/>
      </c>
      <c r="L300" s="0" t="str">
        <f aca="false">IFERROR(CONCATENATE((INDEX($N$7:$N$171,SMALL(IF($N$7:$N$171&lt;&gt;"",IF($K$7:$K$171&lt;&gt;"",ROW($K$7:$K$171)-MIN(ROW($K$7:$K$171))+1,""),""),ROW()-ROW(A$173)+1))),","),"")</f>
        <v/>
      </c>
      <c r="M300" s="0" t="str">
        <f aca="false">IFERROR(CONCATENATE((INDEX($A$7:$A$171,SMALL(IF($N$7:$N$171&lt;&gt;"",IF($K$7:$K$171&lt;&gt;"",ROW($K$7:$K$171)-MIN(ROW($K$7:$K$171))+1,""),""),ROW()-ROW(A$173)+1))),),"")</f>
        <v/>
      </c>
      <c r="Q300" s="0" t="str">
        <f aca="false">IFERROR(CONCATENATE((INDEX($T$7:$T$171,SMALL(IF($T$7:$T$171&lt;&gt;"",IF($Q$7:$Q$171&lt;&gt;"",ROW($Q$7:$Q$171)-MIN(ROW($Q$7:$Q$171))+1,""),""),ROW()-ROW(A$173)+1)))," "),"")</f>
        <v/>
      </c>
      <c r="R300" s="0" t="str">
        <f aca="false">IFERROR(CONCATENATE(TEXT(INDEX($Q$7:$Q$171,SMALL(IF($T$7:$T$171&lt;&gt;"",IF($Q$7:$Q$171&lt;&gt;"",ROW($Q$7:$Q$171)-MIN(ROW($Q$7:$Q$171))+1,""),""),ROW()-ROW(A$173)+1)),"##0")," "),"")</f>
        <v/>
      </c>
      <c r="S300" s="0" t="str">
        <f aca="false">IFERROR(CONCATENATE((INDEX($A$7:$A$171,SMALL(IF($T$7:$T$171&lt;&gt;"",IF($Q$7:$Q$171&lt;&gt;"",ROW($Q$7:$Q$171)-MIN(ROW($Q$7:$Q$171))+1,""),""),ROW()-ROW(A$173)+1))),),"")</f>
        <v/>
      </c>
      <c r="W300" s="0" t="str">
        <f aca="false">IFERROR(CONCATENATE((INDEX($Z$7:$Z$171,SMALL(IF($Z$7:$Z$171&lt;&gt;"",IF($W$7:$W$171&lt;&gt;"",ROW($W$7:$W$171)-MIN(ROW($W$7:$W$171))+1,""),""),ROW()-ROW(A$173)+1))),","),"")</f>
        <v/>
      </c>
      <c r="X300" s="0" t="str">
        <f aca="false">IFERROR(CONCATENATE(TEXT(INDEX($W$7:$W$171,SMALL(IF($Z$7:$Z$171&lt;&gt;"",IF($W$7:$W$171&lt;&gt;"",ROW($W$7:$W$171)-MIN(ROW($W$7:$W$171))+1,""),""),ROW()-ROW(A$173)+1)),"##0"),","),"")</f>
        <v/>
      </c>
      <c r="Y300" s="0" t="str">
        <f aca="false">IFERROR(CONCATENATE((INDEX($A$7:$A$171,SMALL(IF($Z$7:$Z$171&lt;&gt;"",IF($W$7:$W$171&lt;&gt;"",ROW($W$7:$W$171)-MIN(ROW($W$7:$W$171))+1,""),""),ROW()-ROW(A$173)+1))),),"")</f>
        <v/>
      </c>
    </row>
    <row r="301" customFormat="false" ht="15" hidden="false" customHeight="false" outlineLevel="0" collapsed="false">
      <c r="K301" s="0" t="str">
        <f aca="false">IFERROR(CONCATENATE(TEXT(INDEX($K$7:$K$171,SMALL(IF($N$7:$N$171&lt;&gt;"",IF($K$7:$K$171&lt;&gt;"",ROW($K$7:$K$171)-MIN(ROW($K$7:$K$171))+1,""),""),ROW()-ROW(A$173)+1)),"##0"),","),"")</f>
        <v/>
      </c>
      <c r="L301" s="0" t="str">
        <f aca="false">IFERROR(CONCATENATE((INDEX($N$7:$N$171,SMALL(IF($N$7:$N$171&lt;&gt;"",IF($K$7:$K$171&lt;&gt;"",ROW($K$7:$K$171)-MIN(ROW($K$7:$K$171))+1,""),""),ROW()-ROW(A$173)+1))),","),"")</f>
        <v/>
      </c>
      <c r="M301" s="0" t="str">
        <f aca="false">IFERROR(CONCATENATE((INDEX($A$7:$A$171,SMALL(IF($N$7:$N$171&lt;&gt;"",IF($K$7:$K$171&lt;&gt;"",ROW($K$7:$K$171)-MIN(ROW($K$7:$K$171))+1,""),""),ROW()-ROW(A$173)+1))),),"")</f>
        <v/>
      </c>
      <c r="Q301" s="0" t="str">
        <f aca="false">IFERROR(CONCATENATE((INDEX($T$7:$T$171,SMALL(IF($T$7:$T$171&lt;&gt;"",IF($Q$7:$Q$171&lt;&gt;"",ROW($Q$7:$Q$171)-MIN(ROW($Q$7:$Q$171))+1,""),""),ROW()-ROW(A$173)+1)))," "),"")</f>
        <v/>
      </c>
      <c r="R301" s="0" t="str">
        <f aca="false">IFERROR(CONCATENATE(TEXT(INDEX($Q$7:$Q$171,SMALL(IF($T$7:$T$171&lt;&gt;"",IF($Q$7:$Q$171&lt;&gt;"",ROW($Q$7:$Q$171)-MIN(ROW($Q$7:$Q$171))+1,""),""),ROW()-ROW(A$173)+1)),"##0")," "),"")</f>
        <v/>
      </c>
      <c r="S301" s="0" t="str">
        <f aca="false">IFERROR(CONCATENATE((INDEX($A$7:$A$171,SMALL(IF($T$7:$T$171&lt;&gt;"",IF($Q$7:$Q$171&lt;&gt;"",ROW($Q$7:$Q$171)-MIN(ROW($Q$7:$Q$171))+1,""),""),ROW()-ROW(A$173)+1))),),"")</f>
        <v/>
      </c>
      <c r="W301" s="0" t="str">
        <f aca="false">IFERROR(CONCATENATE((INDEX($Z$7:$Z$171,SMALL(IF($Z$7:$Z$171&lt;&gt;"",IF($W$7:$W$171&lt;&gt;"",ROW($W$7:$W$171)-MIN(ROW($W$7:$W$171))+1,""),""),ROW()-ROW(A$173)+1))),","),"")</f>
        <v/>
      </c>
      <c r="X301" s="0" t="str">
        <f aca="false">IFERROR(CONCATENATE(TEXT(INDEX($W$7:$W$171,SMALL(IF($Z$7:$Z$171&lt;&gt;"",IF($W$7:$W$171&lt;&gt;"",ROW($W$7:$W$171)-MIN(ROW($W$7:$W$171))+1,""),""),ROW()-ROW(A$173)+1)),"##0"),","),"")</f>
        <v/>
      </c>
      <c r="Y301" s="0" t="str">
        <f aca="false">IFERROR(CONCATENATE((INDEX($A$7:$A$171,SMALL(IF($Z$7:$Z$171&lt;&gt;"",IF($W$7:$W$171&lt;&gt;"",ROW($W$7:$W$171)-MIN(ROW($W$7:$W$171))+1,""),""),ROW()-ROW(A$173)+1))),),"")</f>
        <v/>
      </c>
    </row>
    <row r="302" customFormat="false" ht="15" hidden="false" customHeight="false" outlineLevel="0" collapsed="false">
      <c r="K302" s="0" t="str">
        <f aca="false">IFERROR(CONCATENATE(TEXT(INDEX($K$7:$K$171,SMALL(IF($N$7:$N$171&lt;&gt;"",IF($K$7:$K$171&lt;&gt;"",ROW($K$7:$K$171)-MIN(ROW($K$7:$K$171))+1,""),""),ROW()-ROW(A$173)+1)),"##0"),","),"")</f>
        <v/>
      </c>
      <c r="L302" s="0" t="str">
        <f aca="false">IFERROR(CONCATENATE((INDEX($N$7:$N$171,SMALL(IF($N$7:$N$171&lt;&gt;"",IF($K$7:$K$171&lt;&gt;"",ROW($K$7:$K$171)-MIN(ROW($K$7:$K$171))+1,""),""),ROW()-ROW(A$173)+1))),","),"")</f>
        <v/>
      </c>
      <c r="M302" s="0" t="str">
        <f aca="false">IFERROR(CONCATENATE((INDEX($A$7:$A$171,SMALL(IF($N$7:$N$171&lt;&gt;"",IF($K$7:$K$171&lt;&gt;"",ROW($K$7:$K$171)-MIN(ROW($K$7:$K$171))+1,""),""),ROW()-ROW(A$173)+1))),),"")</f>
        <v/>
      </c>
      <c r="Q302" s="0" t="str">
        <f aca="false">IFERROR(CONCATENATE((INDEX($T$7:$T$171,SMALL(IF($T$7:$T$171&lt;&gt;"",IF($Q$7:$Q$171&lt;&gt;"",ROW($Q$7:$Q$171)-MIN(ROW($Q$7:$Q$171))+1,""),""),ROW()-ROW(A$173)+1)))," "),"")</f>
        <v/>
      </c>
      <c r="R302" s="0" t="str">
        <f aca="false">IFERROR(CONCATENATE(TEXT(INDEX($Q$7:$Q$171,SMALL(IF($T$7:$T$171&lt;&gt;"",IF($Q$7:$Q$171&lt;&gt;"",ROW($Q$7:$Q$171)-MIN(ROW($Q$7:$Q$171))+1,""),""),ROW()-ROW(A$173)+1)),"##0")," "),"")</f>
        <v/>
      </c>
      <c r="S302" s="0" t="str">
        <f aca="false">IFERROR(CONCATENATE((INDEX($A$7:$A$171,SMALL(IF($T$7:$T$171&lt;&gt;"",IF($Q$7:$Q$171&lt;&gt;"",ROW($Q$7:$Q$171)-MIN(ROW($Q$7:$Q$171))+1,""),""),ROW()-ROW(A$173)+1))),),"")</f>
        <v/>
      </c>
      <c r="W302" s="0" t="str">
        <f aca="false">IFERROR(CONCATENATE((INDEX($Z$7:$Z$171,SMALL(IF($Z$7:$Z$171&lt;&gt;"",IF($W$7:$W$171&lt;&gt;"",ROW($W$7:$W$171)-MIN(ROW($W$7:$W$171))+1,""),""),ROW()-ROW(A$173)+1))),","),"")</f>
        <v/>
      </c>
      <c r="X302" s="0" t="str">
        <f aca="false">IFERROR(CONCATENATE(TEXT(INDEX($W$7:$W$171,SMALL(IF($Z$7:$Z$171&lt;&gt;"",IF($W$7:$W$171&lt;&gt;"",ROW($W$7:$W$171)-MIN(ROW($W$7:$W$171))+1,""),""),ROW()-ROW(A$173)+1)),"##0"),","),"")</f>
        <v/>
      </c>
      <c r="Y302" s="0" t="str">
        <f aca="false">IFERROR(CONCATENATE((INDEX($A$7:$A$171,SMALL(IF($Z$7:$Z$171&lt;&gt;"",IF($W$7:$W$171&lt;&gt;"",ROW($W$7:$W$171)-MIN(ROW($W$7:$W$171))+1,""),""),ROW()-ROW(A$173)+1))),),"")</f>
        <v/>
      </c>
    </row>
    <row r="303" customFormat="false" ht="15" hidden="false" customHeight="false" outlineLevel="0" collapsed="false">
      <c r="K303" s="0" t="str">
        <f aca="false">IFERROR(CONCATENATE(TEXT(INDEX($K$7:$K$171,SMALL(IF($N$7:$N$171&lt;&gt;"",IF($K$7:$K$171&lt;&gt;"",ROW($K$7:$K$171)-MIN(ROW($K$7:$K$171))+1,""),""),ROW()-ROW(A$173)+1)),"##0"),","),"")</f>
        <v/>
      </c>
      <c r="L303" s="0" t="str">
        <f aca="false">IFERROR(CONCATENATE((INDEX($N$7:$N$171,SMALL(IF($N$7:$N$171&lt;&gt;"",IF($K$7:$K$171&lt;&gt;"",ROW($K$7:$K$171)-MIN(ROW($K$7:$K$171))+1,""),""),ROW()-ROW(A$173)+1))),","),"")</f>
        <v/>
      </c>
      <c r="M303" s="0" t="str">
        <f aca="false">IFERROR(CONCATENATE((INDEX($A$7:$A$171,SMALL(IF($N$7:$N$171&lt;&gt;"",IF($K$7:$K$171&lt;&gt;"",ROW($K$7:$K$171)-MIN(ROW($K$7:$K$171))+1,""),""),ROW()-ROW(A$173)+1))),),"")</f>
        <v/>
      </c>
      <c r="Q303" s="0" t="str">
        <f aca="false">IFERROR(CONCATENATE((INDEX($T$7:$T$171,SMALL(IF($T$7:$T$171&lt;&gt;"",IF($Q$7:$Q$171&lt;&gt;"",ROW($Q$7:$Q$171)-MIN(ROW($Q$7:$Q$171))+1,""),""),ROW()-ROW(A$173)+1)))," "),"")</f>
        <v/>
      </c>
      <c r="R303" s="0" t="str">
        <f aca="false">IFERROR(CONCATENATE(TEXT(INDEX($Q$7:$Q$171,SMALL(IF($T$7:$T$171&lt;&gt;"",IF($Q$7:$Q$171&lt;&gt;"",ROW($Q$7:$Q$171)-MIN(ROW($Q$7:$Q$171))+1,""),""),ROW()-ROW(A$173)+1)),"##0")," "),"")</f>
        <v/>
      </c>
      <c r="S303" s="0" t="str">
        <f aca="false">IFERROR(CONCATENATE((INDEX($A$7:$A$171,SMALL(IF($T$7:$T$171&lt;&gt;"",IF($Q$7:$Q$171&lt;&gt;"",ROW($Q$7:$Q$171)-MIN(ROW($Q$7:$Q$171))+1,""),""),ROW()-ROW(A$173)+1))),),"")</f>
        <v/>
      </c>
      <c r="W303" s="0" t="str">
        <f aca="false">IFERROR(CONCATENATE((INDEX($Z$7:$Z$171,SMALL(IF($Z$7:$Z$171&lt;&gt;"",IF($W$7:$W$171&lt;&gt;"",ROW($W$7:$W$171)-MIN(ROW($W$7:$W$171))+1,""),""),ROW()-ROW(A$173)+1))),","),"")</f>
        <v/>
      </c>
      <c r="X303" s="0" t="str">
        <f aca="false">IFERROR(CONCATENATE(TEXT(INDEX($W$7:$W$171,SMALL(IF($Z$7:$Z$171&lt;&gt;"",IF($W$7:$W$171&lt;&gt;"",ROW($W$7:$W$171)-MIN(ROW($W$7:$W$171))+1,""),""),ROW()-ROW(A$173)+1)),"##0"),","),"")</f>
        <v/>
      </c>
      <c r="Y303" s="0" t="str">
        <f aca="false">IFERROR(CONCATENATE((INDEX($A$7:$A$171,SMALL(IF($Z$7:$Z$171&lt;&gt;"",IF($W$7:$W$171&lt;&gt;"",ROW($W$7:$W$171)-MIN(ROW($W$7:$W$171))+1,""),""),ROW()-ROW(A$173)+1))),),"")</f>
        <v/>
      </c>
    </row>
    <row r="304" customFormat="false" ht="15" hidden="false" customHeight="false" outlineLevel="0" collapsed="false">
      <c r="K304" s="0" t="str">
        <f aca="false">IFERROR(CONCATENATE(TEXT(INDEX($K$7:$K$171,SMALL(IF($N$7:$N$171&lt;&gt;"",IF($K$7:$K$171&lt;&gt;"",ROW($K$7:$K$171)-MIN(ROW($K$7:$K$171))+1,""),""),ROW()-ROW(A$173)+1)),"##0"),","),"")</f>
        <v/>
      </c>
      <c r="L304" s="0" t="str">
        <f aca="false">IFERROR(CONCATENATE((INDEX($N$7:$N$171,SMALL(IF($N$7:$N$171&lt;&gt;"",IF($K$7:$K$171&lt;&gt;"",ROW($K$7:$K$171)-MIN(ROW($K$7:$K$171))+1,""),""),ROW()-ROW(A$173)+1))),","),"")</f>
        <v/>
      </c>
      <c r="M304" s="0" t="str">
        <f aca="false">IFERROR(CONCATENATE((INDEX($A$7:$A$171,SMALL(IF($N$7:$N$171&lt;&gt;"",IF($K$7:$K$171&lt;&gt;"",ROW($K$7:$K$171)-MIN(ROW($K$7:$K$171))+1,""),""),ROW()-ROW(A$173)+1))),),"")</f>
        <v/>
      </c>
      <c r="Q304" s="0" t="str">
        <f aca="false">IFERROR(CONCATENATE((INDEX($T$7:$T$171,SMALL(IF($T$7:$T$171&lt;&gt;"",IF($Q$7:$Q$171&lt;&gt;"",ROW($Q$7:$Q$171)-MIN(ROW($Q$7:$Q$171))+1,""),""),ROW()-ROW(A$173)+1)))," "),"")</f>
        <v/>
      </c>
      <c r="R304" s="0" t="str">
        <f aca="false">IFERROR(CONCATENATE(TEXT(INDEX($Q$7:$Q$171,SMALL(IF($T$7:$T$171&lt;&gt;"",IF($Q$7:$Q$171&lt;&gt;"",ROW($Q$7:$Q$171)-MIN(ROW($Q$7:$Q$171))+1,""),""),ROW()-ROW(A$173)+1)),"##0")," "),"")</f>
        <v/>
      </c>
      <c r="S304" s="0" t="str">
        <f aca="false">IFERROR(CONCATENATE((INDEX($A$7:$A$171,SMALL(IF($T$7:$T$171&lt;&gt;"",IF($Q$7:$Q$171&lt;&gt;"",ROW($Q$7:$Q$171)-MIN(ROW($Q$7:$Q$171))+1,""),""),ROW()-ROW(A$173)+1))),),"")</f>
        <v/>
      </c>
      <c r="W304" s="0" t="str">
        <f aca="false">IFERROR(CONCATENATE((INDEX($Z$7:$Z$171,SMALL(IF($Z$7:$Z$171&lt;&gt;"",IF($W$7:$W$171&lt;&gt;"",ROW($W$7:$W$171)-MIN(ROW($W$7:$W$171))+1,""),""),ROW()-ROW(A$173)+1))),","),"")</f>
        <v/>
      </c>
      <c r="X304" s="0" t="str">
        <f aca="false">IFERROR(CONCATENATE(TEXT(INDEX($W$7:$W$171,SMALL(IF($Z$7:$Z$171&lt;&gt;"",IF($W$7:$W$171&lt;&gt;"",ROW($W$7:$W$171)-MIN(ROW($W$7:$W$171))+1,""),""),ROW()-ROW(A$173)+1)),"##0"),","),"")</f>
        <v/>
      </c>
      <c r="Y304" s="0" t="str">
        <f aca="false">IFERROR(CONCATENATE((INDEX($A$7:$A$171,SMALL(IF($Z$7:$Z$171&lt;&gt;"",IF($W$7:$W$171&lt;&gt;"",ROW($W$7:$W$171)-MIN(ROW($W$7:$W$171))+1,""),""),ROW()-ROW(A$173)+1))),),"")</f>
        <v/>
      </c>
    </row>
    <row r="305" customFormat="false" ht="15" hidden="false" customHeight="false" outlineLevel="0" collapsed="false">
      <c r="K305" s="0" t="str">
        <f aca="false">IFERROR(CONCATENATE(TEXT(INDEX($K$7:$K$171,SMALL(IF($N$7:$N$171&lt;&gt;"",IF($K$7:$K$171&lt;&gt;"",ROW($K$7:$K$171)-MIN(ROW($K$7:$K$171))+1,""),""),ROW()-ROW(A$173)+1)),"##0"),","),"")</f>
        <v/>
      </c>
      <c r="L305" s="0" t="str">
        <f aca="false">IFERROR(CONCATENATE((INDEX($N$7:$N$171,SMALL(IF($N$7:$N$171&lt;&gt;"",IF($K$7:$K$171&lt;&gt;"",ROW($K$7:$K$171)-MIN(ROW($K$7:$K$171))+1,""),""),ROW()-ROW(A$173)+1))),","),"")</f>
        <v/>
      </c>
      <c r="M305" s="0" t="str">
        <f aca="false">IFERROR(CONCATENATE((INDEX($A$7:$A$171,SMALL(IF($N$7:$N$171&lt;&gt;"",IF($K$7:$K$171&lt;&gt;"",ROW($K$7:$K$171)-MIN(ROW($K$7:$K$171))+1,""),""),ROW()-ROW(A$173)+1))),),"")</f>
        <v/>
      </c>
      <c r="Q305" s="0" t="str">
        <f aca="false">IFERROR(CONCATENATE((INDEX($T$7:$T$171,SMALL(IF($T$7:$T$171&lt;&gt;"",IF($Q$7:$Q$171&lt;&gt;"",ROW($Q$7:$Q$171)-MIN(ROW($Q$7:$Q$171))+1,""),""),ROW()-ROW(A$173)+1)))," "),"")</f>
        <v/>
      </c>
      <c r="R305" s="0" t="str">
        <f aca="false">IFERROR(CONCATENATE(TEXT(INDEX($Q$7:$Q$171,SMALL(IF($T$7:$T$171&lt;&gt;"",IF($Q$7:$Q$171&lt;&gt;"",ROW($Q$7:$Q$171)-MIN(ROW($Q$7:$Q$171))+1,""),""),ROW()-ROW(A$173)+1)),"##0")," "),"")</f>
        <v/>
      </c>
      <c r="S305" s="0" t="str">
        <f aca="false">IFERROR(CONCATENATE((INDEX($A$7:$A$171,SMALL(IF($T$7:$T$171&lt;&gt;"",IF($Q$7:$Q$171&lt;&gt;"",ROW($Q$7:$Q$171)-MIN(ROW($Q$7:$Q$171))+1,""),""),ROW()-ROW(A$173)+1))),),"")</f>
        <v/>
      </c>
      <c r="W305" s="0" t="str">
        <f aca="false">IFERROR(CONCATENATE((INDEX($Z$7:$Z$171,SMALL(IF($Z$7:$Z$171&lt;&gt;"",IF($W$7:$W$171&lt;&gt;"",ROW($W$7:$W$171)-MIN(ROW($W$7:$W$171))+1,""),""),ROW()-ROW(A$173)+1))),","),"")</f>
        <v/>
      </c>
      <c r="X305" s="0" t="str">
        <f aca="false">IFERROR(CONCATENATE(TEXT(INDEX($W$7:$W$171,SMALL(IF($Z$7:$Z$171&lt;&gt;"",IF($W$7:$W$171&lt;&gt;"",ROW($W$7:$W$171)-MIN(ROW($W$7:$W$171))+1,""),""),ROW()-ROW(A$173)+1)),"##0"),","),"")</f>
        <v/>
      </c>
      <c r="Y305" s="0" t="str">
        <f aca="false">IFERROR(CONCATENATE((INDEX($A$7:$A$171,SMALL(IF($Z$7:$Z$171&lt;&gt;"",IF($W$7:$W$171&lt;&gt;"",ROW($W$7:$W$171)-MIN(ROW($W$7:$W$171))+1,""),""),ROW()-ROW(A$173)+1))),),"")</f>
        <v/>
      </c>
    </row>
    <row r="306" customFormat="false" ht="15" hidden="false" customHeight="false" outlineLevel="0" collapsed="false">
      <c r="K306" s="0" t="str">
        <f aca="false">IFERROR(CONCATENATE(TEXT(INDEX($K$7:$K$171,SMALL(IF($N$7:$N$171&lt;&gt;"",IF($K$7:$K$171&lt;&gt;"",ROW($K$7:$K$171)-MIN(ROW($K$7:$K$171))+1,""),""),ROW()-ROW(A$173)+1)),"##0"),","),"")</f>
        <v/>
      </c>
      <c r="L306" s="0" t="str">
        <f aca="false">IFERROR(CONCATENATE((INDEX($N$7:$N$171,SMALL(IF($N$7:$N$171&lt;&gt;"",IF($K$7:$K$171&lt;&gt;"",ROW($K$7:$K$171)-MIN(ROW($K$7:$K$171))+1,""),""),ROW()-ROW(A$173)+1))),","),"")</f>
        <v/>
      </c>
      <c r="M306" s="0" t="str">
        <f aca="false">IFERROR(CONCATENATE((INDEX($A$7:$A$171,SMALL(IF($N$7:$N$171&lt;&gt;"",IF($K$7:$K$171&lt;&gt;"",ROW($K$7:$K$171)-MIN(ROW($K$7:$K$171))+1,""),""),ROW()-ROW(A$173)+1))),),"")</f>
        <v/>
      </c>
      <c r="Q306" s="0" t="str">
        <f aca="false">IFERROR(CONCATENATE((INDEX($T$7:$T$171,SMALL(IF($T$7:$T$171&lt;&gt;"",IF($Q$7:$Q$171&lt;&gt;"",ROW($Q$7:$Q$171)-MIN(ROW($Q$7:$Q$171))+1,""),""),ROW()-ROW(A$173)+1)))," "),"")</f>
        <v/>
      </c>
      <c r="R306" s="0" t="str">
        <f aca="false">IFERROR(CONCATENATE(TEXT(INDEX($Q$7:$Q$171,SMALL(IF($T$7:$T$171&lt;&gt;"",IF($Q$7:$Q$171&lt;&gt;"",ROW($Q$7:$Q$171)-MIN(ROW($Q$7:$Q$171))+1,""),""),ROW()-ROW(A$173)+1)),"##0")," "),"")</f>
        <v/>
      </c>
      <c r="S306" s="0" t="str">
        <f aca="false">IFERROR(CONCATENATE((INDEX($A$7:$A$171,SMALL(IF($T$7:$T$171&lt;&gt;"",IF($Q$7:$Q$171&lt;&gt;"",ROW($Q$7:$Q$171)-MIN(ROW($Q$7:$Q$171))+1,""),""),ROW()-ROW(A$173)+1))),),"")</f>
        <v/>
      </c>
      <c r="W306" s="0" t="str">
        <f aca="false">IFERROR(CONCATENATE((INDEX($Z$7:$Z$171,SMALL(IF($Z$7:$Z$171&lt;&gt;"",IF($W$7:$W$171&lt;&gt;"",ROW($W$7:$W$171)-MIN(ROW($W$7:$W$171))+1,""),""),ROW()-ROW(A$173)+1))),","),"")</f>
        <v/>
      </c>
      <c r="X306" s="0" t="str">
        <f aca="false">IFERROR(CONCATENATE(TEXT(INDEX($W$7:$W$171,SMALL(IF($Z$7:$Z$171&lt;&gt;"",IF($W$7:$W$171&lt;&gt;"",ROW($W$7:$W$171)-MIN(ROW($W$7:$W$171))+1,""),""),ROW()-ROW(A$173)+1)),"##0"),","),"")</f>
        <v/>
      </c>
      <c r="Y306" s="0" t="str">
        <f aca="false">IFERROR(CONCATENATE((INDEX($A$7:$A$171,SMALL(IF($Z$7:$Z$171&lt;&gt;"",IF($W$7:$W$171&lt;&gt;"",ROW($W$7:$W$171)-MIN(ROW($W$7:$W$171))+1,""),""),ROW()-ROW(A$173)+1))),),"")</f>
        <v/>
      </c>
    </row>
    <row r="307" customFormat="false" ht="15" hidden="false" customHeight="false" outlineLevel="0" collapsed="false">
      <c r="K307" s="0" t="str">
        <f aca="false">IFERROR(CONCATENATE(TEXT(INDEX($K$7:$K$171,SMALL(IF($N$7:$N$171&lt;&gt;"",IF($K$7:$K$171&lt;&gt;"",ROW($K$7:$K$171)-MIN(ROW($K$7:$K$171))+1,""),""),ROW()-ROW(A$173)+1)),"##0"),","),"")</f>
        <v/>
      </c>
      <c r="L307" s="0" t="str">
        <f aca="false">IFERROR(CONCATENATE((INDEX($N$7:$N$171,SMALL(IF($N$7:$N$171&lt;&gt;"",IF($K$7:$K$171&lt;&gt;"",ROW($K$7:$K$171)-MIN(ROW($K$7:$K$171))+1,""),""),ROW()-ROW(A$173)+1))),","),"")</f>
        <v/>
      </c>
      <c r="M307" s="0" t="str">
        <f aca="false">IFERROR(CONCATENATE((INDEX($A$7:$A$171,SMALL(IF($N$7:$N$171&lt;&gt;"",IF($K$7:$K$171&lt;&gt;"",ROW($K$7:$K$171)-MIN(ROW($K$7:$K$171))+1,""),""),ROW()-ROW(A$173)+1))),),"")</f>
        <v/>
      </c>
      <c r="Q307" s="0" t="str">
        <f aca="false">IFERROR(CONCATENATE((INDEX($T$7:$T$171,SMALL(IF($T$7:$T$171&lt;&gt;"",IF($Q$7:$Q$171&lt;&gt;"",ROW($Q$7:$Q$171)-MIN(ROW($Q$7:$Q$171))+1,""),""),ROW()-ROW(A$173)+1)))," "),"")</f>
        <v/>
      </c>
      <c r="R307" s="0" t="str">
        <f aca="false">IFERROR(CONCATENATE(TEXT(INDEX($Q$7:$Q$171,SMALL(IF($T$7:$T$171&lt;&gt;"",IF($Q$7:$Q$171&lt;&gt;"",ROW($Q$7:$Q$171)-MIN(ROW($Q$7:$Q$171))+1,""),""),ROW()-ROW(A$173)+1)),"##0")," "),"")</f>
        <v/>
      </c>
      <c r="S307" s="0" t="str">
        <f aca="false">IFERROR(CONCATENATE((INDEX($A$7:$A$171,SMALL(IF($T$7:$T$171&lt;&gt;"",IF($Q$7:$Q$171&lt;&gt;"",ROW($Q$7:$Q$171)-MIN(ROW($Q$7:$Q$171))+1,""),""),ROW()-ROW(A$173)+1))),),"")</f>
        <v/>
      </c>
      <c r="W307" s="0" t="str">
        <f aca="false">IFERROR(CONCATENATE((INDEX($Z$7:$Z$171,SMALL(IF($Z$7:$Z$171&lt;&gt;"",IF($W$7:$W$171&lt;&gt;"",ROW($W$7:$W$171)-MIN(ROW($W$7:$W$171))+1,""),""),ROW()-ROW(A$173)+1))),","),"")</f>
        <v/>
      </c>
      <c r="X307" s="0" t="str">
        <f aca="false">IFERROR(CONCATENATE(TEXT(INDEX($W$7:$W$171,SMALL(IF($Z$7:$Z$171&lt;&gt;"",IF($W$7:$W$171&lt;&gt;"",ROW($W$7:$W$171)-MIN(ROW($W$7:$W$171))+1,""),""),ROW()-ROW(A$173)+1)),"##0"),","),"")</f>
        <v/>
      </c>
      <c r="Y307" s="0" t="str">
        <f aca="false">IFERROR(CONCATENATE((INDEX($A$7:$A$171,SMALL(IF($Z$7:$Z$171&lt;&gt;"",IF($W$7:$W$171&lt;&gt;"",ROW($W$7:$W$171)-MIN(ROW($W$7:$W$171))+1,""),""),ROW()-ROW(A$173)+1))),),"")</f>
        <v/>
      </c>
    </row>
    <row r="308" customFormat="false" ht="15" hidden="false" customHeight="false" outlineLevel="0" collapsed="false">
      <c r="K308" s="0" t="str">
        <f aca="false">IFERROR(CONCATENATE(TEXT(INDEX($K$7:$K$171,SMALL(IF($N$7:$N$171&lt;&gt;"",IF($K$7:$K$171&lt;&gt;"",ROW($K$7:$K$171)-MIN(ROW($K$7:$K$171))+1,""),""),ROW()-ROW(A$173)+1)),"##0"),","),"")</f>
        <v/>
      </c>
      <c r="L308" s="0" t="str">
        <f aca="false">IFERROR(CONCATENATE((INDEX($N$7:$N$171,SMALL(IF($N$7:$N$171&lt;&gt;"",IF($K$7:$K$171&lt;&gt;"",ROW($K$7:$K$171)-MIN(ROW($K$7:$K$171))+1,""),""),ROW()-ROW(A$173)+1))),","),"")</f>
        <v/>
      </c>
      <c r="M308" s="0" t="str">
        <f aca="false">IFERROR(CONCATENATE((INDEX($A$7:$A$171,SMALL(IF($N$7:$N$171&lt;&gt;"",IF($K$7:$K$171&lt;&gt;"",ROW($K$7:$K$171)-MIN(ROW($K$7:$K$171))+1,""),""),ROW()-ROW(A$173)+1))),),"")</f>
        <v/>
      </c>
      <c r="Q308" s="0" t="str">
        <f aca="false">IFERROR(CONCATENATE((INDEX($T$7:$T$171,SMALL(IF($T$7:$T$171&lt;&gt;"",IF($Q$7:$Q$171&lt;&gt;"",ROW($Q$7:$Q$171)-MIN(ROW($Q$7:$Q$171))+1,""),""),ROW()-ROW(A$173)+1)))," "),"")</f>
        <v/>
      </c>
      <c r="R308" s="0" t="str">
        <f aca="false">IFERROR(CONCATENATE(TEXT(INDEX($Q$7:$Q$171,SMALL(IF($T$7:$T$171&lt;&gt;"",IF($Q$7:$Q$171&lt;&gt;"",ROW($Q$7:$Q$171)-MIN(ROW($Q$7:$Q$171))+1,""),""),ROW()-ROW(A$173)+1)),"##0")," "),"")</f>
        <v/>
      </c>
      <c r="S308" s="0" t="str">
        <f aca="false">IFERROR(CONCATENATE((INDEX($A$7:$A$171,SMALL(IF($T$7:$T$171&lt;&gt;"",IF($Q$7:$Q$171&lt;&gt;"",ROW($Q$7:$Q$171)-MIN(ROW($Q$7:$Q$171))+1,""),""),ROW()-ROW(A$173)+1))),),"")</f>
        <v/>
      </c>
      <c r="W308" s="0" t="str">
        <f aca="false">IFERROR(CONCATENATE((INDEX($Z$7:$Z$171,SMALL(IF($Z$7:$Z$171&lt;&gt;"",IF($W$7:$W$171&lt;&gt;"",ROW($W$7:$W$171)-MIN(ROW($W$7:$W$171))+1,""),""),ROW()-ROW(A$173)+1))),","),"")</f>
        <v/>
      </c>
      <c r="X308" s="0" t="str">
        <f aca="false">IFERROR(CONCATENATE(TEXT(INDEX($W$7:$W$171,SMALL(IF($Z$7:$Z$171&lt;&gt;"",IF($W$7:$W$171&lt;&gt;"",ROW($W$7:$W$171)-MIN(ROW($W$7:$W$171))+1,""),""),ROW()-ROW(A$173)+1)),"##0"),","),"")</f>
        <v/>
      </c>
      <c r="Y308" s="0" t="str">
        <f aca="false">IFERROR(CONCATENATE((INDEX($A$7:$A$171,SMALL(IF($Z$7:$Z$171&lt;&gt;"",IF($W$7:$W$171&lt;&gt;"",ROW($W$7:$W$171)-MIN(ROW($W$7:$W$171))+1,""),""),ROW()-ROW(A$173)+1))),),"")</f>
        <v/>
      </c>
    </row>
    <row r="309" customFormat="false" ht="15" hidden="false" customHeight="false" outlineLevel="0" collapsed="false">
      <c r="K309" s="0" t="str">
        <f aca="false">IFERROR(CONCATENATE(TEXT(INDEX($K$7:$K$171,SMALL(IF($N$7:$N$171&lt;&gt;"",IF($K$7:$K$171&lt;&gt;"",ROW($K$7:$K$171)-MIN(ROW($K$7:$K$171))+1,""),""),ROW()-ROW(A$173)+1)),"##0"),","),"")</f>
        <v/>
      </c>
      <c r="L309" s="0" t="str">
        <f aca="false">IFERROR(CONCATENATE((INDEX($N$7:$N$171,SMALL(IF($N$7:$N$171&lt;&gt;"",IF($K$7:$K$171&lt;&gt;"",ROW($K$7:$K$171)-MIN(ROW($K$7:$K$171))+1,""),""),ROW()-ROW(A$173)+1))),","),"")</f>
        <v/>
      </c>
      <c r="M309" s="0" t="str">
        <f aca="false">IFERROR(CONCATENATE((INDEX($A$7:$A$171,SMALL(IF($N$7:$N$171&lt;&gt;"",IF($K$7:$K$171&lt;&gt;"",ROW($K$7:$K$171)-MIN(ROW($K$7:$K$171))+1,""),""),ROW()-ROW(A$173)+1))),),"")</f>
        <v/>
      </c>
      <c r="Q309" s="0" t="str">
        <f aca="false">IFERROR(CONCATENATE((INDEX($T$7:$T$171,SMALL(IF($T$7:$T$171&lt;&gt;"",IF($Q$7:$Q$171&lt;&gt;"",ROW($Q$7:$Q$171)-MIN(ROW($Q$7:$Q$171))+1,""),""),ROW()-ROW(A$173)+1)))," "),"")</f>
        <v/>
      </c>
      <c r="R309" s="0" t="str">
        <f aca="false">IFERROR(CONCATENATE(TEXT(INDEX($Q$7:$Q$171,SMALL(IF($T$7:$T$171&lt;&gt;"",IF($Q$7:$Q$171&lt;&gt;"",ROW($Q$7:$Q$171)-MIN(ROW($Q$7:$Q$171))+1,""),""),ROW()-ROW(A$173)+1)),"##0")," "),"")</f>
        <v/>
      </c>
      <c r="S309" s="0" t="str">
        <f aca="false">IFERROR(CONCATENATE((INDEX($A$7:$A$171,SMALL(IF($T$7:$T$171&lt;&gt;"",IF($Q$7:$Q$171&lt;&gt;"",ROW($Q$7:$Q$171)-MIN(ROW($Q$7:$Q$171))+1,""),""),ROW()-ROW(A$173)+1))),),"")</f>
        <v/>
      </c>
      <c r="W309" s="0" t="str">
        <f aca="false">IFERROR(CONCATENATE((INDEX($Z$7:$Z$171,SMALL(IF($Z$7:$Z$171&lt;&gt;"",IF($W$7:$W$171&lt;&gt;"",ROW($W$7:$W$171)-MIN(ROW($W$7:$W$171))+1,""),""),ROW()-ROW(A$173)+1))),","),"")</f>
        <v/>
      </c>
      <c r="X309" s="0" t="str">
        <f aca="false">IFERROR(CONCATENATE(TEXT(INDEX($W$7:$W$171,SMALL(IF($Z$7:$Z$171&lt;&gt;"",IF($W$7:$W$171&lt;&gt;"",ROW($W$7:$W$171)-MIN(ROW($W$7:$W$171))+1,""),""),ROW()-ROW(A$173)+1)),"##0"),","),"")</f>
        <v/>
      </c>
      <c r="Y309" s="0" t="str">
        <f aca="false">IFERROR(CONCATENATE((INDEX($A$7:$A$171,SMALL(IF($Z$7:$Z$171&lt;&gt;"",IF($W$7:$W$171&lt;&gt;"",ROW($W$7:$W$171)-MIN(ROW($W$7:$W$171))+1,""),""),ROW()-ROW(A$173)+1))),),"")</f>
        <v/>
      </c>
    </row>
    <row r="310" customFormat="false" ht="15" hidden="false" customHeight="false" outlineLevel="0" collapsed="false">
      <c r="K310" s="0" t="str">
        <f aca="false">IFERROR(CONCATENATE(TEXT(INDEX($K$7:$K$171,SMALL(IF($N$7:$N$171&lt;&gt;"",IF($K$7:$K$171&lt;&gt;"",ROW($K$7:$K$171)-MIN(ROW($K$7:$K$171))+1,""),""),ROW()-ROW(A$173)+1)),"##0"),","),"")</f>
        <v/>
      </c>
      <c r="L310" s="0" t="str">
        <f aca="false">IFERROR(CONCATENATE((INDEX($N$7:$N$171,SMALL(IF($N$7:$N$171&lt;&gt;"",IF($K$7:$K$171&lt;&gt;"",ROW($K$7:$K$171)-MIN(ROW($K$7:$K$171))+1,""),""),ROW()-ROW(A$173)+1))),","),"")</f>
        <v/>
      </c>
      <c r="M310" s="0" t="str">
        <f aca="false">IFERROR(CONCATENATE((INDEX($A$7:$A$171,SMALL(IF($N$7:$N$171&lt;&gt;"",IF($K$7:$K$171&lt;&gt;"",ROW($K$7:$K$171)-MIN(ROW($K$7:$K$171))+1,""),""),ROW()-ROW(A$173)+1))),),"")</f>
        <v/>
      </c>
      <c r="Q310" s="0" t="str">
        <f aca="false">IFERROR(CONCATENATE((INDEX($T$7:$T$171,SMALL(IF($T$7:$T$171&lt;&gt;"",IF($Q$7:$Q$171&lt;&gt;"",ROW($Q$7:$Q$171)-MIN(ROW($Q$7:$Q$171))+1,""),""),ROW()-ROW(A$173)+1)))," "),"")</f>
        <v/>
      </c>
      <c r="R310" s="0" t="str">
        <f aca="false">IFERROR(CONCATENATE(TEXT(INDEX($Q$7:$Q$171,SMALL(IF($T$7:$T$171&lt;&gt;"",IF($Q$7:$Q$171&lt;&gt;"",ROW($Q$7:$Q$171)-MIN(ROW($Q$7:$Q$171))+1,""),""),ROW()-ROW(A$173)+1)),"##0")," "),"")</f>
        <v/>
      </c>
      <c r="S310" s="0" t="str">
        <f aca="false">IFERROR(CONCATENATE((INDEX($A$7:$A$171,SMALL(IF($T$7:$T$171&lt;&gt;"",IF($Q$7:$Q$171&lt;&gt;"",ROW($Q$7:$Q$171)-MIN(ROW($Q$7:$Q$171))+1,""),""),ROW()-ROW(A$173)+1))),),"")</f>
        <v/>
      </c>
      <c r="W310" s="0" t="str">
        <f aca="false">IFERROR(CONCATENATE((INDEX($Z$7:$Z$171,SMALL(IF($Z$7:$Z$171&lt;&gt;"",IF($W$7:$W$171&lt;&gt;"",ROW($W$7:$W$171)-MIN(ROW($W$7:$W$171))+1,""),""),ROW()-ROW(A$173)+1))),","),"")</f>
        <v/>
      </c>
      <c r="X310" s="0" t="str">
        <f aca="false">IFERROR(CONCATENATE(TEXT(INDEX($W$7:$W$171,SMALL(IF($Z$7:$Z$171&lt;&gt;"",IF($W$7:$W$171&lt;&gt;"",ROW($W$7:$W$171)-MIN(ROW($W$7:$W$171))+1,""),""),ROW()-ROW(A$173)+1)),"##0"),","),"")</f>
        <v/>
      </c>
      <c r="Y310" s="0" t="str">
        <f aca="false">IFERROR(CONCATENATE((INDEX($A$7:$A$171,SMALL(IF($Z$7:$Z$171&lt;&gt;"",IF($W$7:$W$171&lt;&gt;"",ROW($W$7:$W$171)-MIN(ROW($W$7:$W$171))+1,""),""),ROW()-ROW(A$173)+1))),),"")</f>
        <v/>
      </c>
    </row>
    <row r="311" customFormat="false" ht="15" hidden="false" customHeight="false" outlineLevel="0" collapsed="false">
      <c r="K311" s="0" t="str">
        <f aca="false">IFERROR(CONCATENATE(TEXT(INDEX($K$7:$K$171,SMALL(IF($N$7:$N$171&lt;&gt;"",IF($K$7:$K$171&lt;&gt;"",ROW($K$7:$K$171)-MIN(ROW($K$7:$K$171))+1,""),""),ROW()-ROW(A$173)+1)),"##0"),","),"")</f>
        <v/>
      </c>
      <c r="L311" s="0" t="str">
        <f aca="false">IFERROR(CONCATENATE((INDEX($N$7:$N$171,SMALL(IF($N$7:$N$171&lt;&gt;"",IF($K$7:$K$171&lt;&gt;"",ROW($K$7:$K$171)-MIN(ROW($K$7:$K$171))+1,""),""),ROW()-ROW(A$173)+1))),","),"")</f>
        <v/>
      </c>
      <c r="M311" s="0" t="str">
        <f aca="false">IFERROR(CONCATENATE((INDEX($A$7:$A$171,SMALL(IF($N$7:$N$171&lt;&gt;"",IF($K$7:$K$171&lt;&gt;"",ROW($K$7:$K$171)-MIN(ROW($K$7:$K$171))+1,""),""),ROW()-ROW(A$173)+1))),),"")</f>
        <v/>
      </c>
      <c r="Q311" s="0" t="str">
        <f aca="false">IFERROR(CONCATENATE((INDEX($T$7:$T$171,SMALL(IF($T$7:$T$171&lt;&gt;"",IF($Q$7:$Q$171&lt;&gt;"",ROW($Q$7:$Q$171)-MIN(ROW($Q$7:$Q$171))+1,""),""),ROW()-ROW(A$173)+1)))," "),"")</f>
        <v/>
      </c>
      <c r="R311" s="0" t="str">
        <f aca="false">IFERROR(CONCATENATE(TEXT(INDEX($Q$7:$Q$171,SMALL(IF($T$7:$T$171&lt;&gt;"",IF($Q$7:$Q$171&lt;&gt;"",ROW($Q$7:$Q$171)-MIN(ROW($Q$7:$Q$171))+1,""),""),ROW()-ROW(A$173)+1)),"##0")," "),"")</f>
        <v/>
      </c>
      <c r="S311" s="0" t="str">
        <f aca="false">IFERROR(CONCATENATE((INDEX($A$7:$A$171,SMALL(IF($T$7:$T$171&lt;&gt;"",IF($Q$7:$Q$171&lt;&gt;"",ROW($Q$7:$Q$171)-MIN(ROW($Q$7:$Q$171))+1,""),""),ROW()-ROW(A$173)+1))),),"")</f>
        <v/>
      </c>
      <c r="W311" s="0" t="str">
        <f aca="false">IFERROR(CONCATENATE((INDEX($Z$7:$Z$171,SMALL(IF($Z$7:$Z$171&lt;&gt;"",IF($W$7:$W$171&lt;&gt;"",ROW($W$7:$W$171)-MIN(ROW($W$7:$W$171))+1,""),""),ROW()-ROW(A$173)+1))),","),"")</f>
        <v/>
      </c>
      <c r="X311" s="0" t="str">
        <f aca="false">IFERROR(CONCATENATE(TEXT(INDEX($W$7:$W$171,SMALL(IF($Z$7:$Z$171&lt;&gt;"",IF($W$7:$W$171&lt;&gt;"",ROW($W$7:$W$171)-MIN(ROW($W$7:$W$171))+1,""),""),ROW()-ROW(A$173)+1)),"##0"),","),"")</f>
        <v/>
      </c>
      <c r="Y311" s="0" t="str">
        <f aca="false">IFERROR(CONCATENATE((INDEX($A$7:$A$171,SMALL(IF($Z$7:$Z$171&lt;&gt;"",IF($W$7:$W$171&lt;&gt;"",ROW($W$7:$W$171)-MIN(ROW($W$7:$W$171))+1,""),""),ROW()-ROW(A$173)+1))),),"")</f>
        <v/>
      </c>
    </row>
    <row r="312" customFormat="false" ht="15" hidden="false" customHeight="false" outlineLevel="0" collapsed="false">
      <c r="K312" s="0" t="str">
        <f aca="false">IFERROR(CONCATENATE(TEXT(INDEX($K$7:$K$171,SMALL(IF($N$7:$N$171&lt;&gt;"",IF($K$7:$K$171&lt;&gt;"",ROW($K$7:$K$171)-MIN(ROW($K$7:$K$171))+1,""),""),ROW()-ROW(A$173)+1)),"##0"),","),"")</f>
        <v/>
      </c>
      <c r="L312" s="0" t="str">
        <f aca="false">IFERROR(CONCATENATE((INDEX($N$7:$N$171,SMALL(IF($N$7:$N$171&lt;&gt;"",IF($K$7:$K$171&lt;&gt;"",ROW($K$7:$K$171)-MIN(ROW($K$7:$K$171))+1,""),""),ROW()-ROW(A$173)+1))),","),"")</f>
        <v/>
      </c>
      <c r="M312" s="0" t="str">
        <f aca="false">IFERROR(CONCATENATE((INDEX($A$7:$A$171,SMALL(IF($N$7:$N$171&lt;&gt;"",IF($K$7:$K$171&lt;&gt;"",ROW($K$7:$K$171)-MIN(ROW($K$7:$K$171))+1,""),""),ROW()-ROW(A$173)+1))),),"")</f>
        <v/>
      </c>
      <c r="Q312" s="0" t="str">
        <f aca="false">IFERROR(CONCATENATE((INDEX($T$7:$T$171,SMALL(IF($T$7:$T$171&lt;&gt;"",IF($Q$7:$Q$171&lt;&gt;"",ROW($Q$7:$Q$171)-MIN(ROW($Q$7:$Q$171))+1,""),""),ROW()-ROW(A$173)+1)))," "),"")</f>
        <v/>
      </c>
      <c r="R312" s="0" t="str">
        <f aca="false">IFERROR(CONCATENATE(TEXT(INDEX($Q$7:$Q$171,SMALL(IF($T$7:$T$171&lt;&gt;"",IF($Q$7:$Q$171&lt;&gt;"",ROW($Q$7:$Q$171)-MIN(ROW($Q$7:$Q$171))+1,""),""),ROW()-ROW(A$173)+1)),"##0")," "),"")</f>
        <v/>
      </c>
      <c r="S312" s="0" t="str">
        <f aca="false">IFERROR(CONCATENATE((INDEX($A$7:$A$171,SMALL(IF($T$7:$T$171&lt;&gt;"",IF($Q$7:$Q$171&lt;&gt;"",ROW($Q$7:$Q$171)-MIN(ROW($Q$7:$Q$171))+1,""),""),ROW()-ROW(A$173)+1))),),"")</f>
        <v/>
      </c>
      <c r="W312" s="0" t="str">
        <f aca="false">IFERROR(CONCATENATE((INDEX($Z$7:$Z$171,SMALL(IF($Z$7:$Z$171&lt;&gt;"",IF($W$7:$W$171&lt;&gt;"",ROW($W$7:$W$171)-MIN(ROW($W$7:$W$171))+1,""),""),ROW()-ROW(A$173)+1))),","),"")</f>
        <v/>
      </c>
      <c r="X312" s="0" t="str">
        <f aca="false">IFERROR(CONCATENATE(TEXT(INDEX($W$7:$W$171,SMALL(IF($Z$7:$Z$171&lt;&gt;"",IF($W$7:$W$171&lt;&gt;"",ROW($W$7:$W$171)-MIN(ROW($W$7:$W$171))+1,""),""),ROW()-ROW(A$173)+1)),"##0"),","),"")</f>
        <v/>
      </c>
      <c r="Y312" s="0" t="str">
        <f aca="false">IFERROR(CONCATENATE((INDEX($A$7:$A$171,SMALL(IF($Z$7:$Z$171&lt;&gt;"",IF($W$7:$W$171&lt;&gt;"",ROW($W$7:$W$171)-MIN(ROW($W$7:$W$171))+1,""),""),ROW()-ROW(A$173)+1))),),"")</f>
        <v/>
      </c>
    </row>
    <row r="313" customFormat="false" ht="15" hidden="false" customHeight="false" outlineLevel="0" collapsed="false">
      <c r="K313" s="0" t="str">
        <f aca="false">IFERROR(CONCATENATE(TEXT(INDEX($K$7:$K$171,SMALL(IF($N$7:$N$171&lt;&gt;"",IF($K$7:$K$171&lt;&gt;"",ROW($K$7:$K$171)-MIN(ROW($K$7:$K$171))+1,""),""),ROW()-ROW(A$173)+1)),"##0"),","),"")</f>
        <v/>
      </c>
      <c r="L313" s="0" t="str">
        <f aca="false">IFERROR(CONCATENATE((INDEX($N$7:$N$171,SMALL(IF($N$7:$N$171&lt;&gt;"",IF($K$7:$K$171&lt;&gt;"",ROW($K$7:$K$171)-MIN(ROW($K$7:$K$171))+1,""),""),ROW()-ROW(A$173)+1))),","),"")</f>
        <v/>
      </c>
      <c r="M313" s="0" t="str">
        <f aca="false">IFERROR(CONCATENATE((INDEX($A$7:$A$171,SMALL(IF($N$7:$N$171&lt;&gt;"",IF($K$7:$K$171&lt;&gt;"",ROW($K$7:$K$171)-MIN(ROW($K$7:$K$171))+1,""),""),ROW()-ROW(A$173)+1))),),"")</f>
        <v/>
      </c>
      <c r="Q313" s="0" t="str">
        <f aca="false">IFERROR(CONCATENATE((INDEX($T$7:$T$171,SMALL(IF($T$7:$T$171&lt;&gt;"",IF($Q$7:$Q$171&lt;&gt;"",ROW($Q$7:$Q$171)-MIN(ROW($Q$7:$Q$171))+1,""),""),ROW()-ROW(A$173)+1)))," "),"")</f>
        <v/>
      </c>
      <c r="R313" s="0" t="str">
        <f aca="false">IFERROR(CONCATENATE(TEXT(INDEX($Q$7:$Q$171,SMALL(IF($T$7:$T$171&lt;&gt;"",IF($Q$7:$Q$171&lt;&gt;"",ROW($Q$7:$Q$171)-MIN(ROW($Q$7:$Q$171))+1,""),""),ROW()-ROW(A$173)+1)),"##0")," "),"")</f>
        <v/>
      </c>
      <c r="S313" s="0" t="str">
        <f aca="false">IFERROR(CONCATENATE((INDEX($A$7:$A$171,SMALL(IF($T$7:$T$171&lt;&gt;"",IF($Q$7:$Q$171&lt;&gt;"",ROW($Q$7:$Q$171)-MIN(ROW($Q$7:$Q$171))+1,""),""),ROW()-ROW(A$173)+1))),),"")</f>
        <v/>
      </c>
      <c r="W313" s="0" t="str">
        <f aca="false">IFERROR(CONCATENATE((INDEX($Z$7:$Z$171,SMALL(IF($Z$7:$Z$171&lt;&gt;"",IF($W$7:$W$171&lt;&gt;"",ROW($W$7:$W$171)-MIN(ROW($W$7:$W$171))+1,""),""),ROW()-ROW(A$173)+1))),","),"")</f>
        <v/>
      </c>
      <c r="X313" s="0" t="str">
        <f aca="false">IFERROR(CONCATENATE(TEXT(INDEX($W$7:$W$171,SMALL(IF($Z$7:$Z$171&lt;&gt;"",IF($W$7:$W$171&lt;&gt;"",ROW($W$7:$W$171)-MIN(ROW($W$7:$W$171))+1,""),""),ROW()-ROW(A$173)+1)),"##0"),","),"")</f>
        <v/>
      </c>
      <c r="Y313" s="0" t="str">
        <f aca="false">IFERROR(CONCATENATE((INDEX($A$7:$A$171,SMALL(IF($Z$7:$Z$171&lt;&gt;"",IF($W$7:$W$171&lt;&gt;"",ROW($W$7:$W$171)-MIN(ROW($W$7:$W$171))+1,""),""),ROW()-ROW(A$173)+1))),),"")</f>
        <v/>
      </c>
    </row>
    <row r="314" customFormat="false" ht="15" hidden="false" customHeight="false" outlineLevel="0" collapsed="false">
      <c r="K314" s="0" t="str">
        <f aca="false">IFERROR(CONCATENATE(TEXT(INDEX($K$7:$K$171,SMALL(IF($N$7:$N$171&lt;&gt;"",IF($K$7:$K$171&lt;&gt;"",ROW($K$7:$K$171)-MIN(ROW($K$7:$K$171))+1,""),""),ROW()-ROW(A$173)+1)),"##0"),","),"")</f>
        <v/>
      </c>
      <c r="L314" s="0" t="str">
        <f aca="false">IFERROR(CONCATENATE((INDEX($N$7:$N$171,SMALL(IF($N$7:$N$171&lt;&gt;"",IF($K$7:$K$171&lt;&gt;"",ROW($K$7:$K$171)-MIN(ROW($K$7:$K$171))+1,""),""),ROW()-ROW(A$173)+1))),","),"")</f>
        <v/>
      </c>
      <c r="M314" s="0" t="str">
        <f aca="false">IFERROR(CONCATENATE((INDEX($A$7:$A$171,SMALL(IF($N$7:$N$171&lt;&gt;"",IF($K$7:$K$171&lt;&gt;"",ROW($K$7:$K$171)-MIN(ROW($K$7:$K$171))+1,""),""),ROW()-ROW(A$173)+1))),),"")</f>
        <v/>
      </c>
      <c r="Q314" s="0" t="str">
        <f aca="false">IFERROR(CONCATENATE((INDEX($T$7:$T$171,SMALL(IF($T$7:$T$171&lt;&gt;"",IF($Q$7:$Q$171&lt;&gt;"",ROW($Q$7:$Q$171)-MIN(ROW($Q$7:$Q$171))+1,""),""),ROW()-ROW(A$173)+1)))," "),"")</f>
        <v/>
      </c>
      <c r="R314" s="0" t="str">
        <f aca="false">IFERROR(CONCATENATE(TEXT(INDEX($Q$7:$Q$171,SMALL(IF($T$7:$T$171&lt;&gt;"",IF($Q$7:$Q$171&lt;&gt;"",ROW($Q$7:$Q$171)-MIN(ROW($Q$7:$Q$171))+1,""),""),ROW()-ROW(A$173)+1)),"##0")," "),"")</f>
        <v/>
      </c>
      <c r="S314" s="0" t="str">
        <f aca="false">IFERROR(CONCATENATE((INDEX($A$7:$A$171,SMALL(IF($T$7:$T$171&lt;&gt;"",IF($Q$7:$Q$171&lt;&gt;"",ROW($Q$7:$Q$171)-MIN(ROW($Q$7:$Q$171))+1,""),""),ROW()-ROW(A$173)+1))),),"")</f>
        <v/>
      </c>
      <c r="W314" s="0" t="str">
        <f aca="false">IFERROR(CONCATENATE((INDEX($Z$7:$Z$171,SMALL(IF($Z$7:$Z$171&lt;&gt;"",IF($W$7:$W$171&lt;&gt;"",ROW($W$7:$W$171)-MIN(ROW($W$7:$W$171))+1,""),""),ROW()-ROW(A$173)+1))),","),"")</f>
        <v/>
      </c>
      <c r="X314" s="0" t="str">
        <f aca="false">IFERROR(CONCATENATE(TEXT(INDEX($W$7:$W$171,SMALL(IF($Z$7:$Z$171&lt;&gt;"",IF($W$7:$W$171&lt;&gt;"",ROW($W$7:$W$171)-MIN(ROW($W$7:$W$171))+1,""),""),ROW()-ROW(A$173)+1)),"##0"),","),"")</f>
        <v/>
      </c>
      <c r="Y314" s="0" t="str">
        <f aca="false">IFERROR(CONCATENATE((INDEX($A$7:$A$171,SMALL(IF($Z$7:$Z$171&lt;&gt;"",IF($W$7:$W$171&lt;&gt;"",ROW($W$7:$W$171)-MIN(ROW($W$7:$W$171))+1,""),""),ROW()-ROW(A$173)+1))),),"")</f>
        <v/>
      </c>
    </row>
    <row r="315" customFormat="false" ht="15" hidden="false" customHeight="false" outlineLevel="0" collapsed="false">
      <c r="K315" s="0" t="str">
        <f aca="false">IFERROR(CONCATENATE(TEXT(INDEX($K$7:$K$171,SMALL(IF($N$7:$N$171&lt;&gt;"",IF($K$7:$K$171&lt;&gt;"",ROW($K$7:$K$171)-MIN(ROW($K$7:$K$171))+1,""),""),ROW()-ROW(A$173)+1)),"##0"),","),"")</f>
        <v/>
      </c>
      <c r="L315" s="0" t="str">
        <f aca="false">IFERROR(CONCATENATE((INDEX($N$7:$N$171,SMALL(IF($N$7:$N$171&lt;&gt;"",IF($K$7:$K$171&lt;&gt;"",ROW($K$7:$K$171)-MIN(ROW($K$7:$K$171))+1,""),""),ROW()-ROW(A$173)+1))),","),"")</f>
        <v/>
      </c>
      <c r="M315" s="0" t="str">
        <f aca="false">IFERROR(CONCATENATE((INDEX($A$7:$A$171,SMALL(IF($N$7:$N$171&lt;&gt;"",IF($K$7:$K$171&lt;&gt;"",ROW($K$7:$K$171)-MIN(ROW($K$7:$K$171))+1,""),""),ROW()-ROW(A$173)+1))),),"")</f>
        <v/>
      </c>
      <c r="Q315" s="0" t="str">
        <f aca="false">IFERROR(CONCATENATE((INDEX($T$7:$T$171,SMALL(IF($T$7:$T$171&lt;&gt;"",IF($Q$7:$Q$171&lt;&gt;"",ROW($Q$7:$Q$171)-MIN(ROW($Q$7:$Q$171))+1,""),""),ROW()-ROW(A$173)+1)))," "),"")</f>
        <v/>
      </c>
      <c r="R315" s="0" t="str">
        <f aca="false">IFERROR(CONCATENATE(TEXT(INDEX($Q$7:$Q$171,SMALL(IF($T$7:$T$171&lt;&gt;"",IF($Q$7:$Q$171&lt;&gt;"",ROW($Q$7:$Q$171)-MIN(ROW($Q$7:$Q$171))+1,""),""),ROW()-ROW(A$173)+1)),"##0")," "),"")</f>
        <v/>
      </c>
      <c r="S315" s="0" t="str">
        <f aca="false">IFERROR(CONCATENATE((INDEX($A$7:$A$171,SMALL(IF($T$7:$T$171&lt;&gt;"",IF($Q$7:$Q$171&lt;&gt;"",ROW($Q$7:$Q$171)-MIN(ROW($Q$7:$Q$171))+1,""),""),ROW()-ROW(A$173)+1))),),"")</f>
        <v/>
      </c>
      <c r="W315" s="0" t="str">
        <f aca="false">IFERROR(CONCATENATE((INDEX($Z$7:$Z$171,SMALL(IF($Z$7:$Z$171&lt;&gt;"",IF($W$7:$W$171&lt;&gt;"",ROW($W$7:$W$171)-MIN(ROW($W$7:$W$171))+1,""),""),ROW()-ROW(A$173)+1))),","),"")</f>
        <v/>
      </c>
      <c r="X315" s="0" t="str">
        <f aca="false">IFERROR(CONCATENATE(TEXT(INDEX($W$7:$W$171,SMALL(IF($Z$7:$Z$171&lt;&gt;"",IF($W$7:$W$171&lt;&gt;"",ROW($W$7:$W$171)-MIN(ROW($W$7:$W$171))+1,""),""),ROW()-ROW(A$173)+1)),"##0"),","),"")</f>
        <v/>
      </c>
      <c r="Y315" s="0" t="str">
        <f aca="false">IFERROR(CONCATENATE((INDEX($A$7:$A$171,SMALL(IF($Z$7:$Z$171&lt;&gt;"",IF($W$7:$W$171&lt;&gt;"",ROW($W$7:$W$171)-MIN(ROW($W$7:$W$171))+1,""),""),ROW()-ROW(A$173)+1))),),"")</f>
        <v/>
      </c>
    </row>
    <row r="316" customFormat="false" ht="15" hidden="false" customHeight="false" outlineLevel="0" collapsed="false">
      <c r="K316" s="0" t="str">
        <f aca="false">IFERROR(CONCATENATE(TEXT(INDEX($K$7:$K$171,SMALL(IF($N$7:$N$171&lt;&gt;"",IF($K$7:$K$171&lt;&gt;"",ROW($K$7:$K$171)-MIN(ROW($K$7:$K$171))+1,""),""),ROW()-ROW(A$173)+1)),"##0"),","),"")</f>
        <v/>
      </c>
      <c r="L316" s="0" t="str">
        <f aca="false">IFERROR(CONCATENATE((INDEX($N$7:$N$171,SMALL(IF($N$7:$N$171&lt;&gt;"",IF($K$7:$K$171&lt;&gt;"",ROW($K$7:$K$171)-MIN(ROW($K$7:$K$171))+1,""),""),ROW()-ROW(A$173)+1))),","),"")</f>
        <v/>
      </c>
      <c r="M316" s="0" t="str">
        <f aca="false">IFERROR(CONCATENATE((INDEX($A$7:$A$171,SMALL(IF($N$7:$N$171&lt;&gt;"",IF($K$7:$K$171&lt;&gt;"",ROW($K$7:$K$171)-MIN(ROW($K$7:$K$171))+1,""),""),ROW()-ROW(A$173)+1))),),"")</f>
        <v/>
      </c>
      <c r="Q316" s="0" t="str">
        <f aca="false">IFERROR(CONCATENATE((INDEX($T$7:$T$171,SMALL(IF($T$7:$T$171&lt;&gt;"",IF($Q$7:$Q$171&lt;&gt;"",ROW($Q$7:$Q$171)-MIN(ROW($Q$7:$Q$171))+1,""),""),ROW()-ROW(A$173)+1)))," "),"")</f>
        <v/>
      </c>
      <c r="R316" s="0" t="str">
        <f aca="false">IFERROR(CONCATENATE(TEXT(INDEX($Q$7:$Q$171,SMALL(IF($T$7:$T$171&lt;&gt;"",IF($Q$7:$Q$171&lt;&gt;"",ROW($Q$7:$Q$171)-MIN(ROW($Q$7:$Q$171))+1,""),""),ROW()-ROW(A$173)+1)),"##0")," "),"")</f>
        <v/>
      </c>
      <c r="S316" s="0" t="str">
        <f aca="false">IFERROR(CONCATENATE((INDEX($A$7:$A$171,SMALL(IF($T$7:$T$171&lt;&gt;"",IF($Q$7:$Q$171&lt;&gt;"",ROW($Q$7:$Q$171)-MIN(ROW($Q$7:$Q$171))+1,""),""),ROW()-ROW(A$173)+1))),),"")</f>
        <v/>
      </c>
      <c r="W316" s="0" t="str">
        <f aca="false">IFERROR(CONCATENATE((INDEX($Z$7:$Z$171,SMALL(IF($Z$7:$Z$171&lt;&gt;"",IF($W$7:$W$171&lt;&gt;"",ROW($W$7:$W$171)-MIN(ROW($W$7:$W$171))+1,""),""),ROW()-ROW(A$173)+1))),","),"")</f>
        <v/>
      </c>
      <c r="X316" s="0" t="str">
        <f aca="false">IFERROR(CONCATENATE(TEXT(INDEX($W$7:$W$171,SMALL(IF($Z$7:$Z$171&lt;&gt;"",IF($W$7:$W$171&lt;&gt;"",ROW($W$7:$W$171)-MIN(ROW($W$7:$W$171))+1,""),""),ROW()-ROW(A$173)+1)),"##0"),","),"")</f>
        <v/>
      </c>
      <c r="Y316" s="0" t="str">
        <f aca="false">IFERROR(CONCATENATE((INDEX($A$7:$A$171,SMALL(IF($Z$7:$Z$171&lt;&gt;"",IF($W$7:$W$171&lt;&gt;"",ROW($W$7:$W$171)-MIN(ROW($W$7:$W$171))+1,""),""),ROW()-ROW(A$173)+1))),),"")</f>
        <v/>
      </c>
    </row>
    <row r="317" customFormat="false" ht="15" hidden="false" customHeight="false" outlineLevel="0" collapsed="false">
      <c r="K317" s="0" t="str">
        <f aca="false">IFERROR(CONCATENATE(TEXT(INDEX($K$7:$K$171,SMALL(IF($N$7:$N$171&lt;&gt;"",IF($K$7:$K$171&lt;&gt;"",ROW($K$7:$K$171)-MIN(ROW($K$7:$K$171))+1,""),""),ROW()-ROW(A$173)+1)),"##0"),","),"")</f>
        <v/>
      </c>
      <c r="L317" s="0" t="str">
        <f aca="false">IFERROR(CONCATENATE((INDEX($N$7:$N$171,SMALL(IF($N$7:$N$171&lt;&gt;"",IF($K$7:$K$171&lt;&gt;"",ROW($K$7:$K$171)-MIN(ROW($K$7:$K$171))+1,""),""),ROW()-ROW(A$173)+1))),","),"")</f>
        <v/>
      </c>
      <c r="M317" s="0" t="str">
        <f aca="false">IFERROR(CONCATENATE((INDEX($A$7:$A$171,SMALL(IF($N$7:$N$171&lt;&gt;"",IF($K$7:$K$171&lt;&gt;"",ROW($K$7:$K$171)-MIN(ROW($K$7:$K$171))+1,""),""),ROW()-ROW(A$173)+1))),),"")</f>
        <v/>
      </c>
      <c r="Q317" s="0" t="str">
        <f aca="false">IFERROR(CONCATENATE((INDEX($T$7:$T$171,SMALL(IF($T$7:$T$171&lt;&gt;"",IF($Q$7:$Q$171&lt;&gt;"",ROW($Q$7:$Q$171)-MIN(ROW($Q$7:$Q$171))+1,""),""),ROW()-ROW(A$173)+1)))," "),"")</f>
        <v/>
      </c>
      <c r="R317" s="0" t="str">
        <f aca="false">IFERROR(CONCATENATE(TEXT(INDEX($Q$7:$Q$171,SMALL(IF($T$7:$T$171&lt;&gt;"",IF($Q$7:$Q$171&lt;&gt;"",ROW($Q$7:$Q$171)-MIN(ROW($Q$7:$Q$171))+1,""),""),ROW()-ROW(A$173)+1)),"##0")," "),"")</f>
        <v/>
      </c>
      <c r="S317" s="0" t="str">
        <f aca="false">IFERROR(CONCATENATE((INDEX($A$7:$A$171,SMALL(IF($T$7:$T$171&lt;&gt;"",IF($Q$7:$Q$171&lt;&gt;"",ROW($Q$7:$Q$171)-MIN(ROW($Q$7:$Q$171))+1,""),""),ROW()-ROW(A$173)+1))),),"")</f>
        <v/>
      </c>
      <c r="W317" s="0" t="str">
        <f aca="false">IFERROR(CONCATENATE((INDEX($Z$7:$Z$171,SMALL(IF($Z$7:$Z$171&lt;&gt;"",IF($W$7:$W$171&lt;&gt;"",ROW($W$7:$W$171)-MIN(ROW($W$7:$W$171))+1,""),""),ROW()-ROW(A$173)+1))),","),"")</f>
        <v/>
      </c>
      <c r="X317" s="0" t="str">
        <f aca="false">IFERROR(CONCATENATE(TEXT(INDEX($W$7:$W$171,SMALL(IF($Z$7:$Z$171&lt;&gt;"",IF($W$7:$W$171&lt;&gt;"",ROW($W$7:$W$171)-MIN(ROW($W$7:$W$171))+1,""),""),ROW()-ROW(A$173)+1)),"##0"),","),"")</f>
        <v/>
      </c>
      <c r="Y317" s="0" t="str">
        <f aca="false">IFERROR(CONCATENATE((INDEX($A$7:$A$171,SMALL(IF($Z$7:$Z$171&lt;&gt;"",IF($W$7:$W$171&lt;&gt;"",ROW($W$7:$W$171)-MIN(ROW($W$7:$W$171))+1,""),""),ROW()-ROW(A$173)+1))),),"")</f>
        <v/>
      </c>
    </row>
    <row r="318" customFormat="false" ht="15" hidden="false" customHeight="false" outlineLevel="0" collapsed="false">
      <c r="K318" s="0" t="str">
        <f aca="false">IFERROR(CONCATENATE(TEXT(INDEX($K$7:$K$171,SMALL(IF($N$7:$N$171&lt;&gt;"",IF($K$7:$K$171&lt;&gt;"",ROW($K$7:$K$171)-MIN(ROW($K$7:$K$171))+1,""),""),ROW()-ROW(A$173)+1)),"##0"),","),"")</f>
        <v/>
      </c>
      <c r="L318" s="0" t="str">
        <f aca="false">IFERROR(CONCATENATE((INDEX($N$7:$N$171,SMALL(IF($N$7:$N$171&lt;&gt;"",IF($K$7:$K$171&lt;&gt;"",ROW($K$7:$K$171)-MIN(ROW($K$7:$K$171))+1,""),""),ROW()-ROW(A$173)+1))),","),"")</f>
        <v/>
      </c>
      <c r="M318" s="0" t="str">
        <f aca="false">IFERROR(CONCATENATE((INDEX($A$7:$A$171,SMALL(IF($N$7:$N$171&lt;&gt;"",IF($K$7:$K$171&lt;&gt;"",ROW($K$7:$K$171)-MIN(ROW($K$7:$K$171))+1,""),""),ROW()-ROW(A$173)+1))),),"")</f>
        <v/>
      </c>
      <c r="Q318" s="0" t="str">
        <f aca="false">IFERROR(CONCATENATE((INDEX($T$7:$T$171,SMALL(IF($T$7:$T$171&lt;&gt;"",IF($Q$7:$Q$171&lt;&gt;"",ROW($Q$7:$Q$171)-MIN(ROW($Q$7:$Q$171))+1,""),""),ROW()-ROW(A$173)+1)))," "),"")</f>
        <v/>
      </c>
      <c r="R318" s="0" t="str">
        <f aca="false">IFERROR(CONCATENATE(TEXT(INDEX($Q$7:$Q$171,SMALL(IF($T$7:$T$171&lt;&gt;"",IF($Q$7:$Q$171&lt;&gt;"",ROW($Q$7:$Q$171)-MIN(ROW($Q$7:$Q$171))+1,""),""),ROW()-ROW(A$173)+1)),"##0")," "),"")</f>
        <v/>
      </c>
      <c r="S318" s="0" t="str">
        <f aca="false">IFERROR(CONCATENATE((INDEX($A$7:$A$171,SMALL(IF($T$7:$T$171&lt;&gt;"",IF($Q$7:$Q$171&lt;&gt;"",ROW($Q$7:$Q$171)-MIN(ROW($Q$7:$Q$171))+1,""),""),ROW()-ROW(A$173)+1))),),"")</f>
        <v/>
      </c>
      <c r="W318" s="0" t="str">
        <f aca="false">IFERROR(CONCATENATE((INDEX($Z$7:$Z$171,SMALL(IF($Z$7:$Z$171&lt;&gt;"",IF($W$7:$W$171&lt;&gt;"",ROW($W$7:$W$171)-MIN(ROW($W$7:$W$171))+1,""),""),ROW()-ROW(A$173)+1))),","),"")</f>
        <v/>
      </c>
      <c r="X318" s="0" t="str">
        <f aca="false">IFERROR(CONCATENATE(TEXT(INDEX($W$7:$W$171,SMALL(IF($Z$7:$Z$171&lt;&gt;"",IF($W$7:$W$171&lt;&gt;"",ROW($W$7:$W$171)-MIN(ROW($W$7:$W$171))+1,""),""),ROW()-ROW(A$173)+1)),"##0"),","),"")</f>
        <v/>
      </c>
      <c r="Y318" s="0" t="str">
        <f aca="false">IFERROR(CONCATENATE((INDEX($A$7:$A$171,SMALL(IF($Z$7:$Z$171&lt;&gt;"",IF($W$7:$W$171&lt;&gt;"",ROW($W$7:$W$171)-MIN(ROW($W$7:$W$171))+1,""),""),ROW()-ROW(A$173)+1))),),"")</f>
        <v/>
      </c>
    </row>
    <row r="319" customFormat="false" ht="15" hidden="false" customHeight="false" outlineLevel="0" collapsed="false">
      <c r="K319" s="0" t="str">
        <f aca="false">IFERROR(CONCATENATE(TEXT(INDEX($K$7:$K$171,SMALL(IF($N$7:$N$171&lt;&gt;"",IF($K$7:$K$171&lt;&gt;"",ROW($K$7:$K$171)-MIN(ROW($K$7:$K$171))+1,""),""),ROW()-ROW(A$173)+1)),"##0"),","),"")</f>
        <v/>
      </c>
      <c r="L319" s="0" t="str">
        <f aca="false">IFERROR(CONCATENATE((INDEX($N$7:$N$171,SMALL(IF($N$7:$N$171&lt;&gt;"",IF($K$7:$K$171&lt;&gt;"",ROW($K$7:$K$171)-MIN(ROW($K$7:$K$171))+1,""),""),ROW()-ROW(A$173)+1))),","),"")</f>
        <v/>
      </c>
      <c r="M319" s="0" t="str">
        <f aca="false">IFERROR(CONCATENATE((INDEX($A$7:$A$171,SMALL(IF($N$7:$N$171&lt;&gt;"",IF($K$7:$K$171&lt;&gt;"",ROW($K$7:$K$171)-MIN(ROW($K$7:$K$171))+1,""),""),ROW()-ROW(A$173)+1))),),"")</f>
        <v/>
      </c>
      <c r="Q319" s="0" t="str">
        <f aca="false">IFERROR(CONCATENATE((INDEX($T$7:$T$171,SMALL(IF($T$7:$T$171&lt;&gt;"",IF($Q$7:$Q$171&lt;&gt;"",ROW($Q$7:$Q$171)-MIN(ROW($Q$7:$Q$171))+1,""),""),ROW()-ROW(A$173)+1)))," "),"")</f>
        <v/>
      </c>
      <c r="R319" s="0" t="str">
        <f aca="false">IFERROR(CONCATENATE(TEXT(INDEX($Q$7:$Q$171,SMALL(IF($T$7:$T$171&lt;&gt;"",IF($Q$7:$Q$171&lt;&gt;"",ROW($Q$7:$Q$171)-MIN(ROW($Q$7:$Q$171))+1,""),""),ROW()-ROW(A$173)+1)),"##0")," "),"")</f>
        <v/>
      </c>
      <c r="S319" s="0" t="str">
        <f aca="false">IFERROR(CONCATENATE((INDEX($A$7:$A$171,SMALL(IF($T$7:$T$171&lt;&gt;"",IF($Q$7:$Q$171&lt;&gt;"",ROW($Q$7:$Q$171)-MIN(ROW($Q$7:$Q$171))+1,""),""),ROW()-ROW(A$173)+1))),),"")</f>
        <v/>
      </c>
      <c r="W319" s="0" t="str">
        <f aca="false">IFERROR(CONCATENATE((INDEX($Z$7:$Z$171,SMALL(IF($Z$7:$Z$171&lt;&gt;"",IF($W$7:$W$171&lt;&gt;"",ROW($W$7:$W$171)-MIN(ROW($W$7:$W$171))+1,""),""),ROW()-ROW(A$173)+1))),","),"")</f>
        <v/>
      </c>
      <c r="X319" s="0" t="str">
        <f aca="false">IFERROR(CONCATENATE(TEXT(INDEX($W$7:$W$171,SMALL(IF($Z$7:$Z$171&lt;&gt;"",IF($W$7:$W$171&lt;&gt;"",ROW($W$7:$W$171)-MIN(ROW($W$7:$W$171))+1,""),""),ROW()-ROW(A$173)+1)),"##0"),","),"")</f>
        <v/>
      </c>
      <c r="Y319" s="0" t="str">
        <f aca="false">IFERROR(CONCATENATE((INDEX($A$7:$A$171,SMALL(IF($Z$7:$Z$171&lt;&gt;"",IF($W$7:$W$171&lt;&gt;"",ROW($W$7:$W$171)-MIN(ROW($W$7:$W$171))+1,""),""),ROW()-ROW(A$173)+1))),),"")</f>
        <v/>
      </c>
    </row>
    <row r="320" customFormat="false" ht="15" hidden="false" customHeight="false" outlineLevel="0" collapsed="false">
      <c r="K320" s="0" t="str">
        <f aca="false">IFERROR(CONCATENATE(TEXT(INDEX($K$7:$K$171,SMALL(IF($N$7:$N$171&lt;&gt;"",IF($K$7:$K$171&lt;&gt;"",ROW($K$7:$K$171)-MIN(ROW($K$7:$K$171))+1,""),""),ROW()-ROW(A$173)+1)),"##0"),","),"")</f>
        <v/>
      </c>
      <c r="L320" s="0" t="str">
        <f aca="false">IFERROR(CONCATENATE((INDEX($N$7:$N$171,SMALL(IF($N$7:$N$171&lt;&gt;"",IF($K$7:$K$171&lt;&gt;"",ROW($K$7:$K$171)-MIN(ROW($K$7:$K$171))+1,""),""),ROW()-ROW(A$173)+1))),","),"")</f>
        <v/>
      </c>
      <c r="M320" s="0" t="str">
        <f aca="false">IFERROR(CONCATENATE((INDEX($A$7:$A$171,SMALL(IF($N$7:$N$171&lt;&gt;"",IF($K$7:$K$171&lt;&gt;"",ROW($K$7:$K$171)-MIN(ROW($K$7:$K$171))+1,""),""),ROW()-ROW(A$173)+1))),),"")</f>
        <v/>
      </c>
      <c r="Q320" s="0" t="str">
        <f aca="false">IFERROR(CONCATENATE((INDEX($T$7:$T$171,SMALL(IF($T$7:$T$171&lt;&gt;"",IF($Q$7:$Q$171&lt;&gt;"",ROW($Q$7:$Q$171)-MIN(ROW($Q$7:$Q$171))+1,""),""),ROW()-ROW(A$173)+1)))," "),"")</f>
        <v/>
      </c>
      <c r="R320" s="0" t="str">
        <f aca="false">IFERROR(CONCATENATE(TEXT(INDEX($Q$7:$Q$171,SMALL(IF($T$7:$T$171&lt;&gt;"",IF($Q$7:$Q$171&lt;&gt;"",ROW($Q$7:$Q$171)-MIN(ROW($Q$7:$Q$171))+1,""),""),ROW()-ROW(A$173)+1)),"##0")," "),"")</f>
        <v/>
      </c>
      <c r="S320" s="0" t="str">
        <f aca="false">IFERROR(CONCATENATE((INDEX($A$7:$A$171,SMALL(IF($T$7:$T$171&lt;&gt;"",IF($Q$7:$Q$171&lt;&gt;"",ROW($Q$7:$Q$171)-MIN(ROW($Q$7:$Q$171))+1,""),""),ROW()-ROW(A$173)+1))),),"")</f>
        <v/>
      </c>
      <c r="W320" s="0" t="str">
        <f aca="false">IFERROR(CONCATENATE((INDEX($Z$7:$Z$171,SMALL(IF($Z$7:$Z$171&lt;&gt;"",IF($W$7:$W$171&lt;&gt;"",ROW($W$7:$W$171)-MIN(ROW($W$7:$W$171))+1,""),""),ROW()-ROW(A$173)+1))),","),"")</f>
        <v/>
      </c>
      <c r="X320" s="0" t="str">
        <f aca="false">IFERROR(CONCATENATE(TEXT(INDEX($W$7:$W$171,SMALL(IF($Z$7:$Z$171&lt;&gt;"",IF($W$7:$W$171&lt;&gt;"",ROW($W$7:$W$171)-MIN(ROW($W$7:$W$171))+1,""),""),ROW()-ROW(A$173)+1)),"##0"),","),"")</f>
        <v/>
      </c>
      <c r="Y320" s="0" t="str">
        <f aca="false">IFERROR(CONCATENATE((INDEX($A$7:$A$171,SMALL(IF($Z$7:$Z$171&lt;&gt;"",IF($W$7:$W$171&lt;&gt;"",ROW($W$7:$W$171)-MIN(ROW($W$7:$W$171))+1,""),""),ROW()-ROW(A$173)+1))),),"")</f>
        <v/>
      </c>
    </row>
    <row r="321" customFormat="false" ht="15" hidden="false" customHeight="false" outlineLevel="0" collapsed="false">
      <c r="K321" s="0" t="str">
        <f aca="false">IFERROR(CONCATENATE(TEXT(INDEX($K$7:$K$171,SMALL(IF($N$7:$N$171&lt;&gt;"",IF($K$7:$K$171&lt;&gt;"",ROW($K$7:$K$171)-MIN(ROW($K$7:$K$171))+1,""),""),ROW()-ROW(A$173)+1)),"##0"),","),"")</f>
        <v/>
      </c>
      <c r="L321" s="0" t="str">
        <f aca="false">IFERROR(CONCATENATE((INDEX($N$7:$N$171,SMALL(IF($N$7:$N$171&lt;&gt;"",IF($K$7:$K$171&lt;&gt;"",ROW($K$7:$K$171)-MIN(ROW($K$7:$K$171))+1,""),""),ROW()-ROW(A$173)+1))),","),"")</f>
        <v/>
      </c>
      <c r="M321" s="0" t="str">
        <f aca="false">IFERROR(CONCATENATE((INDEX($A$7:$A$171,SMALL(IF($N$7:$N$171&lt;&gt;"",IF($K$7:$K$171&lt;&gt;"",ROW($K$7:$K$171)-MIN(ROW($K$7:$K$171))+1,""),""),ROW()-ROW(A$173)+1))),),"")</f>
        <v/>
      </c>
      <c r="Q321" s="0" t="str">
        <f aca="false">IFERROR(CONCATENATE((INDEX($T$7:$T$171,SMALL(IF($T$7:$T$171&lt;&gt;"",IF($Q$7:$Q$171&lt;&gt;"",ROW($Q$7:$Q$171)-MIN(ROW($Q$7:$Q$171))+1,""),""),ROW()-ROW(A$173)+1)))," "),"")</f>
        <v/>
      </c>
      <c r="R321" s="0" t="str">
        <f aca="false">IFERROR(CONCATENATE(TEXT(INDEX($Q$7:$Q$171,SMALL(IF($T$7:$T$171&lt;&gt;"",IF($Q$7:$Q$171&lt;&gt;"",ROW($Q$7:$Q$171)-MIN(ROW($Q$7:$Q$171))+1,""),""),ROW()-ROW(A$173)+1)),"##0")," "),"")</f>
        <v/>
      </c>
      <c r="S321" s="0" t="str">
        <f aca="false">IFERROR(CONCATENATE((INDEX($A$7:$A$171,SMALL(IF($T$7:$T$171&lt;&gt;"",IF($Q$7:$Q$171&lt;&gt;"",ROW($Q$7:$Q$171)-MIN(ROW($Q$7:$Q$171))+1,""),""),ROW()-ROW(A$173)+1))),),"")</f>
        <v/>
      </c>
      <c r="W321" s="0" t="str">
        <f aca="false">IFERROR(CONCATENATE((INDEX($Z$7:$Z$171,SMALL(IF($Z$7:$Z$171&lt;&gt;"",IF($W$7:$W$171&lt;&gt;"",ROW($W$7:$W$171)-MIN(ROW($W$7:$W$171))+1,""),""),ROW()-ROW(A$173)+1))),","),"")</f>
        <v/>
      </c>
      <c r="X321" s="0" t="str">
        <f aca="false">IFERROR(CONCATENATE(TEXT(INDEX($W$7:$W$171,SMALL(IF($Z$7:$Z$171&lt;&gt;"",IF($W$7:$W$171&lt;&gt;"",ROW($W$7:$W$171)-MIN(ROW($W$7:$W$171))+1,""),""),ROW()-ROW(A$173)+1)),"##0"),","),"")</f>
        <v/>
      </c>
      <c r="Y321" s="0" t="str">
        <f aca="false">IFERROR(CONCATENATE((INDEX($A$7:$A$171,SMALL(IF($Z$7:$Z$171&lt;&gt;"",IF($W$7:$W$171&lt;&gt;"",ROW($W$7:$W$171)-MIN(ROW($W$7:$W$171))+1,""),""),ROW()-ROW(A$173)+1))),),"")</f>
        <v/>
      </c>
    </row>
    <row r="322" customFormat="false" ht="15" hidden="false" customHeight="false" outlineLevel="0" collapsed="false">
      <c r="K322" s="0" t="str">
        <f aca="false">IFERROR(CONCATENATE(TEXT(INDEX($K$7:$K$171,SMALL(IF($N$7:$N$171&lt;&gt;"",IF($K$7:$K$171&lt;&gt;"",ROW($K$7:$K$171)-MIN(ROW($K$7:$K$171))+1,""),""),ROW()-ROW(A$173)+1)),"##0"),","),"")</f>
        <v/>
      </c>
      <c r="L322" s="0" t="str">
        <f aca="false">IFERROR(CONCATENATE((INDEX($N$7:$N$171,SMALL(IF($N$7:$N$171&lt;&gt;"",IF($K$7:$K$171&lt;&gt;"",ROW($K$7:$K$171)-MIN(ROW($K$7:$K$171))+1,""),""),ROW()-ROW(A$173)+1))),","),"")</f>
        <v/>
      </c>
      <c r="M322" s="0" t="str">
        <f aca="false">IFERROR(CONCATENATE((INDEX($A$7:$A$171,SMALL(IF($N$7:$N$171&lt;&gt;"",IF($K$7:$K$171&lt;&gt;"",ROW($K$7:$K$171)-MIN(ROW($K$7:$K$171))+1,""),""),ROW()-ROW(A$173)+1))),),"")</f>
        <v/>
      </c>
      <c r="Q322" s="0" t="str">
        <f aca="false">IFERROR(CONCATENATE((INDEX($T$7:$T$171,SMALL(IF($T$7:$T$171&lt;&gt;"",IF($Q$7:$Q$171&lt;&gt;"",ROW($Q$7:$Q$171)-MIN(ROW($Q$7:$Q$171))+1,""),""),ROW()-ROW(A$173)+1)))," "),"")</f>
        <v/>
      </c>
      <c r="R322" s="0" t="str">
        <f aca="false">IFERROR(CONCATENATE(TEXT(INDEX($Q$7:$Q$171,SMALL(IF($T$7:$T$171&lt;&gt;"",IF($Q$7:$Q$171&lt;&gt;"",ROW($Q$7:$Q$171)-MIN(ROW($Q$7:$Q$171))+1,""),""),ROW()-ROW(A$173)+1)),"##0")," "),"")</f>
        <v/>
      </c>
      <c r="S322" s="0" t="str">
        <f aca="false">IFERROR(CONCATENATE((INDEX($A$7:$A$171,SMALL(IF($T$7:$T$171&lt;&gt;"",IF($Q$7:$Q$171&lt;&gt;"",ROW($Q$7:$Q$171)-MIN(ROW($Q$7:$Q$171))+1,""),""),ROW()-ROW(A$173)+1))),),"")</f>
        <v/>
      </c>
      <c r="W322" s="0" t="str">
        <f aca="false">IFERROR(CONCATENATE((INDEX($Z$7:$Z$171,SMALL(IF($Z$7:$Z$171&lt;&gt;"",IF($W$7:$W$171&lt;&gt;"",ROW($W$7:$W$171)-MIN(ROW($W$7:$W$171))+1,""),""),ROW()-ROW(A$173)+1))),","),"")</f>
        <v/>
      </c>
      <c r="X322" s="0" t="str">
        <f aca="false">IFERROR(CONCATENATE(TEXT(INDEX($W$7:$W$171,SMALL(IF($Z$7:$Z$171&lt;&gt;"",IF($W$7:$W$171&lt;&gt;"",ROW($W$7:$W$171)-MIN(ROW($W$7:$W$171))+1,""),""),ROW()-ROW(A$173)+1)),"##0"),","),"")</f>
        <v/>
      </c>
      <c r="Y322" s="0" t="str">
        <f aca="false">IFERROR(CONCATENATE((INDEX($A$7:$A$171,SMALL(IF($Z$7:$Z$171&lt;&gt;"",IF($W$7:$W$171&lt;&gt;"",ROW($W$7:$W$171)-MIN(ROW($W$7:$W$171))+1,""),""),ROW()-ROW(A$173)+1))),),"")</f>
        <v/>
      </c>
    </row>
    <row r="323" customFormat="false" ht="15" hidden="false" customHeight="false" outlineLevel="0" collapsed="false">
      <c r="K323" s="0" t="str">
        <f aca="false">IFERROR(CONCATENATE(TEXT(INDEX($K$7:$K$171,SMALL(IF($N$7:$N$171&lt;&gt;"",IF($K$7:$K$171&lt;&gt;"",ROW($K$7:$K$171)-MIN(ROW($K$7:$K$171))+1,""),""),ROW()-ROW(A$173)+1)),"##0"),","),"")</f>
        <v/>
      </c>
      <c r="L323" s="0" t="str">
        <f aca="false">IFERROR(CONCATENATE((INDEX($N$7:$N$171,SMALL(IF($N$7:$N$171&lt;&gt;"",IF($K$7:$K$171&lt;&gt;"",ROW($K$7:$K$171)-MIN(ROW($K$7:$K$171))+1,""),""),ROW()-ROW(A$173)+1))),","),"")</f>
        <v/>
      </c>
      <c r="M323" s="0" t="str">
        <f aca="false">IFERROR(CONCATENATE((INDEX($A$7:$A$171,SMALL(IF($N$7:$N$171&lt;&gt;"",IF($K$7:$K$171&lt;&gt;"",ROW($K$7:$K$171)-MIN(ROW($K$7:$K$171))+1,""),""),ROW()-ROW(A$173)+1))),),"")</f>
        <v/>
      </c>
      <c r="Q323" s="0" t="str">
        <f aca="false">IFERROR(CONCATENATE((INDEX($T$7:$T$171,SMALL(IF($T$7:$T$171&lt;&gt;"",IF($Q$7:$Q$171&lt;&gt;"",ROW($Q$7:$Q$171)-MIN(ROW($Q$7:$Q$171))+1,""),""),ROW()-ROW(A$173)+1)))," "),"")</f>
        <v/>
      </c>
      <c r="R323" s="0" t="str">
        <f aca="false">IFERROR(CONCATENATE(TEXT(INDEX($Q$7:$Q$171,SMALL(IF($T$7:$T$171&lt;&gt;"",IF($Q$7:$Q$171&lt;&gt;"",ROW($Q$7:$Q$171)-MIN(ROW($Q$7:$Q$171))+1,""),""),ROW()-ROW(A$173)+1)),"##0")," "),"")</f>
        <v/>
      </c>
      <c r="S323" s="0" t="str">
        <f aca="false">IFERROR(CONCATENATE((INDEX($A$7:$A$171,SMALL(IF($T$7:$T$171&lt;&gt;"",IF($Q$7:$Q$171&lt;&gt;"",ROW($Q$7:$Q$171)-MIN(ROW($Q$7:$Q$171))+1,""),""),ROW()-ROW(A$173)+1))),),"")</f>
        <v/>
      </c>
      <c r="W323" s="0" t="str">
        <f aca="false">IFERROR(CONCATENATE((INDEX($Z$7:$Z$171,SMALL(IF($Z$7:$Z$171&lt;&gt;"",IF($W$7:$W$171&lt;&gt;"",ROW($W$7:$W$171)-MIN(ROW($W$7:$W$171))+1,""),""),ROW()-ROW(A$173)+1))),","),"")</f>
        <v/>
      </c>
      <c r="X323" s="0" t="str">
        <f aca="false">IFERROR(CONCATENATE(TEXT(INDEX($W$7:$W$171,SMALL(IF($Z$7:$Z$171&lt;&gt;"",IF($W$7:$W$171&lt;&gt;"",ROW($W$7:$W$171)-MIN(ROW($W$7:$W$171))+1,""),""),ROW()-ROW(A$173)+1)),"##0"),","),"")</f>
        <v/>
      </c>
      <c r="Y323" s="0" t="str">
        <f aca="false">IFERROR(CONCATENATE((INDEX($A$7:$A$171,SMALL(IF($Z$7:$Z$171&lt;&gt;"",IF($W$7:$W$171&lt;&gt;"",ROW($W$7:$W$171)-MIN(ROW($W$7:$W$171))+1,""),""),ROW()-ROW(A$173)+1))),),"")</f>
        <v/>
      </c>
    </row>
    <row r="324" customFormat="false" ht="15" hidden="false" customHeight="false" outlineLevel="0" collapsed="false">
      <c r="K324" s="0" t="str">
        <f aca="false">IFERROR(CONCATENATE(TEXT(INDEX($K$7:$K$171,SMALL(IF($N$7:$N$171&lt;&gt;"",IF($K$7:$K$171&lt;&gt;"",ROW($K$7:$K$171)-MIN(ROW($K$7:$K$171))+1,""),""),ROW()-ROW(A$173)+1)),"##0"),","),"")</f>
        <v/>
      </c>
      <c r="L324" s="0" t="str">
        <f aca="false">IFERROR(CONCATENATE((INDEX($N$7:$N$171,SMALL(IF($N$7:$N$171&lt;&gt;"",IF($K$7:$K$171&lt;&gt;"",ROW($K$7:$K$171)-MIN(ROW($K$7:$K$171))+1,""),""),ROW()-ROW(A$173)+1))),","),"")</f>
        <v/>
      </c>
      <c r="M324" s="0" t="str">
        <f aca="false">IFERROR(CONCATENATE((INDEX($A$7:$A$171,SMALL(IF($N$7:$N$171&lt;&gt;"",IF($K$7:$K$171&lt;&gt;"",ROW($K$7:$K$171)-MIN(ROW($K$7:$K$171))+1,""),""),ROW()-ROW(A$173)+1))),),"")</f>
        <v/>
      </c>
      <c r="Q324" s="0" t="str">
        <f aca="false">IFERROR(CONCATENATE((INDEX($T$7:$T$171,SMALL(IF($T$7:$T$171&lt;&gt;"",IF($Q$7:$Q$171&lt;&gt;"",ROW($Q$7:$Q$171)-MIN(ROW($Q$7:$Q$171))+1,""),""),ROW()-ROW(A$173)+1)))," "),"")</f>
        <v/>
      </c>
      <c r="R324" s="0" t="str">
        <f aca="false">IFERROR(CONCATENATE(TEXT(INDEX($Q$7:$Q$171,SMALL(IF($T$7:$T$171&lt;&gt;"",IF($Q$7:$Q$171&lt;&gt;"",ROW($Q$7:$Q$171)-MIN(ROW($Q$7:$Q$171))+1,""),""),ROW()-ROW(A$173)+1)),"##0")," "),"")</f>
        <v/>
      </c>
      <c r="S324" s="0" t="str">
        <f aca="false">IFERROR(CONCATENATE((INDEX($A$7:$A$171,SMALL(IF($T$7:$T$171&lt;&gt;"",IF($Q$7:$Q$171&lt;&gt;"",ROW($Q$7:$Q$171)-MIN(ROW($Q$7:$Q$171))+1,""),""),ROW()-ROW(A$173)+1))),),"")</f>
        <v/>
      </c>
      <c r="W324" s="0" t="str">
        <f aca="false">IFERROR(CONCATENATE((INDEX($Z$7:$Z$171,SMALL(IF($Z$7:$Z$171&lt;&gt;"",IF($W$7:$W$171&lt;&gt;"",ROW($W$7:$W$171)-MIN(ROW($W$7:$W$171))+1,""),""),ROW()-ROW(A$173)+1))),","),"")</f>
        <v/>
      </c>
      <c r="X324" s="0" t="str">
        <f aca="false">IFERROR(CONCATENATE(TEXT(INDEX($W$7:$W$171,SMALL(IF($Z$7:$Z$171&lt;&gt;"",IF($W$7:$W$171&lt;&gt;"",ROW($W$7:$W$171)-MIN(ROW($W$7:$W$171))+1,""),""),ROW()-ROW(A$173)+1)),"##0"),","),"")</f>
        <v/>
      </c>
      <c r="Y324" s="0" t="str">
        <f aca="false">IFERROR(CONCATENATE((INDEX($A$7:$A$171,SMALL(IF($Z$7:$Z$171&lt;&gt;"",IF($W$7:$W$171&lt;&gt;"",ROW($W$7:$W$171)-MIN(ROW($W$7:$W$171))+1,""),""),ROW()-ROW(A$173)+1))),),"")</f>
        <v/>
      </c>
    </row>
    <row r="325" customFormat="false" ht="15" hidden="false" customHeight="false" outlineLevel="0" collapsed="false">
      <c r="K325" s="0" t="str">
        <f aca="false">IFERROR(CONCATENATE(TEXT(INDEX($K$7:$K$171,SMALL(IF($N$7:$N$171&lt;&gt;"",IF($K$7:$K$171&lt;&gt;"",ROW($K$7:$K$171)-MIN(ROW($K$7:$K$171))+1,""),""),ROW()-ROW(A$173)+1)),"##0"),","),"")</f>
        <v/>
      </c>
      <c r="L325" s="0" t="str">
        <f aca="false">IFERROR(CONCATENATE((INDEX($N$7:$N$171,SMALL(IF($N$7:$N$171&lt;&gt;"",IF($K$7:$K$171&lt;&gt;"",ROW($K$7:$K$171)-MIN(ROW($K$7:$K$171))+1,""),""),ROW()-ROW(A$173)+1))),","),"")</f>
        <v/>
      </c>
      <c r="M325" s="0" t="str">
        <f aca="false">IFERROR(CONCATENATE((INDEX($A$7:$A$171,SMALL(IF($N$7:$N$171&lt;&gt;"",IF($K$7:$K$171&lt;&gt;"",ROW($K$7:$K$171)-MIN(ROW($K$7:$K$171))+1,""),""),ROW()-ROW(A$173)+1))),),"")</f>
        <v/>
      </c>
      <c r="Q325" s="0" t="str">
        <f aca="false">IFERROR(CONCATENATE((INDEX($T$7:$T$171,SMALL(IF($T$7:$T$171&lt;&gt;"",IF($Q$7:$Q$171&lt;&gt;"",ROW($Q$7:$Q$171)-MIN(ROW($Q$7:$Q$171))+1,""),""),ROW()-ROW(A$173)+1)))," "),"")</f>
        <v/>
      </c>
      <c r="R325" s="0" t="str">
        <f aca="false">IFERROR(CONCATENATE(TEXT(INDEX($Q$7:$Q$171,SMALL(IF($T$7:$T$171&lt;&gt;"",IF($Q$7:$Q$171&lt;&gt;"",ROW($Q$7:$Q$171)-MIN(ROW($Q$7:$Q$171))+1,""),""),ROW()-ROW(A$173)+1)),"##0")," "),"")</f>
        <v/>
      </c>
      <c r="S325" s="0" t="str">
        <f aca="false">IFERROR(CONCATENATE((INDEX($A$7:$A$171,SMALL(IF($T$7:$T$171&lt;&gt;"",IF($Q$7:$Q$171&lt;&gt;"",ROW($Q$7:$Q$171)-MIN(ROW($Q$7:$Q$171))+1,""),""),ROW()-ROW(A$173)+1))),),"")</f>
        <v/>
      </c>
      <c r="W325" s="0" t="str">
        <f aca="false">IFERROR(CONCATENATE((INDEX($Z$7:$Z$171,SMALL(IF($Z$7:$Z$171&lt;&gt;"",IF($W$7:$W$171&lt;&gt;"",ROW($W$7:$W$171)-MIN(ROW($W$7:$W$171))+1,""),""),ROW()-ROW(A$173)+1))),","),"")</f>
        <v/>
      </c>
      <c r="X325" s="0" t="str">
        <f aca="false">IFERROR(CONCATENATE(TEXT(INDEX($W$7:$W$171,SMALL(IF($Z$7:$Z$171&lt;&gt;"",IF($W$7:$W$171&lt;&gt;"",ROW($W$7:$W$171)-MIN(ROW($W$7:$W$171))+1,""),""),ROW()-ROW(A$173)+1)),"##0"),","),"")</f>
        <v/>
      </c>
      <c r="Y325" s="0" t="str">
        <f aca="false">IFERROR(CONCATENATE((INDEX($A$7:$A$171,SMALL(IF($Z$7:$Z$171&lt;&gt;"",IF($W$7:$W$171&lt;&gt;"",ROW($W$7:$W$171)-MIN(ROW($W$7:$W$171))+1,""),""),ROW()-ROW(A$173)+1))),),"")</f>
        <v/>
      </c>
    </row>
    <row r="326" customFormat="false" ht="15" hidden="false" customHeight="false" outlineLevel="0" collapsed="false">
      <c r="K326" s="0" t="str">
        <f aca="false">IFERROR(CONCATENATE(TEXT(INDEX($K$7:$K$171,SMALL(IF($N$7:$N$171&lt;&gt;"",IF($K$7:$K$171&lt;&gt;"",ROW($K$7:$K$171)-MIN(ROW($K$7:$K$171))+1,""),""),ROW()-ROW(A$173)+1)),"##0"),","),"")</f>
        <v/>
      </c>
      <c r="L326" s="0" t="str">
        <f aca="false">IFERROR(CONCATENATE((INDEX($N$7:$N$171,SMALL(IF($N$7:$N$171&lt;&gt;"",IF($K$7:$K$171&lt;&gt;"",ROW($K$7:$K$171)-MIN(ROW($K$7:$K$171))+1,""),""),ROW()-ROW(A$173)+1))),","),"")</f>
        <v/>
      </c>
      <c r="M326" s="0" t="str">
        <f aca="false">IFERROR(CONCATENATE((INDEX($A$7:$A$171,SMALL(IF($N$7:$N$171&lt;&gt;"",IF($K$7:$K$171&lt;&gt;"",ROW($K$7:$K$171)-MIN(ROW($K$7:$K$171))+1,""),""),ROW()-ROW(A$173)+1))),),"")</f>
        <v/>
      </c>
      <c r="Q326" s="0" t="str">
        <f aca="false">IFERROR(CONCATENATE((INDEX($T$7:$T$171,SMALL(IF($T$7:$T$171&lt;&gt;"",IF($Q$7:$Q$171&lt;&gt;"",ROW($Q$7:$Q$171)-MIN(ROW($Q$7:$Q$171))+1,""),""),ROW()-ROW(A$173)+1)))," "),"")</f>
        <v/>
      </c>
      <c r="R326" s="0" t="str">
        <f aca="false">IFERROR(CONCATENATE(TEXT(INDEX($Q$7:$Q$171,SMALL(IF($T$7:$T$171&lt;&gt;"",IF($Q$7:$Q$171&lt;&gt;"",ROW($Q$7:$Q$171)-MIN(ROW($Q$7:$Q$171))+1,""),""),ROW()-ROW(A$173)+1)),"##0")," "),"")</f>
        <v/>
      </c>
      <c r="S326" s="0" t="str">
        <f aca="false">IFERROR(CONCATENATE((INDEX($A$7:$A$171,SMALL(IF($T$7:$T$171&lt;&gt;"",IF($Q$7:$Q$171&lt;&gt;"",ROW($Q$7:$Q$171)-MIN(ROW($Q$7:$Q$171))+1,""),""),ROW()-ROW(A$173)+1))),),"")</f>
        <v/>
      </c>
      <c r="W326" s="0" t="str">
        <f aca="false">IFERROR(CONCATENATE((INDEX($Z$7:$Z$171,SMALL(IF($Z$7:$Z$171&lt;&gt;"",IF($W$7:$W$171&lt;&gt;"",ROW($W$7:$W$171)-MIN(ROW($W$7:$W$171))+1,""),""),ROW()-ROW(A$173)+1))),","),"")</f>
        <v/>
      </c>
      <c r="X326" s="0" t="str">
        <f aca="false">IFERROR(CONCATENATE(TEXT(INDEX($W$7:$W$171,SMALL(IF($Z$7:$Z$171&lt;&gt;"",IF($W$7:$W$171&lt;&gt;"",ROW($W$7:$W$171)-MIN(ROW($W$7:$W$171))+1,""),""),ROW()-ROW(A$173)+1)),"##0"),","),"")</f>
        <v/>
      </c>
      <c r="Y326" s="0" t="str">
        <f aca="false">IFERROR(CONCATENATE((INDEX($A$7:$A$171,SMALL(IF($Z$7:$Z$171&lt;&gt;"",IF($W$7:$W$171&lt;&gt;"",ROW($W$7:$W$171)-MIN(ROW($W$7:$W$171))+1,""),""),ROW()-ROW(A$173)+1))),),"")</f>
        <v/>
      </c>
    </row>
    <row r="327" customFormat="false" ht="15" hidden="false" customHeight="false" outlineLevel="0" collapsed="false">
      <c r="K327" s="0" t="str">
        <f aca="false">IFERROR(CONCATENATE(TEXT(INDEX($K$7:$K$171,SMALL(IF($N$7:$N$171&lt;&gt;"",IF($K$7:$K$171&lt;&gt;"",ROW($K$7:$K$171)-MIN(ROW($K$7:$K$171))+1,""),""),ROW()-ROW(A$173)+1)),"##0"),","),"")</f>
        <v/>
      </c>
      <c r="L327" s="0" t="str">
        <f aca="false">IFERROR(CONCATENATE((INDEX($N$7:$N$171,SMALL(IF($N$7:$N$171&lt;&gt;"",IF($K$7:$K$171&lt;&gt;"",ROW($K$7:$K$171)-MIN(ROW($K$7:$K$171))+1,""),""),ROW()-ROW(A$173)+1))),","),"")</f>
        <v/>
      </c>
      <c r="M327" s="0" t="str">
        <f aca="false">IFERROR(CONCATENATE((INDEX($A$7:$A$171,SMALL(IF($N$7:$N$171&lt;&gt;"",IF($K$7:$K$171&lt;&gt;"",ROW($K$7:$K$171)-MIN(ROW($K$7:$K$171))+1,""),""),ROW()-ROW(A$173)+1))),),"")</f>
        <v/>
      </c>
      <c r="Q327" s="0" t="str">
        <f aca="false">IFERROR(CONCATENATE((INDEX($T$7:$T$171,SMALL(IF($T$7:$T$171&lt;&gt;"",IF($Q$7:$Q$171&lt;&gt;"",ROW($Q$7:$Q$171)-MIN(ROW($Q$7:$Q$171))+1,""),""),ROW()-ROW(A$173)+1)))," "),"")</f>
        <v/>
      </c>
      <c r="R327" s="0" t="str">
        <f aca="false">IFERROR(CONCATENATE(TEXT(INDEX($Q$7:$Q$171,SMALL(IF($T$7:$T$171&lt;&gt;"",IF($Q$7:$Q$171&lt;&gt;"",ROW($Q$7:$Q$171)-MIN(ROW($Q$7:$Q$171))+1,""),""),ROW()-ROW(A$173)+1)),"##0")," "),"")</f>
        <v/>
      </c>
      <c r="S327" s="0" t="str">
        <f aca="false">IFERROR(CONCATENATE((INDEX($A$7:$A$171,SMALL(IF($T$7:$T$171&lt;&gt;"",IF($Q$7:$Q$171&lt;&gt;"",ROW($Q$7:$Q$171)-MIN(ROW($Q$7:$Q$171))+1,""),""),ROW()-ROW(A$173)+1))),),"")</f>
        <v/>
      </c>
      <c r="W327" s="0" t="str">
        <f aca="false">IFERROR(CONCATENATE((INDEX($Z$7:$Z$171,SMALL(IF($Z$7:$Z$171&lt;&gt;"",IF($W$7:$W$171&lt;&gt;"",ROW($W$7:$W$171)-MIN(ROW($W$7:$W$171))+1,""),""),ROW()-ROW(A$173)+1))),","),"")</f>
        <v/>
      </c>
      <c r="X327" s="0" t="str">
        <f aca="false">IFERROR(CONCATENATE(TEXT(INDEX($W$7:$W$171,SMALL(IF($Z$7:$Z$171&lt;&gt;"",IF($W$7:$W$171&lt;&gt;"",ROW($W$7:$W$171)-MIN(ROW($W$7:$W$171))+1,""),""),ROW()-ROW(A$173)+1)),"##0"),","),"")</f>
        <v/>
      </c>
      <c r="Y327" s="0" t="str">
        <f aca="false">IFERROR(CONCATENATE((INDEX($A$7:$A$171,SMALL(IF($Z$7:$Z$171&lt;&gt;"",IF($W$7:$W$171&lt;&gt;"",ROW($W$7:$W$171)-MIN(ROW($W$7:$W$171))+1,""),""),ROW()-ROW(A$173)+1))),),"")</f>
        <v/>
      </c>
    </row>
    <row r="328" customFormat="false" ht="15" hidden="false" customHeight="false" outlineLevel="0" collapsed="false">
      <c r="K328" s="0" t="str">
        <f aca="false">IFERROR(CONCATENATE(TEXT(INDEX($K$7:$K$171,SMALL(IF($N$7:$N$171&lt;&gt;"",IF($K$7:$K$171&lt;&gt;"",ROW($K$7:$K$171)-MIN(ROW($K$7:$K$171))+1,""),""),ROW()-ROW(A$173)+1)),"##0"),","),"")</f>
        <v/>
      </c>
      <c r="L328" s="0" t="str">
        <f aca="false">IFERROR(CONCATENATE((INDEX($N$7:$N$171,SMALL(IF($N$7:$N$171&lt;&gt;"",IF($K$7:$K$171&lt;&gt;"",ROW($K$7:$K$171)-MIN(ROW($K$7:$K$171))+1,""),""),ROW()-ROW(A$173)+1))),","),"")</f>
        <v/>
      </c>
      <c r="M328" s="0" t="str">
        <f aca="false">IFERROR(CONCATENATE((INDEX($A$7:$A$171,SMALL(IF($N$7:$N$171&lt;&gt;"",IF($K$7:$K$171&lt;&gt;"",ROW($K$7:$K$171)-MIN(ROW($K$7:$K$171))+1,""),""),ROW()-ROW(A$173)+1))),),"")</f>
        <v/>
      </c>
      <c r="Q328" s="0" t="str">
        <f aca="false">IFERROR(CONCATENATE((INDEX($T$7:$T$171,SMALL(IF($T$7:$T$171&lt;&gt;"",IF($Q$7:$Q$171&lt;&gt;"",ROW($Q$7:$Q$171)-MIN(ROW($Q$7:$Q$171))+1,""),""),ROW()-ROW(A$173)+1)))," "),"")</f>
        <v/>
      </c>
      <c r="R328" s="0" t="str">
        <f aca="false">IFERROR(CONCATENATE(TEXT(INDEX($Q$7:$Q$171,SMALL(IF($T$7:$T$171&lt;&gt;"",IF($Q$7:$Q$171&lt;&gt;"",ROW($Q$7:$Q$171)-MIN(ROW($Q$7:$Q$171))+1,""),""),ROW()-ROW(A$173)+1)),"##0")," "),"")</f>
        <v/>
      </c>
      <c r="S328" s="0" t="str">
        <f aca="false">IFERROR(CONCATENATE((INDEX($A$7:$A$171,SMALL(IF($T$7:$T$171&lt;&gt;"",IF($Q$7:$Q$171&lt;&gt;"",ROW($Q$7:$Q$171)-MIN(ROW($Q$7:$Q$171))+1,""),""),ROW()-ROW(A$173)+1))),),"")</f>
        <v/>
      </c>
      <c r="W328" s="0" t="str">
        <f aca="false">IFERROR(CONCATENATE((INDEX($Z$7:$Z$171,SMALL(IF($Z$7:$Z$171&lt;&gt;"",IF($W$7:$W$171&lt;&gt;"",ROW($W$7:$W$171)-MIN(ROW($W$7:$W$171))+1,""),""),ROW()-ROW(A$173)+1))),","),"")</f>
        <v/>
      </c>
      <c r="X328" s="0" t="str">
        <f aca="false">IFERROR(CONCATENATE(TEXT(INDEX($W$7:$W$171,SMALL(IF($Z$7:$Z$171&lt;&gt;"",IF($W$7:$W$171&lt;&gt;"",ROW($W$7:$W$171)-MIN(ROW($W$7:$W$171))+1,""),""),ROW()-ROW(A$173)+1)),"##0"),","),"")</f>
        <v/>
      </c>
      <c r="Y328" s="0" t="str">
        <f aca="false">IFERROR(CONCATENATE((INDEX($A$7:$A$171,SMALL(IF($Z$7:$Z$171&lt;&gt;"",IF($W$7:$W$171&lt;&gt;"",ROW($W$7:$W$171)-MIN(ROW($W$7:$W$171))+1,""),""),ROW()-ROW(A$173)+1))),),"")</f>
        <v/>
      </c>
    </row>
    <row r="329" customFormat="false" ht="15" hidden="false" customHeight="false" outlineLevel="0" collapsed="false">
      <c r="K329" s="0" t="str">
        <f aca="false">IFERROR(CONCATENATE(TEXT(INDEX($K$7:$K$171,SMALL(IF($N$7:$N$171&lt;&gt;"",IF($K$7:$K$171&lt;&gt;"",ROW($K$7:$K$171)-MIN(ROW($K$7:$K$171))+1,""),""),ROW()-ROW(A$173)+1)),"##0"),","),"")</f>
        <v/>
      </c>
      <c r="L329" s="0" t="str">
        <f aca="false">IFERROR(CONCATENATE((INDEX($N$7:$N$171,SMALL(IF($N$7:$N$171&lt;&gt;"",IF($K$7:$K$171&lt;&gt;"",ROW($K$7:$K$171)-MIN(ROW($K$7:$K$171))+1,""),""),ROW()-ROW(A$173)+1))),","),"")</f>
        <v/>
      </c>
      <c r="M329" s="0" t="str">
        <f aca="false">IFERROR(CONCATENATE((INDEX($A$7:$A$171,SMALL(IF($N$7:$N$171&lt;&gt;"",IF($K$7:$K$171&lt;&gt;"",ROW($K$7:$K$171)-MIN(ROW($K$7:$K$171))+1,""),""),ROW()-ROW(A$173)+1))),),"")</f>
        <v/>
      </c>
      <c r="Q329" s="0" t="str">
        <f aca="false">IFERROR(CONCATENATE((INDEX($T$7:$T$171,SMALL(IF($T$7:$T$171&lt;&gt;"",IF($Q$7:$Q$171&lt;&gt;"",ROW($Q$7:$Q$171)-MIN(ROW($Q$7:$Q$171))+1,""),""),ROW()-ROW(A$173)+1)))," "),"")</f>
        <v/>
      </c>
      <c r="R329" s="0" t="str">
        <f aca="false">IFERROR(CONCATENATE(TEXT(INDEX($Q$7:$Q$171,SMALL(IF($T$7:$T$171&lt;&gt;"",IF($Q$7:$Q$171&lt;&gt;"",ROW($Q$7:$Q$171)-MIN(ROW($Q$7:$Q$171))+1,""),""),ROW()-ROW(A$173)+1)),"##0")," "),"")</f>
        <v/>
      </c>
      <c r="S329" s="0" t="str">
        <f aca="false">IFERROR(CONCATENATE((INDEX($A$7:$A$171,SMALL(IF($T$7:$T$171&lt;&gt;"",IF($Q$7:$Q$171&lt;&gt;"",ROW($Q$7:$Q$171)-MIN(ROW($Q$7:$Q$171))+1,""),""),ROW()-ROW(A$173)+1))),),"")</f>
        <v/>
      </c>
      <c r="W329" s="0" t="str">
        <f aca="false">IFERROR(CONCATENATE((INDEX($Z$7:$Z$171,SMALL(IF($Z$7:$Z$171&lt;&gt;"",IF($W$7:$W$171&lt;&gt;"",ROW($W$7:$W$171)-MIN(ROW($W$7:$W$171))+1,""),""),ROW()-ROW(A$173)+1))),","),"")</f>
        <v/>
      </c>
      <c r="X329" s="0" t="str">
        <f aca="false">IFERROR(CONCATENATE(TEXT(INDEX($W$7:$W$171,SMALL(IF($Z$7:$Z$171&lt;&gt;"",IF($W$7:$W$171&lt;&gt;"",ROW($W$7:$W$171)-MIN(ROW($W$7:$W$171))+1,""),""),ROW()-ROW(A$173)+1)),"##0"),","),"")</f>
        <v/>
      </c>
      <c r="Y329" s="0" t="str">
        <f aca="false">IFERROR(CONCATENATE((INDEX($A$7:$A$171,SMALL(IF($Z$7:$Z$171&lt;&gt;"",IF($W$7:$W$171&lt;&gt;"",ROW($W$7:$W$171)-MIN(ROW($W$7:$W$171))+1,""),""),ROW()-ROW(A$173)+1))),),"")</f>
        <v/>
      </c>
    </row>
    <row r="330" customFormat="false" ht="15" hidden="false" customHeight="false" outlineLevel="0" collapsed="false">
      <c r="K330" s="0" t="str">
        <f aca="false">IFERROR(CONCATENATE(TEXT(INDEX($K$7:$K$171,SMALL(IF($N$7:$N$171&lt;&gt;"",IF($K$7:$K$171&lt;&gt;"",ROW($K$7:$K$171)-MIN(ROW($K$7:$K$171))+1,""),""),ROW()-ROW(A$173)+1)),"##0"),","),"")</f>
        <v/>
      </c>
      <c r="L330" s="0" t="str">
        <f aca="false">IFERROR(CONCATENATE((INDEX($N$7:$N$171,SMALL(IF($N$7:$N$171&lt;&gt;"",IF($K$7:$K$171&lt;&gt;"",ROW($K$7:$K$171)-MIN(ROW($K$7:$K$171))+1,""),""),ROW()-ROW(A$173)+1))),","),"")</f>
        <v/>
      </c>
      <c r="M330" s="0" t="str">
        <f aca="false">IFERROR(CONCATENATE((INDEX($A$7:$A$171,SMALL(IF($N$7:$N$171&lt;&gt;"",IF($K$7:$K$171&lt;&gt;"",ROW($K$7:$K$171)-MIN(ROW($K$7:$K$171))+1,""),""),ROW()-ROW(A$173)+1))),),"")</f>
        <v/>
      </c>
      <c r="Q330" s="0" t="str">
        <f aca="false">IFERROR(CONCATENATE((INDEX($T$7:$T$171,SMALL(IF($T$7:$T$171&lt;&gt;"",IF($Q$7:$Q$171&lt;&gt;"",ROW($Q$7:$Q$171)-MIN(ROW($Q$7:$Q$171))+1,""),""),ROW()-ROW(A$173)+1)))," "),"")</f>
        <v/>
      </c>
      <c r="R330" s="0" t="str">
        <f aca="false">IFERROR(CONCATENATE(TEXT(INDEX($Q$7:$Q$171,SMALL(IF($T$7:$T$171&lt;&gt;"",IF($Q$7:$Q$171&lt;&gt;"",ROW($Q$7:$Q$171)-MIN(ROW($Q$7:$Q$171))+1,""),""),ROW()-ROW(A$173)+1)),"##0")," "),"")</f>
        <v/>
      </c>
      <c r="S330" s="0" t="str">
        <f aca="false">IFERROR(CONCATENATE((INDEX($A$7:$A$171,SMALL(IF($T$7:$T$171&lt;&gt;"",IF($Q$7:$Q$171&lt;&gt;"",ROW($Q$7:$Q$171)-MIN(ROW($Q$7:$Q$171))+1,""),""),ROW()-ROW(A$173)+1))),),"")</f>
        <v/>
      </c>
      <c r="W330" s="0" t="str">
        <f aca="false">IFERROR(CONCATENATE((INDEX($Z$7:$Z$171,SMALL(IF($Z$7:$Z$171&lt;&gt;"",IF($W$7:$W$171&lt;&gt;"",ROW($W$7:$W$171)-MIN(ROW($W$7:$W$171))+1,""),""),ROW()-ROW(A$173)+1))),","),"")</f>
        <v/>
      </c>
      <c r="X330" s="0" t="str">
        <f aca="false">IFERROR(CONCATENATE(TEXT(INDEX($W$7:$W$171,SMALL(IF($Z$7:$Z$171&lt;&gt;"",IF($W$7:$W$171&lt;&gt;"",ROW($W$7:$W$171)-MIN(ROW($W$7:$W$171))+1,""),""),ROW()-ROW(A$173)+1)),"##0"),","),"")</f>
        <v/>
      </c>
      <c r="Y330" s="0" t="str">
        <f aca="false">IFERROR(CONCATENATE((INDEX($A$7:$A$171,SMALL(IF($Z$7:$Z$171&lt;&gt;"",IF($W$7:$W$171&lt;&gt;"",ROW($W$7:$W$171)-MIN(ROW($W$7:$W$171))+1,""),""),ROW()-ROW(A$173)+1))),),"")</f>
        <v/>
      </c>
    </row>
    <row r="331" customFormat="false" ht="15" hidden="false" customHeight="false" outlineLevel="0" collapsed="false">
      <c r="K331" s="0" t="str">
        <f aca="false">IFERROR(CONCATENATE(TEXT(INDEX($K$7:$K$171,SMALL(IF($N$7:$N$171&lt;&gt;"",IF($K$7:$K$171&lt;&gt;"",ROW($K$7:$K$171)-MIN(ROW($K$7:$K$171))+1,""),""),ROW()-ROW(A$173)+1)),"##0"),","),"")</f>
        <v/>
      </c>
      <c r="L331" s="0" t="str">
        <f aca="false">IFERROR(CONCATENATE((INDEX($N$7:$N$171,SMALL(IF($N$7:$N$171&lt;&gt;"",IF($K$7:$K$171&lt;&gt;"",ROW($K$7:$K$171)-MIN(ROW($K$7:$K$171))+1,""),""),ROW()-ROW(A$173)+1))),","),"")</f>
        <v/>
      </c>
      <c r="M331" s="0" t="str">
        <f aca="false">IFERROR(CONCATENATE((INDEX($A$7:$A$171,SMALL(IF($N$7:$N$171&lt;&gt;"",IF($K$7:$K$171&lt;&gt;"",ROW($K$7:$K$171)-MIN(ROW($K$7:$K$171))+1,""),""),ROW()-ROW(A$173)+1))),),"")</f>
        <v/>
      </c>
      <c r="Q331" s="0" t="str">
        <f aca="false">IFERROR(CONCATENATE((INDEX($T$7:$T$171,SMALL(IF($T$7:$T$171&lt;&gt;"",IF($Q$7:$Q$171&lt;&gt;"",ROW($Q$7:$Q$171)-MIN(ROW($Q$7:$Q$171))+1,""),""),ROW()-ROW(A$173)+1)))," "),"")</f>
        <v/>
      </c>
      <c r="R331" s="0" t="str">
        <f aca="false">IFERROR(CONCATENATE(TEXT(INDEX($Q$7:$Q$171,SMALL(IF($T$7:$T$171&lt;&gt;"",IF($Q$7:$Q$171&lt;&gt;"",ROW($Q$7:$Q$171)-MIN(ROW($Q$7:$Q$171))+1,""),""),ROW()-ROW(A$173)+1)),"##0")," "),"")</f>
        <v/>
      </c>
      <c r="S331" s="0" t="str">
        <f aca="false">IFERROR(CONCATENATE((INDEX($A$7:$A$171,SMALL(IF($T$7:$T$171&lt;&gt;"",IF($Q$7:$Q$171&lt;&gt;"",ROW($Q$7:$Q$171)-MIN(ROW($Q$7:$Q$171))+1,""),""),ROW()-ROW(A$173)+1))),),"")</f>
        <v/>
      </c>
      <c r="W331" s="0" t="str">
        <f aca="false">IFERROR(CONCATENATE((INDEX($Z$7:$Z$171,SMALL(IF($Z$7:$Z$171&lt;&gt;"",IF($W$7:$W$171&lt;&gt;"",ROW($W$7:$W$171)-MIN(ROW($W$7:$W$171))+1,""),""),ROW()-ROW(A$173)+1))),","),"")</f>
        <v/>
      </c>
      <c r="X331" s="0" t="str">
        <f aca="false">IFERROR(CONCATENATE(TEXT(INDEX($W$7:$W$171,SMALL(IF($Z$7:$Z$171&lt;&gt;"",IF($W$7:$W$171&lt;&gt;"",ROW($W$7:$W$171)-MIN(ROW($W$7:$W$171))+1,""),""),ROW()-ROW(A$173)+1)),"##0"),","),"")</f>
        <v/>
      </c>
      <c r="Y331" s="0" t="str">
        <f aca="false">IFERROR(CONCATENATE((INDEX($A$7:$A$171,SMALL(IF($Z$7:$Z$171&lt;&gt;"",IF($W$7:$W$171&lt;&gt;"",ROW($W$7:$W$171)-MIN(ROW($W$7:$W$171))+1,""),""),ROW()-ROW(A$173)+1))),),"")</f>
        <v/>
      </c>
    </row>
    <row r="332" customFormat="false" ht="15" hidden="false" customHeight="false" outlineLevel="0" collapsed="false">
      <c r="K332" s="0" t="str">
        <f aca="false">IFERROR(CONCATENATE(TEXT(INDEX($K$7:$K$171,SMALL(IF($N$7:$N$171&lt;&gt;"",IF($K$7:$K$171&lt;&gt;"",ROW($K$7:$K$171)-MIN(ROW($K$7:$K$171))+1,""),""),ROW()-ROW(A$173)+1)),"##0"),","),"")</f>
        <v/>
      </c>
      <c r="L332" s="0" t="str">
        <f aca="false">IFERROR(CONCATENATE((INDEX($N$7:$N$171,SMALL(IF($N$7:$N$171&lt;&gt;"",IF($K$7:$K$171&lt;&gt;"",ROW($K$7:$K$171)-MIN(ROW($K$7:$K$171))+1,""),""),ROW()-ROW(A$173)+1))),","),"")</f>
        <v/>
      </c>
      <c r="M332" s="0" t="str">
        <f aca="false">IFERROR(CONCATENATE((INDEX($A$7:$A$171,SMALL(IF($N$7:$N$171&lt;&gt;"",IF($K$7:$K$171&lt;&gt;"",ROW($K$7:$K$171)-MIN(ROW($K$7:$K$171))+1,""),""),ROW()-ROW(A$173)+1))),),"")</f>
        <v/>
      </c>
      <c r="Q332" s="0" t="str">
        <f aca="false">IFERROR(CONCATENATE((INDEX($T$7:$T$171,SMALL(IF($T$7:$T$171&lt;&gt;"",IF($Q$7:$Q$171&lt;&gt;"",ROW($Q$7:$Q$171)-MIN(ROW($Q$7:$Q$171))+1,""),""),ROW()-ROW(A$173)+1)))," "),"")</f>
        <v/>
      </c>
      <c r="R332" s="0" t="str">
        <f aca="false">IFERROR(CONCATENATE(TEXT(INDEX($Q$7:$Q$171,SMALL(IF($T$7:$T$171&lt;&gt;"",IF($Q$7:$Q$171&lt;&gt;"",ROW($Q$7:$Q$171)-MIN(ROW($Q$7:$Q$171))+1,""),""),ROW()-ROW(A$173)+1)),"##0")," "),"")</f>
        <v/>
      </c>
      <c r="S332" s="0" t="str">
        <f aca="false">IFERROR(CONCATENATE((INDEX($A$7:$A$171,SMALL(IF($T$7:$T$171&lt;&gt;"",IF($Q$7:$Q$171&lt;&gt;"",ROW($Q$7:$Q$171)-MIN(ROW($Q$7:$Q$171))+1,""),""),ROW()-ROW(A$173)+1))),),"")</f>
        <v/>
      </c>
      <c r="W332" s="0" t="str">
        <f aca="false">IFERROR(CONCATENATE((INDEX($Z$7:$Z$171,SMALL(IF($Z$7:$Z$171&lt;&gt;"",IF($W$7:$W$171&lt;&gt;"",ROW($W$7:$W$171)-MIN(ROW($W$7:$W$171))+1,""),""),ROW()-ROW(A$173)+1))),","),"")</f>
        <v/>
      </c>
      <c r="X332" s="0" t="str">
        <f aca="false">IFERROR(CONCATENATE(TEXT(INDEX($W$7:$W$171,SMALL(IF($Z$7:$Z$171&lt;&gt;"",IF($W$7:$W$171&lt;&gt;"",ROW($W$7:$W$171)-MIN(ROW($W$7:$W$171))+1,""),""),ROW()-ROW(A$173)+1)),"##0"),","),"")</f>
        <v/>
      </c>
      <c r="Y332" s="0" t="str">
        <f aca="false">IFERROR(CONCATENATE((INDEX($A$7:$A$171,SMALL(IF($Z$7:$Z$171&lt;&gt;"",IF($W$7:$W$171&lt;&gt;"",ROW($W$7:$W$171)-MIN(ROW($W$7:$W$171))+1,""),""),ROW()-ROW(A$173)+1))),),"")</f>
        <v/>
      </c>
    </row>
    <row r="333" customFormat="false" ht="15" hidden="false" customHeight="false" outlineLevel="0" collapsed="false">
      <c r="K333" s="0" t="str">
        <f aca="false">IFERROR(CONCATENATE(TEXT(INDEX($K$7:$K$171,SMALL(IF($N$7:$N$171&lt;&gt;"",IF($K$7:$K$171&lt;&gt;"",ROW($K$7:$K$171)-MIN(ROW($K$7:$K$171))+1,""),""),ROW()-ROW(A$173)+1)),"##0"),","),"")</f>
        <v/>
      </c>
      <c r="L333" s="0" t="str">
        <f aca="false">IFERROR(CONCATENATE((INDEX($N$7:$N$171,SMALL(IF($N$7:$N$171&lt;&gt;"",IF($K$7:$K$171&lt;&gt;"",ROW($K$7:$K$171)-MIN(ROW($K$7:$K$171))+1,""),""),ROW()-ROW(A$173)+1))),","),"")</f>
        <v/>
      </c>
      <c r="M333" s="0" t="str">
        <f aca="false">IFERROR(CONCATENATE((INDEX($A$7:$A$171,SMALL(IF($N$7:$N$171&lt;&gt;"",IF($K$7:$K$171&lt;&gt;"",ROW($K$7:$K$171)-MIN(ROW($K$7:$K$171))+1,""),""),ROW()-ROW(A$173)+1))),),"")</f>
        <v/>
      </c>
      <c r="Q333" s="0" t="str">
        <f aca="false">IFERROR(CONCATENATE((INDEX($T$7:$T$171,SMALL(IF($T$7:$T$171&lt;&gt;"",IF($Q$7:$Q$171&lt;&gt;"",ROW($Q$7:$Q$171)-MIN(ROW($Q$7:$Q$171))+1,""),""),ROW()-ROW(A$173)+1)))," "),"")</f>
        <v/>
      </c>
      <c r="R333" s="0" t="str">
        <f aca="false">IFERROR(CONCATENATE(TEXT(INDEX($Q$7:$Q$171,SMALL(IF($T$7:$T$171&lt;&gt;"",IF($Q$7:$Q$171&lt;&gt;"",ROW($Q$7:$Q$171)-MIN(ROW($Q$7:$Q$171))+1,""),""),ROW()-ROW(A$173)+1)),"##0")," "),"")</f>
        <v/>
      </c>
      <c r="S333" s="0" t="str">
        <f aca="false">IFERROR(CONCATENATE((INDEX($A$7:$A$171,SMALL(IF($T$7:$T$171&lt;&gt;"",IF($Q$7:$Q$171&lt;&gt;"",ROW($Q$7:$Q$171)-MIN(ROW($Q$7:$Q$171))+1,""),""),ROW()-ROW(A$173)+1))),),"")</f>
        <v/>
      </c>
      <c r="W333" s="0" t="str">
        <f aca="false">IFERROR(CONCATENATE((INDEX($Z$7:$Z$171,SMALL(IF($Z$7:$Z$171&lt;&gt;"",IF($W$7:$W$171&lt;&gt;"",ROW($W$7:$W$171)-MIN(ROW($W$7:$W$171))+1,""),""),ROW()-ROW(A$173)+1))),","),"")</f>
        <v/>
      </c>
      <c r="X333" s="0" t="str">
        <f aca="false">IFERROR(CONCATENATE(TEXT(INDEX($W$7:$W$171,SMALL(IF($Z$7:$Z$171&lt;&gt;"",IF($W$7:$W$171&lt;&gt;"",ROW($W$7:$W$171)-MIN(ROW($W$7:$W$171))+1,""),""),ROW()-ROW(A$173)+1)),"##0"),","),"")</f>
        <v/>
      </c>
      <c r="Y333" s="0" t="str">
        <f aca="false">IFERROR(CONCATENATE((INDEX($A$7:$A$171,SMALL(IF($Z$7:$Z$171&lt;&gt;"",IF($W$7:$W$171&lt;&gt;"",ROW($W$7:$W$171)-MIN(ROW($W$7:$W$171))+1,""),""),ROW()-ROW(A$173)+1))),),"")</f>
        <v/>
      </c>
    </row>
    <row r="334" customFormat="false" ht="15" hidden="false" customHeight="false" outlineLevel="0" collapsed="false">
      <c r="K334" s="0" t="str">
        <f aca="false">IFERROR(CONCATENATE(TEXT(INDEX($K$7:$K$171,SMALL(IF($N$7:$N$171&lt;&gt;"",IF($K$7:$K$171&lt;&gt;"",ROW($K$7:$K$171)-MIN(ROW($K$7:$K$171))+1,""),""),ROW()-ROW(A$173)+1)),"##0"),","),"")</f>
        <v/>
      </c>
      <c r="L334" s="0" t="str">
        <f aca="false">IFERROR(CONCATENATE((INDEX($N$7:$N$171,SMALL(IF($N$7:$N$171&lt;&gt;"",IF($K$7:$K$171&lt;&gt;"",ROW($K$7:$K$171)-MIN(ROW($K$7:$K$171))+1,""),""),ROW()-ROW(A$173)+1))),","),"")</f>
        <v/>
      </c>
      <c r="M334" s="0" t="str">
        <f aca="false">IFERROR(CONCATENATE((INDEX($A$7:$A$171,SMALL(IF($N$7:$N$171&lt;&gt;"",IF($K$7:$K$171&lt;&gt;"",ROW($K$7:$K$171)-MIN(ROW($K$7:$K$171))+1,""),""),ROW()-ROW(A$173)+1))),),"")</f>
        <v/>
      </c>
      <c r="Q334" s="0" t="str">
        <f aca="false">IFERROR(CONCATENATE((INDEX($T$7:$T$171,SMALL(IF($T$7:$T$171&lt;&gt;"",IF($Q$7:$Q$171&lt;&gt;"",ROW($Q$7:$Q$171)-MIN(ROW($Q$7:$Q$171))+1,""),""),ROW()-ROW(A$173)+1)))," "),"")</f>
        <v/>
      </c>
      <c r="R334" s="0" t="str">
        <f aca="false">IFERROR(CONCATENATE(TEXT(INDEX($Q$7:$Q$171,SMALL(IF($T$7:$T$171&lt;&gt;"",IF($Q$7:$Q$171&lt;&gt;"",ROW($Q$7:$Q$171)-MIN(ROW($Q$7:$Q$171))+1,""),""),ROW()-ROW(A$173)+1)),"##0")," "),"")</f>
        <v/>
      </c>
      <c r="S334" s="0" t="str">
        <f aca="false">IFERROR(CONCATENATE((INDEX($A$7:$A$171,SMALL(IF($T$7:$T$171&lt;&gt;"",IF($Q$7:$Q$171&lt;&gt;"",ROW($Q$7:$Q$171)-MIN(ROW($Q$7:$Q$171))+1,""),""),ROW()-ROW(A$173)+1))),),"")</f>
        <v/>
      </c>
      <c r="W334" s="0" t="str">
        <f aca="false">IFERROR(CONCATENATE((INDEX($Z$7:$Z$171,SMALL(IF($Z$7:$Z$171&lt;&gt;"",IF($W$7:$W$171&lt;&gt;"",ROW($W$7:$W$171)-MIN(ROW($W$7:$W$171))+1,""),""),ROW()-ROW(A$173)+1))),","),"")</f>
        <v/>
      </c>
      <c r="X334" s="0" t="str">
        <f aca="false">IFERROR(CONCATENATE(TEXT(INDEX($W$7:$W$171,SMALL(IF($Z$7:$Z$171&lt;&gt;"",IF($W$7:$W$171&lt;&gt;"",ROW($W$7:$W$171)-MIN(ROW($W$7:$W$171))+1,""),""),ROW()-ROW(A$173)+1)),"##0"),","),"")</f>
        <v/>
      </c>
      <c r="Y334" s="0" t="str">
        <f aca="false">IFERROR(CONCATENATE((INDEX($A$7:$A$171,SMALL(IF($Z$7:$Z$171&lt;&gt;"",IF($W$7:$W$171&lt;&gt;"",ROW($W$7:$W$171)-MIN(ROW($W$7:$W$171))+1,""),""),ROW()-ROW(A$173)+1))),),"")</f>
        <v/>
      </c>
    </row>
    <row r="335" customFormat="false" ht="15" hidden="false" customHeight="false" outlineLevel="0" collapsed="false">
      <c r="K335" s="0" t="str">
        <f aca="false">IFERROR(CONCATENATE(TEXT(INDEX($K$7:$K$171,SMALL(IF($N$7:$N$171&lt;&gt;"",IF($K$7:$K$171&lt;&gt;"",ROW($K$7:$K$171)-MIN(ROW($K$7:$K$171))+1,""),""),ROW()-ROW(A$173)+1)),"##0"),","),"")</f>
        <v/>
      </c>
      <c r="L335" s="0" t="str">
        <f aca="false">IFERROR(CONCATENATE((INDEX($N$7:$N$171,SMALL(IF($N$7:$N$171&lt;&gt;"",IF($K$7:$K$171&lt;&gt;"",ROW($K$7:$K$171)-MIN(ROW($K$7:$K$171))+1,""),""),ROW()-ROW(A$173)+1))),","),"")</f>
        <v/>
      </c>
      <c r="M335" s="0" t="str">
        <f aca="false">IFERROR(CONCATENATE((INDEX($A$7:$A$171,SMALL(IF($N$7:$N$171&lt;&gt;"",IF($K$7:$K$171&lt;&gt;"",ROW($K$7:$K$171)-MIN(ROW($K$7:$K$171))+1,""),""),ROW()-ROW(A$173)+1))),),"")</f>
        <v/>
      </c>
      <c r="Q335" s="0" t="str">
        <f aca="false">IFERROR(CONCATENATE((INDEX($T$7:$T$171,SMALL(IF($T$7:$T$171&lt;&gt;"",IF($Q$7:$Q$171&lt;&gt;"",ROW($Q$7:$Q$171)-MIN(ROW($Q$7:$Q$171))+1,""),""),ROW()-ROW(A$173)+1)))," "),"")</f>
        <v/>
      </c>
      <c r="R335" s="0" t="str">
        <f aca="false">IFERROR(CONCATENATE(TEXT(INDEX($Q$7:$Q$171,SMALL(IF($T$7:$T$171&lt;&gt;"",IF($Q$7:$Q$171&lt;&gt;"",ROW($Q$7:$Q$171)-MIN(ROW($Q$7:$Q$171))+1,""),""),ROW()-ROW(A$173)+1)),"##0")," "),"")</f>
        <v/>
      </c>
      <c r="S335" s="0" t="str">
        <f aca="false">IFERROR(CONCATENATE((INDEX($A$7:$A$171,SMALL(IF($T$7:$T$171&lt;&gt;"",IF($Q$7:$Q$171&lt;&gt;"",ROW($Q$7:$Q$171)-MIN(ROW($Q$7:$Q$171))+1,""),""),ROW()-ROW(A$173)+1))),),"")</f>
        <v/>
      </c>
      <c r="W335" s="0" t="str">
        <f aca="false">IFERROR(CONCATENATE((INDEX($Z$7:$Z$171,SMALL(IF($Z$7:$Z$171&lt;&gt;"",IF($W$7:$W$171&lt;&gt;"",ROW($W$7:$W$171)-MIN(ROW($W$7:$W$171))+1,""),""),ROW()-ROW(A$173)+1))),","),"")</f>
        <v/>
      </c>
      <c r="X335" s="0" t="str">
        <f aca="false">IFERROR(CONCATENATE(TEXT(INDEX($W$7:$W$171,SMALL(IF($Z$7:$Z$171&lt;&gt;"",IF($W$7:$W$171&lt;&gt;"",ROW($W$7:$W$171)-MIN(ROW($W$7:$W$171))+1,""),""),ROW()-ROW(A$173)+1)),"##0"),","),"")</f>
        <v/>
      </c>
      <c r="Y335" s="0" t="str">
        <f aca="false">IFERROR(CONCATENATE((INDEX($A$7:$A$171,SMALL(IF($Z$7:$Z$171&lt;&gt;"",IF($W$7:$W$171&lt;&gt;"",ROW($W$7:$W$171)-MIN(ROW($W$7:$W$171))+1,""),""),ROW()-ROW(A$173)+1))),),"")</f>
        <v/>
      </c>
    </row>
    <row r="336" customFormat="false" ht="15" hidden="false" customHeight="false" outlineLevel="0" collapsed="false">
      <c r="K336" s="0" t="str">
        <f aca="false">IFERROR(CONCATENATE(TEXT(INDEX($K$7:$K$171,SMALL(IF($N$7:$N$171&lt;&gt;"",IF($K$7:$K$171&lt;&gt;"",ROW($K$7:$K$171)-MIN(ROW($K$7:$K$171))+1,""),""),ROW()-ROW(A$173)+1)),"##0"),","),"")</f>
        <v/>
      </c>
      <c r="L336" s="0" t="str">
        <f aca="false">IFERROR(CONCATENATE((INDEX($N$7:$N$171,SMALL(IF($N$7:$N$171&lt;&gt;"",IF($K$7:$K$171&lt;&gt;"",ROW($K$7:$K$171)-MIN(ROW($K$7:$K$171))+1,""),""),ROW()-ROW(A$173)+1))),","),"")</f>
        <v/>
      </c>
      <c r="M336" s="0" t="str">
        <f aca="false">IFERROR(CONCATENATE((INDEX($A$7:$A$171,SMALL(IF($N$7:$N$171&lt;&gt;"",IF($K$7:$K$171&lt;&gt;"",ROW($K$7:$K$171)-MIN(ROW($K$7:$K$171))+1,""),""),ROW()-ROW(A$173)+1))),),"")</f>
        <v/>
      </c>
      <c r="Q336" s="0" t="str">
        <f aca="false">IFERROR(CONCATENATE((INDEX($T$7:$T$171,SMALL(IF($T$7:$T$171&lt;&gt;"",IF($Q$7:$Q$171&lt;&gt;"",ROW($Q$7:$Q$171)-MIN(ROW($Q$7:$Q$171))+1,""),""),ROW()-ROW(A$173)+1)))," "),"")</f>
        <v/>
      </c>
      <c r="R336" s="0" t="str">
        <f aca="false">IFERROR(CONCATENATE(TEXT(INDEX($Q$7:$Q$171,SMALL(IF($T$7:$T$171&lt;&gt;"",IF($Q$7:$Q$171&lt;&gt;"",ROW($Q$7:$Q$171)-MIN(ROW($Q$7:$Q$171))+1,""),""),ROW()-ROW(A$173)+1)),"##0")," "),"")</f>
        <v/>
      </c>
      <c r="S336" s="0" t="str">
        <f aca="false">IFERROR(CONCATENATE((INDEX($A$7:$A$171,SMALL(IF($T$7:$T$171&lt;&gt;"",IF($Q$7:$Q$171&lt;&gt;"",ROW($Q$7:$Q$171)-MIN(ROW($Q$7:$Q$171))+1,""),""),ROW()-ROW(A$173)+1))),),"")</f>
        <v/>
      </c>
      <c r="W336" s="0" t="str">
        <f aca="false">IFERROR(CONCATENATE((INDEX($Z$7:$Z$171,SMALL(IF($Z$7:$Z$171&lt;&gt;"",IF($W$7:$W$171&lt;&gt;"",ROW($W$7:$W$171)-MIN(ROW($W$7:$W$171))+1,""),""),ROW()-ROW(A$173)+1))),","),"")</f>
        <v/>
      </c>
      <c r="X336" s="0" t="str">
        <f aca="false">IFERROR(CONCATENATE(TEXT(INDEX($W$7:$W$171,SMALL(IF($Z$7:$Z$171&lt;&gt;"",IF($W$7:$W$171&lt;&gt;"",ROW($W$7:$W$171)-MIN(ROW($W$7:$W$171))+1,""),""),ROW()-ROW(A$173)+1)),"##0"),","),"")</f>
        <v/>
      </c>
      <c r="Y336" s="0" t="str">
        <f aca="false">IFERROR(CONCATENATE((INDEX($A$7:$A$171,SMALL(IF($Z$7:$Z$171&lt;&gt;"",IF($W$7:$W$171&lt;&gt;"",ROW($W$7:$W$171)-MIN(ROW($W$7:$W$171))+1,""),""),ROW()-ROW(A$173)+1))),),"")</f>
        <v/>
      </c>
    </row>
    <row r="337" customFormat="false" ht="15" hidden="false" customHeight="false" outlineLevel="0" collapsed="false">
      <c r="K337" s="0" t="str">
        <f aca="false">IFERROR(CONCATENATE(TEXT(INDEX($K$7:$K$171,SMALL(IF($N$7:$N$171&lt;&gt;"",IF($K$7:$K$171&lt;&gt;"",ROW($K$7:$K$171)-MIN(ROW($K$7:$K$171))+1,""),""),ROW()-ROW(A$173)+1)),"##0"),","),"")</f>
        <v/>
      </c>
      <c r="L337" s="0" t="str">
        <f aca="false">IFERROR(CONCATENATE((INDEX($N$7:$N$171,SMALL(IF($N$7:$N$171&lt;&gt;"",IF($K$7:$K$171&lt;&gt;"",ROW($K$7:$K$171)-MIN(ROW($K$7:$K$171))+1,""),""),ROW()-ROW(A$173)+1))),","),"")</f>
        <v/>
      </c>
      <c r="M337" s="0" t="str">
        <f aca="false">IFERROR(CONCATENATE((INDEX($A$7:$A$171,SMALL(IF($N$7:$N$171&lt;&gt;"",IF($K$7:$K$171&lt;&gt;"",ROW($K$7:$K$171)-MIN(ROW($K$7:$K$171))+1,""),""),ROW()-ROW(A$173)+1))),),"")</f>
        <v/>
      </c>
      <c r="Q337" s="0" t="str">
        <f aca="false">IFERROR(CONCATENATE((INDEX($T$7:$T$171,SMALL(IF($T$7:$T$171&lt;&gt;"",IF($Q$7:$Q$171&lt;&gt;"",ROW($Q$7:$Q$171)-MIN(ROW($Q$7:$Q$171))+1,""),""),ROW()-ROW(A$173)+1)))," "),"")</f>
        <v/>
      </c>
      <c r="R337" s="0" t="str">
        <f aca="false">IFERROR(CONCATENATE(TEXT(INDEX($Q$7:$Q$171,SMALL(IF($T$7:$T$171&lt;&gt;"",IF($Q$7:$Q$171&lt;&gt;"",ROW($Q$7:$Q$171)-MIN(ROW($Q$7:$Q$171))+1,""),""),ROW()-ROW(A$173)+1)),"##0")," "),"")</f>
        <v/>
      </c>
      <c r="S337" s="0" t="str">
        <f aca="false">IFERROR(CONCATENATE((INDEX($A$7:$A$171,SMALL(IF($T$7:$T$171&lt;&gt;"",IF($Q$7:$Q$171&lt;&gt;"",ROW($Q$7:$Q$171)-MIN(ROW($Q$7:$Q$171))+1,""),""),ROW()-ROW(A$173)+1))),),"")</f>
        <v/>
      </c>
      <c r="W337" s="0" t="str">
        <f aca="false">IFERROR(CONCATENATE((INDEX($Z$7:$Z$171,SMALL(IF($Z$7:$Z$171&lt;&gt;"",IF($W$7:$W$171&lt;&gt;"",ROW($W$7:$W$171)-MIN(ROW($W$7:$W$171))+1,""),""),ROW()-ROW(A$173)+1))),","),"")</f>
        <v/>
      </c>
      <c r="X337" s="0" t="str">
        <f aca="false">IFERROR(CONCATENATE(TEXT(INDEX($W$7:$W$171,SMALL(IF($Z$7:$Z$171&lt;&gt;"",IF($W$7:$W$171&lt;&gt;"",ROW($W$7:$W$171)-MIN(ROW($W$7:$W$171))+1,""),""),ROW()-ROW(A$173)+1)),"##0"),","),"")</f>
        <v/>
      </c>
      <c r="Y337" s="0" t="str">
        <f aca="false">IFERROR(CONCATENATE((INDEX($A$7:$A$171,SMALL(IF($Z$7:$Z$171&lt;&gt;"",IF($W$7:$W$171&lt;&gt;"",ROW($W$7:$W$171)-MIN(ROW($W$7:$W$171))+1,""),""),ROW()-ROW(A$173)+1))),),"")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00">
    <cfRule type="cellIs" priority="3" operator="lessThanOrEqual" aboveAverage="0" equalAverage="0" bottom="0" percent="0" rank="0" text="" dxfId="0">
      <formula>H100</formula>
    </cfRule>
  </conditionalFormatting>
  <conditionalFormatting sqref="L101">
    <cfRule type="cellIs" priority="4" operator="lessThanOrEqual" aboveAverage="0" equalAverage="0" bottom="0" percent="0" rank="0" text="" dxfId="0">
      <formula>H101</formula>
    </cfRule>
  </conditionalFormatting>
  <conditionalFormatting sqref="L103">
    <cfRule type="cellIs" priority="5" operator="lessThanOrEqual" aboveAverage="0" equalAverage="0" bottom="0" percent="0" rank="0" text="" dxfId="0">
      <formula>H103</formula>
    </cfRule>
  </conditionalFormatting>
  <conditionalFormatting sqref="L104">
    <cfRule type="cellIs" priority="6" operator="lessThanOrEqual" aboveAverage="0" equalAverage="0" bottom="0" percent="0" rank="0" text="" dxfId="0">
      <formula>H104</formula>
    </cfRule>
  </conditionalFormatting>
  <conditionalFormatting sqref="L105">
    <cfRule type="cellIs" priority="7" operator="lessThanOrEqual" aboveAverage="0" equalAverage="0" bottom="0" percent="0" rank="0" text="" dxfId="0">
      <formula>H105</formula>
    </cfRule>
  </conditionalFormatting>
  <conditionalFormatting sqref="L106">
    <cfRule type="cellIs" priority="8" operator="lessThanOrEqual" aboveAverage="0" equalAverage="0" bottom="0" percent="0" rank="0" text="" dxfId="0">
      <formula>H106</formula>
    </cfRule>
  </conditionalFormatting>
  <conditionalFormatting sqref="L107">
    <cfRule type="cellIs" priority="9" operator="lessThanOrEqual" aboveAverage="0" equalAverage="0" bottom="0" percent="0" rank="0" text="" dxfId="0">
      <formula>H107</formula>
    </cfRule>
  </conditionalFormatting>
  <conditionalFormatting sqref="L108">
    <cfRule type="cellIs" priority="10" operator="lessThanOrEqual" aboveAverage="0" equalAverage="0" bottom="0" percent="0" rank="0" text="" dxfId="0">
      <formula>H108</formula>
    </cfRule>
  </conditionalFormatting>
  <conditionalFormatting sqref="L109">
    <cfRule type="cellIs" priority="11" operator="lessThanOrEqual" aboveAverage="0" equalAverage="0" bottom="0" percent="0" rank="0" text="" dxfId="0">
      <formula>H109</formula>
    </cfRule>
  </conditionalFormatting>
  <conditionalFormatting sqref="L11">
    <cfRule type="cellIs" priority="12" operator="lessThanOrEqual" aboveAverage="0" equalAverage="0" bottom="0" percent="0" rank="0" text="" dxfId="0">
      <formula>H11</formula>
    </cfRule>
  </conditionalFormatting>
  <conditionalFormatting sqref="L110">
    <cfRule type="cellIs" priority="13" operator="lessThanOrEqual" aboveAverage="0" equalAverage="0" bottom="0" percent="0" rank="0" text="" dxfId="0">
      <formula>H110</formula>
    </cfRule>
  </conditionalFormatting>
  <conditionalFormatting sqref="L111">
    <cfRule type="cellIs" priority="14" operator="lessThanOrEqual" aboveAverage="0" equalAverage="0" bottom="0" percent="0" rank="0" text="" dxfId="0">
      <formula>H111</formula>
    </cfRule>
  </conditionalFormatting>
  <conditionalFormatting sqref="L112">
    <cfRule type="cellIs" priority="15" operator="lessThanOrEqual" aboveAverage="0" equalAverage="0" bottom="0" percent="0" rank="0" text="" dxfId="0">
      <formula>H112</formula>
    </cfRule>
  </conditionalFormatting>
  <conditionalFormatting sqref="L113">
    <cfRule type="cellIs" priority="16" operator="lessThanOrEqual" aboveAverage="0" equalAverage="0" bottom="0" percent="0" rank="0" text="" dxfId="0">
      <formula>H113</formula>
    </cfRule>
  </conditionalFormatting>
  <conditionalFormatting sqref="L115">
    <cfRule type="cellIs" priority="17" operator="lessThanOrEqual" aboveAverage="0" equalAverage="0" bottom="0" percent="0" rank="0" text="" dxfId="0">
      <formula>H115</formula>
    </cfRule>
  </conditionalFormatting>
  <conditionalFormatting sqref="L116">
    <cfRule type="cellIs" priority="18" operator="lessThanOrEqual" aboveAverage="0" equalAverage="0" bottom="0" percent="0" rank="0" text="" dxfId="0">
      <formula>H116</formula>
    </cfRule>
  </conditionalFormatting>
  <conditionalFormatting sqref="L117">
    <cfRule type="cellIs" priority="19" operator="lessThanOrEqual" aboveAverage="0" equalAverage="0" bottom="0" percent="0" rank="0" text="" dxfId="0">
      <formula>H117</formula>
    </cfRule>
  </conditionalFormatting>
  <conditionalFormatting sqref="L118">
    <cfRule type="cellIs" priority="20" operator="lessThanOrEqual" aboveAverage="0" equalAverage="0" bottom="0" percent="0" rank="0" text="" dxfId="0">
      <formula>H118</formula>
    </cfRule>
  </conditionalFormatting>
  <conditionalFormatting sqref="L119">
    <cfRule type="cellIs" priority="21" operator="lessThanOrEqual" aboveAverage="0" equalAverage="0" bottom="0" percent="0" rank="0" text="" dxfId="0">
      <formula>H119</formula>
    </cfRule>
  </conditionalFormatting>
  <conditionalFormatting sqref="L12">
    <cfRule type="cellIs" priority="22" operator="lessThanOrEqual" aboveAverage="0" equalAverage="0" bottom="0" percent="0" rank="0" text="" dxfId="0">
      <formula>H12</formula>
    </cfRule>
  </conditionalFormatting>
  <conditionalFormatting sqref="L120">
    <cfRule type="cellIs" priority="23" operator="lessThanOrEqual" aboveAverage="0" equalAverage="0" bottom="0" percent="0" rank="0" text="" dxfId="0">
      <formula>H120</formula>
    </cfRule>
  </conditionalFormatting>
  <conditionalFormatting sqref="L121">
    <cfRule type="cellIs" priority="24" operator="lessThanOrEqual" aboveAverage="0" equalAverage="0" bottom="0" percent="0" rank="0" text="" dxfId="0">
      <formula>H121</formula>
    </cfRule>
  </conditionalFormatting>
  <conditionalFormatting sqref="L122">
    <cfRule type="cellIs" priority="25" operator="lessThanOrEqual" aboveAverage="0" equalAverage="0" bottom="0" percent="0" rank="0" text="" dxfId="0">
      <formula>H122</formula>
    </cfRule>
  </conditionalFormatting>
  <conditionalFormatting sqref="L123">
    <cfRule type="cellIs" priority="26" operator="lessThanOrEqual" aboveAverage="0" equalAverage="0" bottom="0" percent="0" rank="0" text="" dxfId="0">
      <formula>H123</formula>
    </cfRule>
  </conditionalFormatting>
  <conditionalFormatting sqref="L124">
    <cfRule type="cellIs" priority="27" operator="lessThanOrEqual" aboveAverage="0" equalAverage="0" bottom="0" percent="0" rank="0" text="" dxfId="0">
      <formula>H124</formula>
    </cfRule>
  </conditionalFormatting>
  <conditionalFormatting sqref="L125">
    <cfRule type="cellIs" priority="28" operator="lessThanOrEqual" aboveAverage="0" equalAverage="0" bottom="0" percent="0" rank="0" text="" dxfId="0">
      <formula>H125</formula>
    </cfRule>
  </conditionalFormatting>
  <conditionalFormatting sqref="L126">
    <cfRule type="cellIs" priority="29" operator="lessThanOrEqual" aboveAverage="0" equalAverage="0" bottom="0" percent="0" rank="0" text="" dxfId="0">
      <formula>H126</formula>
    </cfRule>
  </conditionalFormatting>
  <conditionalFormatting sqref="L127">
    <cfRule type="cellIs" priority="30" operator="lessThanOrEqual" aboveAverage="0" equalAverage="0" bottom="0" percent="0" rank="0" text="" dxfId="0">
      <formula>H127</formula>
    </cfRule>
  </conditionalFormatting>
  <conditionalFormatting sqref="L128">
    <cfRule type="cellIs" priority="31" operator="lessThanOrEqual" aboveAverage="0" equalAverage="0" bottom="0" percent="0" rank="0" text="" dxfId="0">
      <formula>H128</formula>
    </cfRule>
  </conditionalFormatting>
  <conditionalFormatting sqref="L129">
    <cfRule type="cellIs" priority="32" operator="lessThanOrEqual" aboveAverage="0" equalAverage="0" bottom="0" percent="0" rank="0" text="" dxfId="0">
      <formula>H129</formula>
    </cfRule>
  </conditionalFormatting>
  <conditionalFormatting sqref="L130">
    <cfRule type="cellIs" priority="33" operator="lessThanOrEqual" aboveAverage="0" equalAverage="0" bottom="0" percent="0" rank="0" text="" dxfId="0">
      <formula>H130</formula>
    </cfRule>
  </conditionalFormatting>
  <conditionalFormatting sqref="L131">
    <cfRule type="cellIs" priority="34" operator="lessThanOrEqual" aboveAverage="0" equalAverage="0" bottom="0" percent="0" rank="0" text="" dxfId="0">
      <formula>H131</formula>
    </cfRule>
  </conditionalFormatting>
  <conditionalFormatting sqref="L132">
    <cfRule type="cellIs" priority="35" operator="lessThanOrEqual" aboveAverage="0" equalAverage="0" bottom="0" percent="0" rank="0" text="" dxfId="0">
      <formula>H132</formula>
    </cfRule>
  </conditionalFormatting>
  <conditionalFormatting sqref="L133">
    <cfRule type="cellIs" priority="36" operator="lessThanOrEqual" aboveAverage="0" equalAverage="0" bottom="0" percent="0" rank="0" text="" dxfId="0">
      <formula>H133</formula>
    </cfRule>
  </conditionalFormatting>
  <conditionalFormatting sqref="L134">
    <cfRule type="cellIs" priority="37" operator="lessThanOrEqual" aboveAverage="0" equalAverage="0" bottom="0" percent="0" rank="0" text="" dxfId="0">
      <formula>H134</formula>
    </cfRule>
  </conditionalFormatting>
  <conditionalFormatting sqref="L135">
    <cfRule type="cellIs" priority="38" operator="lessThanOrEqual" aboveAverage="0" equalAverage="0" bottom="0" percent="0" rank="0" text="" dxfId="0">
      <formula>H135</formula>
    </cfRule>
  </conditionalFormatting>
  <conditionalFormatting sqref="L137">
    <cfRule type="cellIs" priority="39" operator="lessThanOrEqual" aboveAverage="0" equalAverage="0" bottom="0" percent="0" rank="0" text="" dxfId="0">
      <formula>H137</formula>
    </cfRule>
  </conditionalFormatting>
  <conditionalFormatting sqref="L138">
    <cfRule type="cellIs" priority="40" operator="lessThanOrEqual" aboveAverage="0" equalAverage="0" bottom="0" percent="0" rank="0" text="" dxfId="0">
      <formula>H138</formula>
    </cfRule>
  </conditionalFormatting>
  <conditionalFormatting sqref="L139">
    <cfRule type="cellIs" priority="41" operator="lessThanOrEqual" aboveAverage="0" equalAverage="0" bottom="0" percent="0" rank="0" text="" dxfId="0">
      <formula>H139</formula>
    </cfRule>
  </conditionalFormatting>
  <conditionalFormatting sqref="L14">
    <cfRule type="cellIs" priority="42" operator="lessThanOrEqual" aboveAverage="0" equalAverage="0" bottom="0" percent="0" rank="0" text="" dxfId="0">
      <formula>H14</formula>
    </cfRule>
  </conditionalFormatting>
  <conditionalFormatting sqref="L140">
    <cfRule type="cellIs" priority="43" operator="lessThanOrEqual" aboveAverage="0" equalAverage="0" bottom="0" percent="0" rank="0" text="" dxfId="0">
      <formula>H140</formula>
    </cfRule>
  </conditionalFormatting>
  <conditionalFormatting sqref="L142">
    <cfRule type="cellIs" priority="44" operator="lessThanOrEqual" aboveAverage="0" equalAverage="0" bottom="0" percent="0" rank="0" text="" dxfId="0">
      <formula>H142</formula>
    </cfRule>
  </conditionalFormatting>
  <conditionalFormatting sqref="L143">
    <cfRule type="cellIs" priority="45" operator="lessThanOrEqual" aboveAverage="0" equalAverage="0" bottom="0" percent="0" rank="0" text="" dxfId="0">
      <formula>H143</formula>
    </cfRule>
  </conditionalFormatting>
  <conditionalFormatting sqref="L144">
    <cfRule type="cellIs" priority="46" operator="lessThanOrEqual" aboveAverage="0" equalAverage="0" bottom="0" percent="0" rank="0" text="" dxfId="0">
      <formula>H144</formula>
    </cfRule>
  </conditionalFormatting>
  <conditionalFormatting sqref="L145">
    <cfRule type="cellIs" priority="47" operator="lessThanOrEqual" aboveAverage="0" equalAverage="0" bottom="0" percent="0" rank="0" text="" dxfId="0">
      <formula>H145</formula>
    </cfRule>
  </conditionalFormatting>
  <conditionalFormatting sqref="L146">
    <cfRule type="cellIs" priority="48" operator="lessThanOrEqual" aboveAverage="0" equalAverage="0" bottom="0" percent="0" rank="0" text="" dxfId="0">
      <formula>H146</formula>
    </cfRule>
  </conditionalFormatting>
  <conditionalFormatting sqref="L147">
    <cfRule type="cellIs" priority="49" operator="lessThanOrEqual" aboveAverage="0" equalAverage="0" bottom="0" percent="0" rank="0" text="" dxfId="0">
      <formula>H147</formula>
    </cfRule>
  </conditionalFormatting>
  <conditionalFormatting sqref="L148">
    <cfRule type="cellIs" priority="50" operator="lessThanOrEqual" aboveAverage="0" equalAverage="0" bottom="0" percent="0" rank="0" text="" dxfId="0">
      <formula>H148</formula>
    </cfRule>
  </conditionalFormatting>
  <conditionalFormatting sqref="L149">
    <cfRule type="cellIs" priority="51" operator="lessThanOrEqual" aboveAverage="0" equalAverage="0" bottom="0" percent="0" rank="0" text="" dxfId="0">
      <formula>H149</formula>
    </cfRule>
  </conditionalFormatting>
  <conditionalFormatting sqref="L15">
    <cfRule type="cellIs" priority="52" operator="lessThanOrEqual" aboveAverage="0" equalAverage="0" bottom="0" percent="0" rank="0" text="" dxfId="0">
      <formula>H15</formula>
    </cfRule>
  </conditionalFormatting>
  <conditionalFormatting sqref="L150">
    <cfRule type="cellIs" priority="53" operator="lessThanOrEqual" aboveAverage="0" equalAverage="0" bottom="0" percent="0" rank="0" text="" dxfId="0">
      <formula>H150</formula>
    </cfRule>
  </conditionalFormatting>
  <conditionalFormatting sqref="L151">
    <cfRule type="cellIs" priority="54" operator="lessThanOrEqual" aboveAverage="0" equalAverage="0" bottom="0" percent="0" rank="0" text="" dxfId="0">
      <formula>H151</formula>
    </cfRule>
  </conditionalFormatting>
  <conditionalFormatting sqref="L152">
    <cfRule type="cellIs" priority="55" operator="lessThanOrEqual" aboveAverage="0" equalAverage="0" bottom="0" percent="0" rank="0" text="" dxfId="0">
      <formula>H152</formula>
    </cfRule>
  </conditionalFormatting>
  <conditionalFormatting sqref="L153">
    <cfRule type="cellIs" priority="56" operator="lessThanOrEqual" aboveAverage="0" equalAverage="0" bottom="0" percent="0" rank="0" text="" dxfId="0">
      <formula>H153</formula>
    </cfRule>
  </conditionalFormatting>
  <conditionalFormatting sqref="L154">
    <cfRule type="cellIs" priority="57" operator="lessThanOrEqual" aboveAverage="0" equalAverage="0" bottom="0" percent="0" rank="0" text="" dxfId="0">
      <formula>H154</formula>
    </cfRule>
  </conditionalFormatting>
  <conditionalFormatting sqref="L155">
    <cfRule type="cellIs" priority="58" operator="lessThanOrEqual" aboveAverage="0" equalAverage="0" bottom="0" percent="0" rank="0" text="" dxfId="0">
      <formula>H155</formula>
    </cfRule>
  </conditionalFormatting>
  <conditionalFormatting sqref="L156">
    <cfRule type="cellIs" priority="59" operator="lessThanOrEqual" aboveAverage="0" equalAverage="0" bottom="0" percent="0" rank="0" text="" dxfId="0">
      <formula>H156</formula>
    </cfRule>
  </conditionalFormatting>
  <conditionalFormatting sqref="L157">
    <cfRule type="cellIs" priority="60" operator="lessThanOrEqual" aboveAverage="0" equalAverage="0" bottom="0" percent="0" rank="0" text="" dxfId="0">
      <formula>H157</formula>
    </cfRule>
  </conditionalFormatting>
  <conditionalFormatting sqref="L158">
    <cfRule type="cellIs" priority="61" operator="lessThanOrEqual" aboveAverage="0" equalAverage="0" bottom="0" percent="0" rank="0" text="" dxfId="0">
      <formula>H158</formula>
    </cfRule>
  </conditionalFormatting>
  <conditionalFormatting sqref="L159">
    <cfRule type="cellIs" priority="62" operator="lessThanOrEqual" aboveAverage="0" equalAverage="0" bottom="0" percent="0" rank="0" text="" dxfId="0">
      <formula>H159</formula>
    </cfRule>
  </conditionalFormatting>
  <conditionalFormatting sqref="L16">
    <cfRule type="cellIs" priority="63" operator="lessThanOrEqual" aboveAverage="0" equalAverage="0" bottom="0" percent="0" rank="0" text="" dxfId="0">
      <formula>H16</formula>
    </cfRule>
  </conditionalFormatting>
  <conditionalFormatting sqref="L161">
    <cfRule type="cellIs" priority="64" operator="lessThanOrEqual" aboveAverage="0" equalAverage="0" bottom="0" percent="0" rank="0" text="" dxfId="0">
      <formula>H161</formula>
    </cfRule>
  </conditionalFormatting>
  <conditionalFormatting sqref="L162">
    <cfRule type="cellIs" priority="65" operator="lessThanOrEqual" aboveAverage="0" equalAverage="0" bottom="0" percent="0" rank="0" text="" dxfId="0">
      <formula>H162</formula>
    </cfRule>
  </conditionalFormatting>
  <conditionalFormatting sqref="L164">
    <cfRule type="cellIs" priority="66" operator="lessThanOrEqual" aboveAverage="0" equalAverage="0" bottom="0" percent="0" rank="0" text="" dxfId="0">
      <formula>H164</formula>
    </cfRule>
  </conditionalFormatting>
  <conditionalFormatting sqref="L165">
    <cfRule type="cellIs" priority="67" operator="lessThanOrEqual" aboveAverage="0" equalAverage="0" bottom="0" percent="0" rank="0" text="" dxfId="0">
      <formula>H165</formula>
    </cfRule>
  </conditionalFormatting>
  <conditionalFormatting sqref="L166">
    <cfRule type="cellIs" priority="68" operator="lessThanOrEqual" aboveAverage="0" equalAverage="0" bottom="0" percent="0" rank="0" text="" dxfId="0">
      <formula>H166</formula>
    </cfRule>
  </conditionalFormatting>
  <conditionalFormatting sqref="L167">
    <cfRule type="cellIs" priority="69" operator="lessThanOrEqual" aboveAverage="0" equalAverage="0" bottom="0" percent="0" rank="0" text="" dxfId="0">
      <formula>H167</formula>
    </cfRule>
  </conditionalFormatting>
  <conditionalFormatting sqref="L168">
    <cfRule type="cellIs" priority="70" operator="lessThanOrEqual" aboveAverage="0" equalAverage="0" bottom="0" percent="0" rank="0" text="" dxfId="0">
      <formula>H168</formula>
    </cfRule>
  </conditionalFormatting>
  <conditionalFormatting sqref="L169">
    <cfRule type="cellIs" priority="71" operator="lessThanOrEqual" aboveAverage="0" equalAverage="0" bottom="0" percent="0" rank="0" text="" dxfId="0">
      <formula>H169</formula>
    </cfRule>
  </conditionalFormatting>
  <conditionalFormatting sqref="L17">
    <cfRule type="cellIs" priority="72" operator="lessThanOrEqual" aboveAverage="0" equalAverage="0" bottom="0" percent="0" rank="0" text="" dxfId="0">
      <formula>H17</formula>
    </cfRule>
  </conditionalFormatting>
  <conditionalFormatting sqref="L170">
    <cfRule type="cellIs" priority="73" operator="lessThanOrEqual" aboveAverage="0" equalAverage="0" bottom="0" percent="0" rank="0" text="" dxfId="0">
      <formula>H170</formula>
    </cfRule>
  </conditionalFormatting>
  <conditionalFormatting sqref="L171">
    <cfRule type="cellIs" priority="74" operator="lessThanOrEqual" aboveAverage="0" equalAverage="0" bottom="0" percent="0" rank="0" text="" dxfId="0">
      <formula>H171</formula>
    </cfRule>
  </conditionalFormatting>
  <conditionalFormatting sqref="L18">
    <cfRule type="cellIs" priority="75" operator="lessThanOrEqual" aboveAverage="0" equalAverage="0" bottom="0" percent="0" rank="0" text="" dxfId="0">
      <formula>H18</formula>
    </cfRule>
  </conditionalFormatting>
  <conditionalFormatting sqref="L19">
    <cfRule type="cellIs" priority="76" operator="lessThanOrEqual" aboveAverage="0" equalAverage="0" bottom="0" percent="0" rank="0" text="" dxfId="0">
      <formula>H19</formula>
    </cfRule>
  </conditionalFormatting>
  <conditionalFormatting sqref="L20">
    <cfRule type="cellIs" priority="77" operator="lessThanOrEqual" aboveAverage="0" equalAverage="0" bottom="0" percent="0" rank="0" text="" dxfId="0">
      <formula>H20</formula>
    </cfRule>
  </conditionalFormatting>
  <conditionalFormatting sqref="L21">
    <cfRule type="cellIs" priority="78" operator="lessThanOrEqual" aboveAverage="0" equalAverage="0" bottom="0" percent="0" rank="0" text="" dxfId="0">
      <formula>H21</formula>
    </cfRule>
  </conditionalFormatting>
  <conditionalFormatting sqref="L22">
    <cfRule type="cellIs" priority="79" operator="lessThanOrEqual" aboveAverage="0" equalAverage="0" bottom="0" percent="0" rank="0" text="" dxfId="0">
      <formula>H22</formula>
    </cfRule>
  </conditionalFormatting>
  <conditionalFormatting sqref="L24">
    <cfRule type="cellIs" priority="80" operator="lessThanOrEqual" aboveAverage="0" equalAverage="0" bottom="0" percent="0" rank="0" text="" dxfId="0">
      <formula>H24</formula>
    </cfRule>
  </conditionalFormatting>
  <conditionalFormatting sqref="L25">
    <cfRule type="cellIs" priority="81" operator="lessThanOrEqual" aboveAverage="0" equalAverage="0" bottom="0" percent="0" rank="0" text="" dxfId="0">
      <formula>H25</formula>
    </cfRule>
  </conditionalFormatting>
  <conditionalFormatting sqref="L26">
    <cfRule type="cellIs" priority="82" operator="lessThanOrEqual" aboveAverage="0" equalAverage="0" bottom="0" percent="0" rank="0" text="" dxfId="0">
      <formula>H26</formula>
    </cfRule>
  </conditionalFormatting>
  <conditionalFormatting sqref="L27">
    <cfRule type="cellIs" priority="83" operator="lessThanOrEqual" aboveAverage="0" equalAverage="0" bottom="0" percent="0" rank="0" text="" dxfId="0">
      <formula>H27</formula>
    </cfRule>
  </conditionalFormatting>
  <conditionalFormatting sqref="L28">
    <cfRule type="cellIs" priority="84" operator="lessThanOrEqual" aboveAverage="0" equalAverage="0" bottom="0" percent="0" rank="0" text="" dxfId="0">
      <formula>H28</formula>
    </cfRule>
  </conditionalFormatting>
  <conditionalFormatting sqref="L29">
    <cfRule type="cellIs" priority="85" operator="lessThanOrEqual" aboveAverage="0" equalAverage="0" bottom="0" percent="0" rank="0" text="" dxfId="0">
      <formula>H29</formula>
    </cfRule>
  </conditionalFormatting>
  <conditionalFormatting sqref="L30">
    <cfRule type="cellIs" priority="86" operator="lessThanOrEqual" aboveAverage="0" equalAverage="0" bottom="0" percent="0" rank="0" text="" dxfId="0">
      <formula>H30</formula>
    </cfRule>
  </conditionalFormatting>
  <conditionalFormatting sqref="L31">
    <cfRule type="cellIs" priority="87" operator="lessThanOrEqual" aboveAverage="0" equalAverage="0" bottom="0" percent="0" rank="0" text="" dxfId="0">
      <formula>H31</formula>
    </cfRule>
  </conditionalFormatting>
  <conditionalFormatting sqref="L32">
    <cfRule type="cellIs" priority="88" operator="lessThanOrEqual" aboveAverage="0" equalAverage="0" bottom="0" percent="0" rank="0" text="" dxfId="0">
      <formula>H32</formula>
    </cfRule>
  </conditionalFormatting>
  <conditionalFormatting sqref="L33">
    <cfRule type="cellIs" priority="89" operator="lessThanOrEqual" aboveAverage="0" equalAverage="0" bottom="0" percent="0" rank="0" text="" dxfId="0">
      <formula>H33</formula>
    </cfRule>
  </conditionalFormatting>
  <conditionalFormatting sqref="L34">
    <cfRule type="cellIs" priority="90" operator="lessThanOrEqual" aboveAverage="0" equalAverage="0" bottom="0" percent="0" rank="0" text="" dxfId="0">
      <formula>H34</formula>
    </cfRule>
  </conditionalFormatting>
  <conditionalFormatting sqref="L36">
    <cfRule type="cellIs" priority="91" operator="lessThanOrEqual" aboveAverage="0" equalAverage="0" bottom="0" percent="0" rank="0" text="" dxfId="0">
      <formula>H36</formula>
    </cfRule>
  </conditionalFormatting>
  <conditionalFormatting sqref="L37">
    <cfRule type="cellIs" priority="92" operator="lessThanOrEqual" aboveAverage="0" equalAverage="0" bottom="0" percent="0" rank="0" text="" dxfId="0">
      <formula>H37</formula>
    </cfRule>
  </conditionalFormatting>
  <conditionalFormatting sqref="L38">
    <cfRule type="cellIs" priority="93" operator="lessThanOrEqual" aboveAverage="0" equalAverage="0" bottom="0" percent="0" rank="0" text="" dxfId="0">
      <formula>H38</formula>
    </cfRule>
  </conditionalFormatting>
  <conditionalFormatting sqref="L40">
    <cfRule type="cellIs" priority="94" operator="lessThanOrEqual" aboveAverage="0" equalAverage="0" bottom="0" percent="0" rank="0" text="" dxfId="0">
      <formula>H40</formula>
    </cfRule>
  </conditionalFormatting>
  <conditionalFormatting sqref="L41">
    <cfRule type="cellIs" priority="95" operator="lessThanOrEqual" aboveAverage="0" equalAverage="0" bottom="0" percent="0" rank="0" text="" dxfId="0">
      <formula>H41</formula>
    </cfRule>
  </conditionalFormatting>
  <conditionalFormatting sqref="L42">
    <cfRule type="cellIs" priority="96" operator="lessThanOrEqual" aboveAverage="0" equalAverage="0" bottom="0" percent="0" rank="0" text="" dxfId="0">
      <formula>H42</formula>
    </cfRule>
  </conditionalFormatting>
  <conditionalFormatting sqref="L43">
    <cfRule type="cellIs" priority="97" operator="lessThanOrEqual" aboveAverage="0" equalAverage="0" bottom="0" percent="0" rank="0" text="" dxfId="0">
      <formula>H43</formula>
    </cfRule>
  </conditionalFormatting>
  <conditionalFormatting sqref="L44">
    <cfRule type="cellIs" priority="98" operator="lessThanOrEqual" aboveAverage="0" equalAverage="0" bottom="0" percent="0" rank="0" text="" dxfId="0">
      <formula>H44</formula>
    </cfRule>
  </conditionalFormatting>
  <conditionalFormatting sqref="L45">
    <cfRule type="cellIs" priority="99" operator="lessThanOrEqual" aboveAverage="0" equalAverage="0" bottom="0" percent="0" rank="0" text="" dxfId="0">
      <formula>H45</formula>
    </cfRule>
  </conditionalFormatting>
  <conditionalFormatting sqref="L46">
    <cfRule type="cellIs" priority="100" operator="lessThanOrEqual" aboveAverage="0" equalAverage="0" bottom="0" percent="0" rank="0" text="" dxfId="0">
      <formula>H46</formula>
    </cfRule>
  </conditionalFormatting>
  <conditionalFormatting sqref="L47">
    <cfRule type="cellIs" priority="101" operator="lessThanOrEqual" aboveAverage="0" equalAverage="0" bottom="0" percent="0" rank="0" text="" dxfId="0">
      <formula>H47</formula>
    </cfRule>
  </conditionalFormatting>
  <conditionalFormatting sqref="L48">
    <cfRule type="cellIs" priority="102" operator="lessThanOrEqual" aboveAverage="0" equalAverage="0" bottom="0" percent="0" rank="0" text="" dxfId="0">
      <formula>H48</formula>
    </cfRule>
  </conditionalFormatting>
  <conditionalFormatting sqref="L49">
    <cfRule type="cellIs" priority="103" operator="lessThanOrEqual" aboveAverage="0" equalAverage="0" bottom="0" percent="0" rank="0" text="" dxfId="0">
      <formula>H49</formula>
    </cfRule>
  </conditionalFormatting>
  <conditionalFormatting sqref="L50">
    <cfRule type="cellIs" priority="104" operator="lessThanOrEqual" aboveAverage="0" equalAverage="0" bottom="0" percent="0" rank="0" text="" dxfId="0">
      <formula>H50</formula>
    </cfRule>
  </conditionalFormatting>
  <conditionalFormatting sqref="L51">
    <cfRule type="cellIs" priority="105" operator="lessThanOrEqual" aboveAverage="0" equalAverage="0" bottom="0" percent="0" rank="0" text="" dxfId="0">
      <formula>H51</formula>
    </cfRule>
  </conditionalFormatting>
  <conditionalFormatting sqref="L52">
    <cfRule type="cellIs" priority="106" operator="lessThanOrEqual" aboveAverage="0" equalAverage="0" bottom="0" percent="0" rank="0" text="" dxfId="0">
      <formula>H52</formula>
    </cfRule>
  </conditionalFormatting>
  <conditionalFormatting sqref="L53">
    <cfRule type="cellIs" priority="107" operator="lessThanOrEqual" aboveAverage="0" equalAverage="0" bottom="0" percent="0" rank="0" text="" dxfId="0">
      <formula>H53</formula>
    </cfRule>
  </conditionalFormatting>
  <conditionalFormatting sqref="L54">
    <cfRule type="cellIs" priority="108" operator="lessThanOrEqual" aboveAverage="0" equalAverage="0" bottom="0" percent="0" rank="0" text="" dxfId="0">
      <formula>H54</formula>
    </cfRule>
  </conditionalFormatting>
  <conditionalFormatting sqref="L55">
    <cfRule type="cellIs" priority="109" operator="lessThanOrEqual" aboveAverage="0" equalAverage="0" bottom="0" percent="0" rank="0" text="" dxfId="0">
      <formula>H55</formula>
    </cfRule>
  </conditionalFormatting>
  <conditionalFormatting sqref="L56">
    <cfRule type="cellIs" priority="110" operator="lessThanOrEqual" aboveAverage="0" equalAverage="0" bottom="0" percent="0" rank="0" text="" dxfId="0">
      <formula>H56</formula>
    </cfRule>
  </conditionalFormatting>
  <conditionalFormatting sqref="L57">
    <cfRule type="cellIs" priority="111" operator="lessThanOrEqual" aboveAverage="0" equalAverage="0" bottom="0" percent="0" rank="0" text="" dxfId="0">
      <formula>H57</formula>
    </cfRule>
  </conditionalFormatting>
  <conditionalFormatting sqref="L58">
    <cfRule type="cellIs" priority="112" operator="lessThanOrEqual" aboveAverage="0" equalAverage="0" bottom="0" percent="0" rank="0" text="" dxfId="0">
      <formula>H58</formula>
    </cfRule>
  </conditionalFormatting>
  <conditionalFormatting sqref="L59">
    <cfRule type="cellIs" priority="113" operator="lessThanOrEqual" aboveAverage="0" equalAverage="0" bottom="0" percent="0" rank="0" text="" dxfId="0">
      <formula>H59</formula>
    </cfRule>
  </conditionalFormatting>
  <conditionalFormatting sqref="L60">
    <cfRule type="cellIs" priority="114" operator="lessThanOrEqual" aboveAverage="0" equalAverage="0" bottom="0" percent="0" rank="0" text="" dxfId="0">
      <formula>H60</formula>
    </cfRule>
  </conditionalFormatting>
  <conditionalFormatting sqref="L61">
    <cfRule type="cellIs" priority="115" operator="lessThanOrEqual" aboveAverage="0" equalAverage="0" bottom="0" percent="0" rank="0" text="" dxfId="0">
      <formula>H61</formula>
    </cfRule>
  </conditionalFormatting>
  <conditionalFormatting sqref="L62">
    <cfRule type="cellIs" priority="116" operator="lessThanOrEqual" aboveAverage="0" equalAverage="0" bottom="0" percent="0" rank="0" text="" dxfId="0">
      <formula>H62</formula>
    </cfRule>
  </conditionalFormatting>
  <conditionalFormatting sqref="L64">
    <cfRule type="cellIs" priority="117" operator="lessThanOrEqual" aboveAverage="0" equalAverage="0" bottom="0" percent="0" rank="0" text="" dxfId="0">
      <formula>H64</formula>
    </cfRule>
  </conditionalFormatting>
  <conditionalFormatting sqref="L65">
    <cfRule type="cellIs" priority="118" operator="lessThanOrEqual" aboveAverage="0" equalAverage="0" bottom="0" percent="0" rank="0" text="" dxfId="0">
      <formula>H65</formula>
    </cfRule>
  </conditionalFormatting>
  <conditionalFormatting sqref="L66">
    <cfRule type="cellIs" priority="119" operator="lessThanOrEqual" aboveAverage="0" equalAverage="0" bottom="0" percent="0" rank="0" text="" dxfId="0">
      <formula>H66</formula>
    </cfRule>
  </conditionalFormatting>
  <conditionalFormatting sqref="L67">
    <cfRule type="cellIs" priority="120" operator="lessThanOrEqual" aboveAverage="0" equalAverage="0" bottom="0" percent="0" rank="0" text="" dxfId="0">
      <formula>H67</formula>
    </cfRule>
  </conditionalFormatting>
  <conditionalFormatting sqref="L68">
    <cfRule type="cellIs" priority="121" operator="lessThanOrEqual" aboveAverage="0" equalAverage="0" bottom="0" percent="0" rank="0" text="" dxfId="0">
      <formula>H68</formula>
    </cfRule>
  </conditionalFormatting>
  <conditionalFormatting sqref="L69">
    <cfRule type="cellIs" priority="122" operator="lessThanOrEqual" aboveAverage="0" equalAverage="0" bottom="0" percent="0" rank="0" text="" dxfId="0">
      <formula>H69</formula>
    </cfRule>
  </conditionalFormatting>
  <conditionalFormatting sqref="L7">
    <cfRule type="cellIs" priority="123" operator="lessThanOrEqual" aboveAverage="0" equalAverage="0" bottom="0" percent="0" rank="0" text="" dxfId="0">
      <formula>H7</formula>
    </cfRule>
  </conditionalFormatting>
  <conditionalFormatting sqref="L70">
    <cfRule type="cellIs" priority="124" operator="lessThanOrEqual" aboveAverage="0" equalAverage="0" bottom="0" percent="0" rank="0" text="" dxfId="0">
      <formula>H70</formula>
    </cfRule>
  </conditionalFormatting>
  <conditionalFormatting sqref="L72">
    <cfRule type="cellIs" priority="125" operator="lessThanOrEqual" aboveAverage="0" equalAverage="0" bottom="0" percent="0" rank="0" text="" dxfId="0">
      <formula>H72</formula>
    </cfRule>
  </conditionalFormatting>
  <conditionalFormatting sqref="L74">
    <cfRule type="cellIs" priority="126" operator="lessThanOrEqual" aboveAverage="0" equalAverage="0" bottom="0" percent="0" rank="0" text="" dxfId="0">
      <formula>H74</formula>
    </cfRule>
  </conditionalFormatting>
  <conditionalFormatting sqref="L76">
    <cfRule type="cellIs" priority="127" operator="lessThanOrEqual" aboveAverage="0" equalAverage="0" bottom="0" percent="0" rank="0" text="" dxfId="0">
      <formula>H76</formula>
    </cfRule>
  </conditionalFormatting>
  <conditionalFormatting sqref="L77">
    <cfRule type="cellIs" priority="128" operator="lessThanOrEqual" aboveAverage="0" equalAverage="0" bottom="0" percent="0" rank="0" text="" dxfId="0">
      <formula>H77</formula>
    </cfRule>
  </conditionalFormatting>
  <conditionalFormatting sqref="L78">
    <cfRule type="cellIs" priority="129" operator="lessThanOrEqual" aboveAverage="0" equalAverage="0" bottom="0" percent="0" rank="0" text="" dxfId="0">
      <formula>H78</formula>
    </cfRule>
  </conditionalFormatting>
  <conditionalFormatting sqref="L79">
    <cfRule type="cellIs" priority="130" operator="lessThanOrEqual" aboveAverage="0" equalAverage="0" bottom="0" percent="0" rank="0" text="" dxfId="0">
      <formula>H79</formula>
    </cfRule>
  </conditionalFormatting>
  <conditionalFormatting sqref="L8">
    <cfRule type="cellIs" priority="131" operator="lessThanOrEqual" aboveAverage="0" equalAverage="0" bottom="0" percent="0" rank="0" text="" dxfId="0">
      <formula>H8</formula>
    </cfRule>
  </conditionalFormatting>
  <conditionalFormatting sqref="L81">
    <cfRule type="cellIs" priority="132" operator="lessThanOrEqual" aboveAverage="0" equalAverage="0" bottom="0" percent="0" rank="0" text="" dxfId="0">
      <formula>H81</formula>
    </cfRule>
  </conditionalFormatting>
  <conditionalFormatting sqref="L82">
    <cfRule type="cellIs" priority="133" operator="lessThanOrEqual" aboveAverage="0" equalAverage="0" bottom="0" percent="0" rank="0" text="" dxfId="0">
      <formula>H82</formula>
    </cfRule>
  </conditionalFormatting>
  <conditionalFormatting sqref="L83">
    <cfRule type="cellIs" priority="134" operator="lessThanOrEqual" aboveAverage="0" equalAverage="0" bottom="0" percent="0" rank="0" text="" dxfId="0">
      <formula>H83</formula>
    </cfRule>
  </conditionalFormatting>
  <conditionalFormatting sqref="L84">
    <cfRule type="cellIs" priority="135" operator="lessThanOrEqual" aboveAverage="0" equalAverage="0" bottom="0" percent="0" rank="0" text="" dxfId="0">
      <formula>H84</formula>
    </cfRule>
  </conditionalFormatting>
  <conditionalFormatting sqref="L85">
    <cfRule type="cellIs" priority="136" operator="lessThanOrEqual" aboveAverage="0" equalAverage="0" bottom="0" percent="0" rank="0" text="" dxfId="0">
      <formula>H85</formula>
    </cfRule>
  </conditionalFormatting>
  <conditionalFormatting sqref="L87">
    <cfRule type="cellIs" priority="137" operator="lessThanOrEqual" aboveAverage="0" equalAverage="0" bottom="0" percent="0" rank="0" text="" dxfId="0">
      <formula>H87</formula>
    </cfRule>
  </conditionalFormatting>
  <conditionalFormatting sqref="L88">
    <cfRule type="cellIs" priority="138" operator="lessThanOrEqual" aboveAverage="0" equalAverage="0" bottom="0" percent="0" rank="0" text="" dxfId="0">
      <formula>H88</formula>
    </cfRule>
  </conditionalFormatting>
  <conditionalFormatting sqref="L89">
    <cfRule type="cellIs" priority="139" operator="lessThanOrEqual" aboveAverage="0" equalAverage="0" bottom="0" percent="0" rank="0" text="" dxfId="0">
      <formula>H89</formula>
    </cfRule>
  </conditionalFormatting>
  <conditionalFormatting sqref="L9">
    <cfRule type="cellIs" priority="140" operator="lessThanOrEqual" aboveAverage="0" equalAverage="0" bottom="0" percent="0" rank="0" text="" dxfId="0">
      <formula>H9</formula>
    </cfRule>
  </conditionalFormatting>
  <conditionalFormatting sqref="L90">
    <cfRule type="cellIs" priority="141" operator="lessThanOrEqual" aboveAverage="0" equalAverage="0" bottom="0" percent="0" rank="0" text="" dxfId="0">
      <formula>H90</formula>
    </cfRule>
  </conditionalFormatting>
  <conditionalFormatting sqref="L91">
    <cfRule type="cellIs" priority="142" operator="lessThanOrEqual" aboveAverage="0" equalAverage="0" bottom="0" percent="0" rank="0" text="" dxfId="0">
      <formula>H91</formula>
    </cfRule>
  </conditionalFormatting>
  <conditionalFormatting sqref="L92">
    <cfRule type="cellIs" priority="143" operator="lessThanOrEqual" aboveAverage="0" equalAverage="0" bottom="0" percent="0" rank="0" text="" dxfId="0">
      <formula>H92</formula>
    </cfRule>
  </conditionalFormatting>
  <conditionalFormatting sqref="L93">
    <cfRule type="cellIs" priority="144" operator="lessThanOrEqual" aboveAverage="0" equalAverage="0" bottom="0" percent="0" rank="0" text="" dxfId="0">
      <formula>H93</formula>
    </cfRule>
  </conditionalFormatting>
  <conditionalFormatting sqref="L94">
    <cfRule type="cellIs" priority="145" operator="lessThanOrEqual" aboveAverage="0" equalAverage="0" bottom="0" percent="0" rank="0" text="" dxfId="0">
      <formula>H94</formula>
    </cfRule>
  </conditionalFormatting>
  <conditionalFormatting sqref="L95">
    <cfRule type="cellIs" priority="146" operator="lessThanOrEqual" aboveAverage="0" equalAverage="0" bottom="0" percent="0" rank="0" text="" dxfId="0">
      <formula>H95</formula>
    </cfRule>
  </conditionalFormatting>
  <conditionalFormatting sqref="L96">
    <cfRule type="cellIs" priority="147" operator="lessThanOrEqual" aboveAverage="0" equalAverage="0" bottom="0" percent="0" rank="0" text="" dxfId="0">
      <formula>H96</formula>
    </cfRule>
  </conditionalFormatting>
  <conditionalFormatting sqref="L97">
    <cfRule type="cellIs" priority="148" operator="lessThanOrEqual" aboveAverage="0" equalAverage="0" bottom="0" percent="0" rank="0" text="" dxfId="0">
      <formula>H97</formula>
    </cfRule>
  </conditionalFormatting>
  <conditionalFormatting sqref="L98">
    <cfRule type="cellIs" priority="149" operator="lessThanOrEqual" aboveAverage="0" equalAverage="0" bottom="0" percent="0" rank="0" text="" dxfId="0">
      <formula>H98</formula>
    </cfRule>
  </conditionalFormatting>
  <conditionalFormatting sqref="L99">
    <cfRule type="cellIs" priority="150" operator="lessThanOrEqual" aboveAverage="0" equalAverage="0" bottom="0" percent="0" rank="0" text="" dxfId="0">
      <formula>H99</formula>
    </cfRule>
  </conditionalFormatting>
  <conditionalFormatting sqref="M10">
    <cfRule type="cellIs" priority="151" operator="lessThanOrEqual" aboveAverage="0" equalAverage="0" bottom="0" percent="0" rank="0" text="" dxfId="0">
      <formula>I10</formula>
    </cfRule>
  </conditionalFormatting>
  <conditionalFormatting sqref="M100">
    <cfRule type="cellIs" priority="152" operator="lessThanOrEqual" aboveAverage="0" equalAverage="0" bottom="0" percent="0" rank="0" text="" dxfId="0">
      <formula>I100</formula>
    </cfRule>
  </conditionalFormatting>
  <conditionalFormatting sqref="M101">
    <cfRule type="cellIs" priority="153" operator="lessThanOrEqual" aboveAverage="0" equalAverage="0" bottom="0" percent="0" rank="0" text="" dxfId="0">
      <formula>I101</formula>
    </cfRule>
  </conditionalFormatting>
  <conditionalFormatting sqref="M103">
    <cfRule type="cellIs" priority="154" operator="lessThanOrEqual" aboveAverage="0" equalAverage="0" bottom="0" percent="0" rank="0" text="" dxfId="0">
      <formula>I103</formula>
    </cfRule>
  </conditionalFormatting>
  <conditionalFormatting sqref="M104">
    <cfRule type="cellIs" priority="155" operator="lessThanOrEqual" aboveAverage="0" equalAverage="0" bottom="0" percent="0" rank="0" text="" dxfId="0">
      <formula>I104</formula>
    </cfRule>
  </conditionalFormatting>
  <conditionalFormatting sqref="M105">
    <cfRule type="cellIs" priority="156" operator="lessThanOrEqual" aboveAverage="0" equalAverage="0" bottom="0" percent="0" rank="0" text="" dxfId="0">
      <formula>I105</formula>
    </cfRule>
  </conditionalFormatting>
  <conditionalFormatting sqref="M106">
    <cfRule type="cellIs" priority="157" operator="lessThanOrEqual" aboveAverage="0" equalAverage="0" bottom="0" percent="0" rank="0" text="" dxfId="0">
      <formula>I106</formula>
    </cfRule>
  </conditionalFormatting>
  <conditionalFormatting sqref="M107">
    <cfRule type="cellIs" priority="158" operator="lessThanOrEqual" aboveAverage="0" equalAverage="0" bottom="0" percent="0" rank="0" text="" dxfId="0">
      <formula>I107</formula>
    </cfRule>
  </conditionalFormatting>
  <conditionalFormatting sqref="M108">
    <cfRule type="cellIs" priority="159" operator="lessThanOrEqual" aboveAverage="0" equalAverage="0" bottom="0" percent="0" rank="0" text="" dxfId="0">
      <formula>I108</formula>
    </cfRule>
  </conditionalFormatting>
  <conditionalFormatting sqref="M109">
    <cfRule type="cellIs" priority="160" operator="lessThanOrEqual" aboveAverage="0" equalAverage="0" bottom="0" percent="0" rank="0" text="" dxfId="0">
      <formula>I109</formula>
    </cfRule>
  </conditionalFormatting>
  <conditionalFormatting sqref="M11">
    <cfRule type="cellIs" priority="161" operator="lessThanOrEqual" aboveAverage="0" equalAverage="0" bottom="0" percent="0" rank="0" text="" dxfId="0">
      <formula>I11</formula>
    </cfRule>
  </conditionalFormatting>
  <conditionalFormatting sqref="M110">
    <cfRule type="cellIs" priority="162" operator="lessThanOrEqual" aboveAverage="0" equalAverage="0" bottom="0" percent="0" rank="0" text="" dxfId="0">
      <formula>I110</formula>
    </cfRule>
  </conditionalFormatting>
  <conditionalFormatting sqref="M111">
    <cfRule type="cellIs" priority="163" operator="lessThanOrEqual" aboveAverage="0" equalAverage="0" bottom="0" percent="0" rank="0" text="" dxfId="0">
      <formula>I111</formula>
    </cfRule>
  </conditionalFormatting>
  <conditionalFormatting sqref="M112">
    <cfRule type="cellIs" priority="164" operator="lessThanOrEqual" aboveAverage="0" equalAverage="0" bottom="0" percent="0" rank="0" text="" dxfId="0">
      <formula>I112</formula>
    </cfRule>
  </conditionalFormatting>
  <conditionalFormatting sqref="M113">
    <cfRule type="cellIs" priority="165" operator="lessThanOrEqual" aboveAverage="0" equalAverage="0" bottom="0" percent="0" rank="0" text="" dxfId="0">
      <formula>I113</formula>
    </cfRule>
  </conditionalFormatting>
  <conditionalFormatting sqref="M115">
    <cfRule type="cellIs" priority="166" operator="lessThanOrEqual" aboveAverage="0" equalAverage="0" bottom="0" percent="0" rank="0" text="" dxfId="0">
      <formula>I115</formula>
    </cfRule>
  </conditionalFormatting>
  <conditionalFormatting sqref="M116">
    <cfRule type="cellIs" priority="167" operator="lessThanOrEqual" aboveAverage="0" equalAverage="0" bottom="0" percent="0" rank="0" text="" dxfId="0">
      <formula>I116</formula>
    </cfRule>
  </conditionalFormatting>
  <conditionalFormatting sqref="M117">
    <cfRule type="cellIs" priority="168" operator="lessThanOrEqual" aboveAverage="0" equalAverage="0" bottom="0" percent="0" rank="0" text="" dxfId="0">
      <formula>I117</formula>
    </cfRule>
  </conditionalFormatting>
  <conditionalFormatting sqref="M118">
    <cfRule type="cellIs" priority="169" operator="lessThanOrEqual" aboveAverage="0" equalAverage="0" bottom="0" percent="0" rank="0" text="" dxfId="0">
      <formula>I118</formula>
    </cfRule>
  </conditionalFormatting>
  <conditionalFormatting sqref="M119">
    <cfRule type="cellIs" priority="170" operator="lessThanOrEqual" aboveAverage="0" equalAverage="0" bottom="0" percent="0" rank="0" text="" dxfId="0">
      <formula>I119</formula>
    </cfRule>
  </conditionalFormatting>
  <conditionalFormatting sqref="M12">
    <cfRule type="cellIs" priority="171" operator="lessThanOrEqual" aboveAverage="0" equalAverage="0" bottom="0" percent="0" rank="0" text="" dxfId="0">
      <formula>I12</formula>
    </cfRule>
  </conditionalFormatting>
  <conditionalFormatting sqref="M120">
    <cfRule type="cellIs" priority="172" operator="lessThanOrEqual" aboveAverage="0" equalAverage="0" bottom="0" percent="0" rank="0" text="" dxfId="0">
      <formula>I120</formula>
    </cfRule>
  </conditionalFormatting>
  <conditionalFormatting sqref="M121">
    <cfRule type="cellIs" priority="173" operator="lessThanOrEqual" aboveAverage="0" equalAverage="0" bottom="0" percent="0" rank="0" text="" dxfId="0">
      <formula>I121</formula>
    </cfRule>
  </conditionalFormatting>
  <conditionalFormatting sqref="M122">
    <cfRule type="cellIs" priority="174" operator="lessThanOrEqual" aboveAverage="0" equalAverage="0" bottom="0" percent="0" rank="0" text="" dxfId="0">
      <formula>I122</formula>
    </cfRule>
  </conditionalFormatting>
  <conditionalFormatting sqref="M123">
    <cfRule type="cellIs" priority="175" operator="lessThanOrEqual" aboveAverage="0" equalAverage="0" bottom="0" percent="0" rank="0" text="" dxfId="0">
      <formula>I123</formula>
    </cfRule>
  </conditionalFormatting>
  <conditionalFormatting sqref="M124">
    <cfRule type="cellIs" priority="176" operator="lessThanOrEqual" aboveAverage="0" equalAverage="0" bottom="0" percent="0" rank="0" text="" dxfId="0">
      <formula>I124</formula>
    </cfRule>
  </conditionalFormatting>
  <conditionalFormatting sqref="M125">
    <cfRule type="cellIs" priority="177" operator="lessThanOrEqual" aboveAverage="0" equalAverage="0" bottom="0" percent="0" rank="0" text="" dxfId="0">
      <formula>I125</formula>
    </cfRule>
  </conditionalFormatting>
  <conditionalFormatting sqref="M126">
    <cfRule type="cellIs" priority="178" operator="lessThanOrEqual" aboveAverage="0" equalAverage="0" bottom="0" percent="0" rank="0" text="" dxfId="0">
      <formula>I126</formula>
    </cfRule>
  </conditionalFormatting>
  <conditionalFormatting sqref="M127">
    <cfRule type="cellIs" priority="179" operator="lessThanOrEqual" aboveAverage="0" equalAverage="0" bottom="0" percent="0" rank="0" text="" dxfId="0">
      <formula>I127</formula>
    </cfRule>
  </conditionalFormatting>
  <conditionalFormatting sqref="M128">
    <cfRule type="cellIs" priority="180" operator="lessThanOrEqual" aboveAverage="0" equalAverage="0" bottom="0" percent="0" rank="0" text="" dxfId="0">
      <formula>I128</formula>
    </cfRule>
  </conditionalFormatting>
  <conditionalFormatting sqref="M129">
    <cfRule type="cellIs" priority="181" operator="lessThanOrEqual" aboveAverage="0" equalAverage="0" bottom="0" percent="0" rank="0" text="" dxfId="0">
      <formula>I129</formula>
    </cfRule>
  </conditionalFormatting>
  <conditionalFormatting sqref="M130">
    <cfRule type="cellIs" priority="182" operator="lessThanOrEqual" aboveAverage="0" equalAverage="0" bottom="0" percent="0" rank="0" text="" dxfId="0">
      <formula>I130</formula>
    </cfRule>
  </conditionalFormatting>
  <conditionalFormatting sqref="M131">
    <cfRule type="cellIs" priority="183" operator="lessThanOrEqual" aboveAverage="0" equalAverage="0" bottom="0" percent="0" rank="0" text="" dxfId="0">
      <formula>I131</formula>
    </cfRule>
  </conditionalFormatting>
  <conditionalFormatting sqref="M132">
    <cfRule type="cellIs" priority="184" operator="lessThanOrEqual" aboveAverage="0" equalAverage="0" bottom="0" percent="0" rank="0" text="" dxfId="0">
      <formula>I132</formula>
    </cfRule>
  </conditionalFormatting>
  <conditionalFormatting sqref="M133">
    <cfRule type="cellIs" priority="185" operator="lessThanOrEqual" aboveAverage="0" equalAverage="0" bottom="0" percent="0" rank="0" text="" dxfId="0">
      <formula>I133</formula>
    </cfRule>
  </conditionalFormatting>
  <conditionalFormatting sqref="M134">
    <cfRule type="cellIs" priority="186" operator="lessThanOrEqual" aboveAverage="0" equalAverage="0" bottom="0" percent="0" rank="0" text="" dxfId="0">
      <formula>I134</formula>
    </cfRule>
  </conditionalFormatting>
  <conditionalFormatting sqref="M135">
    <cfRule type="cellIs" priority="187" operator="lessThanOrEqual" aboveAverage="0" equalAverage="0" bottom="0" percent="0" rank="0" text="" dxfId="0">
      <formula>I135</formula>
    </cfRule>
  </conditionalFormatting>
  <conditionalFormatting sqref="M137">
    <cfRule type="cellIs" priority="188" operator="lessThanOrEqual" aboveAverage="0" equalAverage="0" bottom="0" percent="0" rank="0" text="" dxfId="0">
      <formula>I137</formula>
    </cfRule>
  </conditionalFormatting>
  <conditionalFormatting sqref="M138">
    <cfRule type="cellIs" priority="189" operator="lessThanOrEqual" aboveAverage="0" equalAverage="0" bottom="0" percent="0" rank="0" text="" dxfId="0">
      <formula>I138</formula>
    </cfRule>
  </conditionalFormatting>
  <conditionalFormatting sqref="M139">
    <cfRule type="cellIs" priority="190" operator="lessThanOrEqual" aboveAverage="0" equalAverage="0" bottom="0" percent="0" rank="0" text="" dxfId="0">
      <formula>I139</formula>
    </cfRule>
  </conditionalFormatting>
  <conditionalFormatting sqref="M14">
    <cfRule type="cellIs" priority="191" operator="lessThanOrEqual" aboveAverage="0" equalAverage="0" bottom="0" percent="0" rank="0" text="" dxfId="0">
      <formula>I14</formula>
    </cfRule>
  </conditionalFormatting>
  <conditionalFormatting sqref="M140">
    <cfRule type="cellIs" priority="192" operator="lessThanOrEqual" aboveAverage="0" equalAverage="0" bottom="0" percent="0" rank="0" text="" dxfId="0">
      <formula>I140</formula>
    </cfRule>
  </conditionalFormatting>
  <conditionalFormatting sqref="M142">
    <cfRule type="cellIs" priority="193" operator="lessThanOrEqual" aboveAverage="0" equalAverage="0" bottom="0" percent="0" rank="0" text="" dxfId="0">
      <formula>I142</formula>
    </cfRule>
  </conditionalFormatting>
  <conditionalFormatting sqref="M143">
    <cfRule type="cellIs" priority="194" operator="lessThanOrEqual" aboveAverage="0" equalAverage="0" bottom="0" percent="0" rank="0" text="" dxfId="0">
      <formula>I143</formula>
    </cfRule>
  </conditionalFormatting>
  <conditionalFormatting sqref="M144">
    <cfRule type="cellIs" priority="195" operator="lessThanOrEqual" aboveAverage="0" equalAverage="0" bottom="0" percent="0" rank="0" text="" dxfId="0">
      <formula>I144</formula>
    </cfRule>
  </conditionalFormatting>
  <conditionalFormatting sqref="M145">
    <cfRule type="cellIs" priority="196" operator="lessThanOrEqual" aboveAverage="0" equalAverage="0" bottom="0" percent="0" rank="0" text="" dxfId="0">
      <formula>I145</formula>
    </cfRule>
  </conditionalFormatting>
  <conditionalFormatting sqref="M146">
    <cfRule type="cellIs" priority="197" operator="lessThanOrEqual" aboveAverage="0" equalAverage="0" bottom="0" percent="0" rank="0" text="" dxfId="0">
      <formula>I146</formula>
    </cfRule>
  </conditionalFormatting>
  <conditionalFormatting sqref="M147">
    <cfRule type="cellIs" priority="198" operator="lessThanOrEqual" aboveAverage="0" equalAverage="0" bottom="0" percent="0" rank="0" text="" dxfId="0">
      <formula>I147</formula>
    </cfRule>
  </conditionalFormatting>
  <conditionalFormatting sqref="M148">
    <cfRule type="cellIs" priority="199" operator="lessThanOrEqual" aboveAverage="0" equalAverage="0" bottom="0" percent="0" rank="0" text="" dxfId="0">
      <formula>I148</formula>
    </cfRule>
  </conditionalFormatting>
  <conditionalFormatting sqref="M149">
    <cfRule type="cellIs" priority="200" operator="lessThanOrEqual" aboveAverage="0" equalAverage="0" bottom="0" percent="0" rank="0" text="" dxfId="0">
      <formula>I149</formula>
    </cfRule>
  </conditionalFormatting>
  <conditionalFormatting sqref="M15">
    <cfRule type="cellIs" priority="201" operator="lessThanOrEqual" aboveAverage="0" equalAverage="0" bottom="0" percent="0" rank="0" text="" dxfId="0">
      <formula>I15</formula>
    </cfRule>
  </conditionalFormatting>
  <conditionalFormatting sqref="M150">
    <cfRule type="cellIs" priority="202" operator="lessThanOrEqual" aboveAverage="0" equalAverage="0" bottom="0" percent="0" rank="0" text="" dxfId="0">
      <formula>I150</formula>
    </cfRule>
  </conditionalFormatting>
  <conditionalFormatting sqref="M151">
    <cfRule type="cellIs" priority="203" operator="lessThanOrEqual" aboveAverage="0" equalAverage="0" bottom="0" percent="0" rank="0" text="" dxfId="0">
      <formula>I151</formula>
    </cfRule>
  </conditionalFormatting>
  <conditionalFormatting sqref="M152">
    <cfRule type="cellIs" priority="204" operator="lessThanOrEqual" aboveAverage="0" equalAverage="0" bottom="0" percent="0" rank="0" text="" dxfId="0">
      <formula>I152</formula>
    </cfRule>
  </conditionalFormatting>
  <conditionalFormatting sqref="M153">
    <cfRule type="cellIs" priority="205" operator="lessThanOrEqual" aboveAverage="0" equalAverage="0" bottom="0" percent="0" rank="0" text="" dxfId="0">
      <formula>I153</formula>
    </cfRule>
  </conditionalFormatting>
  <conditionalFormatting sqref="M154">
    <cfRule type="cellIs" priority="206" operator="lessThanOrEqual" aboveAverage="0" equalAverage="0" bottom="0" percent="0" rank="0" text="" dxfId="0">
      <formula>I154</formula>
    </cfRule>
  </conditionalFormatting>
  <conditionalFormatting sqref="M155">
    <cfRule type="cellIs" priority="207" operator="lessThanOrEqual" aboveAverage="0" equalAverage="0" bottom="0" percent="0" rank="0" text="" dxfId="0">
      <formula>I155</formula>
    </cfRule>
  </conditionalFormatting>
  <conditionalFormatting sqref="M156">
    <cfRule type="cellIs" priority="208" operator="lessThanOrEqual" aboveAverage="0" equalAverage="0" bottom="0" percent="0" rank="0" text="" dxfId="0">
      <formula>I156</formula>
    </cfRule>
  </conditionalFormatting>
  <conditionalFormatting sqref="M157">
    <cfRule type="cellIs" priority="209" operator="lessThanOrEqual" aboveAverage="0" equalAverage="0" bottom="0" percent="0" rank="0" text="" dxfId="0">
      <formula>I157</formula>
    </cfRule>
  </conditionalFormatting>
  <conditionalFormatting sqref="M158">
    <cfRule type="cellIs" priority="210" operator="lessThanOrEqual" aboveAverage="0" equalAverage="0" bottom="0" percent="0" rank="0" text="" dxfId="0">
      <formula>I158</formula>
    </cfRule>
  </conditionalFormatting>
  <conditionalFormatting sqref="M159">
    <cfRule type="cellIs" priority="211" operator="lessThanOrEqual" aboveAverage="0" equalAverage="0" bottom="0" percent="0" rank="0" text="" dxfId="0">
      <formula>I159</formula>
    </cfRule>
  </conditionalFormatting>
  <conditionalFormatting sqref="M16">
    <cfRule type="cellIs" priority="212" operator="lessThanOrEqual" aboveAverage="0" equalAverage="0" bottom="0" percent="0" rank="0" text="" dxfId="0">
      <formula>I16</formula>
    </cfRule>
  </conditionalFormatting>
  <conditionalFormatting sqref="M161">
    <cfRule type="cellIs" priority="213" operator="lessThanOrEqual" aboveAverage="0" equalAverage="0" bottom="0" percent="0" rank="0" text="" dxfId="0">
      <formula>I161</formula>
    </cfRule>
  </conditionalFormatting>
  <conditionalFormatting sqref="M162">
    <cfRule type="cellIs" priority="214" operator="lessThanOrEqual" aboveAverage="0" equalAverage="0" bottom="0" percent="0" rank="0" text="" dxfId="0">
      <formula>I162</formula>
    </cfRule>
  </conditionalFormatting>
  <conditionalFormatting sqref="M164">
    <cfRule type="cellIs" priority="215" operator="lessThanOrEqual" aboveAverage="0" equalAverage="0" bottom="0" percent="0" rank="0" text="" dxfId="0">
      <formula>I164</formula>
    </cfRule>
  </conditionalFormatting>
  <conditionalFormatting sqref="M165">
    <cfRule type="cellIs" priority="216" operator="lessThanOrEqual" aboveAverage="0" equalAverage="0" bottom="0" percent="0" rank="0" text="" dxfId="0">
      <formula>I165</formula>
    </cfRule>
  </conditionalFormatting>
  <conditionalFormatting sqref="M166">
    <cfRule type="cellIs" priority="217" operator="lessThanOrEqual" aboveAverage="0" equalAverage="0" bottom="0" percent="0" rank="0" text="" dxfId="0">
      <formula>I166</formula>
    </cfRule>
  </conditionalFormatting>
  <conditionalFormatting sqref="M167">
    <cfRule type="cellIs" priority="218" operator="lessThanOrEqual" aboveAverage="0" equalAverage="0" bottom="0" percent="0" rank="0" text="" dxfId="0">
      <formula>I167</formula>
    </cfRule>
  </conditionalFormatting>
  <conditionalFormatting sqref="M168">
    <cfRule type="cellIs" priority="219" operator="lessThanOrEqual" aboveAverage="0" equalAverage="0" bottom="0" percent="0" rank="0" text="" dxfId="0">
      <formula>I168</formula>
    </cfRule>
  </conditionalFormatting>
  <conditionalFormatting sqref="M169">
    <cfRule type="cellIs" priority="220" operator="lessThanOrEqual" aboveAverage="0" equalAverage="0" bottom="0" percent="0" rank="0" text="" dxfId="0">
      <formula>I169</formula>
    </cfRule>
  </conditionalFormatting>
  <conditionalFormatting sqref="M17">
    <cfRule type="cellIs" priority="221" operator="lessThanOrEqual" aboveAverage="0" equalAverage="0" bottom="0" percent="0" rank="0" text="" dxfId="0">
      <formula>I17</formula>
    </cfRule>
  </conditionalFormatting>
  <conditionalFormatting sqref="M170">
    <cfRule type="cellIs" priority="222" operator="lessThanOrEqual" aboveAverage="0" equalAverage="0" bottom="0" percent="0" rank="0" text="" dxfId="0">
      <formula>I170</formula>
    </cfRule>
  </conditionalFormatting>
  <conditionalFormatting sqref="M171">
    <cfRule type="cellIs" priority="223" operator="lessThanOrEqual" aboveAverage="0" equalAverage="0" bottom="0" percent="0" rank="0" text="" dxfId="0">
      <formula>I171</formula>
    </cfRule>
  </conditionalFormatting>
  <conditionalFormatting sqref="M18">
    <cfRule type="cellIs" priority="224" operator="lessThanOrEqual" aboveAverage="0" equalAverage="0" bottom="0" percent="0" rank="0" text="" dxfId="0">
      <formula>I18</formula>
    </cfRule>
  </conditionalFormatting>
  <conditionalFormatting sqref="M19">
    <cfRule type="cellIs" priority="225" operator="lessThanOrEqual" aboveAverage="0" equalAverage="0" bottom="0" percent="0" rank="0" text="" dxfId="0">
      <formula>I19</formula>
    </cfRule>
  </conditionalFormatting>
  <conditionalFormatting sqref="M20">
    <cfRule type="cellIs" priority="226" operator="lessThanOrEqual" aboveAverage="0" equalAverage="0" bottom="0" percent="0" rank="0" text="" dxfId="0">
      <formula>I20</formula>
    </cfRule>
  </conditionalFormatting>
  <conditionalFormatting sqref="M21">
    <cfRule type="cellIs" priority="227" operator="lessThanOrEqual" aboveAverage="0" equalAverage="0" bottom="0" percent="0" rank="0" text="" dxfId="0">
      <formula>I21</formula>
    </cfRule>
  </conditionalFormatting>
  <conditionalFormatting sqref="M22">
    <cfRule type="cellIs" priority="228" operator="lessThanOrEqual" aboveAverage="0" equalAverage="0" bottom="0" percent="0" rank="0" text="" dxfId="0">
      <formula>I22</formula>
    </cfRule>
  </conditionalFormatting>
  <conditionalFormatting sqref="M24">
    <cfRule type="cellIs" priority="229" operator="lessThanOrEqual" aboveAverage="0" equalAverage="0" bottom="0" percent="0" rank="0" text="" dxfId="0">
      <formula>I24</formula>
    </cfRule>
  </conditionalFormatting>
  <conditionalFormatting sqref="M25">
    <cfRule type="cellIs" priority="230" operator="lessThanOrEqual" aboveAverage="0" equalAverage="0" bottom="0" percent="0" rank="0" text="" dxfId="0">
      <formula>I25</formula>
    </cfRule>
  </conditionalFormatting>
  <conditionalFormatting sqref="M26">
    <cfRule type="cellIs" priority="231" operator="lessThanOrEqual" aboveAverage="0" equalAverage="0" bottom="0" percent="0" rank="0" text="" dxfId="0">
      <formula>I26</formula>
    </cfRule>
  </conditionalFormatting>
  <conditionalFormatting sqref="M27">
    <cfRule type="cellIs" priority="232" operator="lessThanOrEqual" aboveAverage="0" equalAverage="0" bottom="0" percent="0" rank="0" text="" dxfId="0">
      <formula>I27</formula>
    </cfRule>
  </conditionalFormatting>
  <conditionalFormatting sqref="M28">
    <cfRule type="cellIs" priority="233" operator="lessThanOrEqual" aboveAverage="0" equalAverage="0" bottom="0" percent="0" rank="0" text="" dxfId="0">
      <formula>I28</formula>
    </cfRule>
  </conditionalFormatting>
  <conditionalFormatting sqref="M29">
    <cfRule type="cellIs" priority="234" operator="lessThanOrEqual" aboveAverage="0" equalAverage="0" bottom="0" percent="0" rank="0" text="" dxfId="0">
      <formula>I29</formula>
    </cfRule>
  </conditionalFormatting>
  <conditionalFormatting sqref="M30">
    <cfRule type="cellIs" priority="235" operator="lessThanOrEqual" aboveAverage="0" equalAverage="0" bottom="0" percent="0" rank="0" text="" dxfId="0">
      <formula>I30</formula>
    </cfRule>
  </conditionalFormatting>
  <conditionalFormatting sqref="M31">
    <cfRule type="cellIs" priority="236" operator="lessThanOrEqual" aboveAverage="0" equalAverage="0" bottom="0" percent="0" rank="0" text="" dxfId="0">
      <formula>I31</formula>
    </cfRule>
  </conditionalFormatting>
  <conditionalFormatting sqref="M32">
    <cfRule type="cellIs" priority="237" operator="lessThanOrEqual" aboveAverage="0" equalAverage="0" bottom="0" percent="0" rank="0" text="" dxfId="0">
      <formula>I32</formula>
    </cfRule>
  </conditionalFormatting>
  <conditionalFormatting sqref="M33">
    <cfRule type="cellIs" priority="238" operator="lessThanOrEqual" aboveAverage="0" equalAverage="0" bottom="0" percent="0" rank="0" text="" dxfId="0">
      <formula>I33</formula>
    </cfRule>
  </conditionalFormatting>
  <conditionalFormatting sqref="M34">
    <cfRule type="cellIs" priority="239" operator="lessThanOrEqual" aboveAverage="0" equalAverage="0" bottom="0" percent="0" rank="0" text="" dxfId="0">
      <formula>I34</formula>
    </cfRule>
  </conditionalFormatting>
  <conditionalFormatting sqref="M36">
    <cfRule type="cellIs" priority="240" operator="lessThanOrEqual" aboveAverage="0" equalAverage="0" bottom="0" percent="0" rank="0" text="" dxfId="0">
      <formula>I36</formula>
    </cfRule>
  </conditionalFormatting>
  <conditionalFormatting sqref="M37">
    <cfRule type="cellIs" priority="241" operator="lessThanOrEqual" aboveAverage="0" equalAverage="0" bottom="0" percent="0" rank="0" text="" dxfId="0">
      <formula>I37</formula>
    </cfRule>
  </conditionalFormatting>
  <conditionalFormatting sqref="M38">
    <cfRule type="cellIs" priority="242" operator="lessThanOrEqual" aboveAverage="0" equalAverage="0" bottom="0" percent="0" rank="0" text="" dxfId="0">
      <formula>I38</formula>
    </cfRule>
  </conditionalFormatting>
  <conditionalFormatting sqref="M40">
    <cfRule type="cellIs" priority="243" operator="lessThanOrEqual" aboveAverage="0" equalAverage="0" bottom="0" percent="0" rank="0" text="" dxfId="0">
      <formula>I40</formula>
    </cfRule>
  </conditionalFormatting>
  <conditionalFormatting sqref="M41">
    <cfRule type="cellIs" priority="244" operator="lessThanOrEqual" aboveAverage="0" equalAverage="0" bottom="0" percent="0" rank="0" text="" dxfId="0">
      <formula>I41</formula>
    </cfRule>
  </conditionalFormatting>
  <conditionalFormatting sqref="M42">
    <cfRule type="cellIs" priority="245" operator="lessThanOrEqual" aboveAverage="0" equalAverage="0" bottom="0" percent="0" rank="0" text="" dxfId="0">
      <formula>I42</formula>
    </cfRule>
  </conditionalFormatting>
  <conditionalFormatting sqref="M43">
    <cfRule type="cellIs" priority="246" operator="lessThanOrEqual" aboveAverage="0" equalAverage="0" bottom="0" percent="0" rank="0" text="" dxfId="0">
      <formula>I43</formula>
    </cfRule>
  </conditionalFormatting>
  <conditionalFormatting sqref="M44">
    <cfRule type="cellIs" priority="247" operator="lessThanOrEqual" aboveAverage="0" equalAverage="0" bottom="0" percent="0" rank="0" text="" dxfId="0">
      <formula>I44</formula>
    </cfRule>
  </conditionalFormatting>
  <conditionalFormatting sqref="M45">
    <cfRule type="cellIs" priority="248" operator="lessThanOrEqual" aboveAverage="0" equalAverage="0" bottom="0" percent="0" rank="0" text="" dxfId="0">
      <formula>I45</formula>
    </cfRule>
  </conditionalFormatting>
  <conditionalFormatting sqref="M46">
    <cfRule type="cellIs" priority="249" operator="lessThanOrEqual" aboveAverage="0" equalAverage="0" bottom="0" percent="0" rank="0" text="" dxfId="0">
      <formula>I46</formula>
    </cfRule>
  </conditionalFormatting>
  <conditionalFormatting sqref="M47">
    <cfRule type="cellIs" priority="250" operator="lessThanOrEqual" aboveAverage="0" equalAverage="0" bottom="0" percent="0" rank="0" text="" dxfId="0">
      <formula>I47</formula>
    </cfRule>
  </conditionalFormatting>
  <conditionalFormatting sqref="M48">
    <cfRule type="cellIs" priority="251" operator="lessThanOrEqual" aboveAverage="0" equalAverage="0" bottom="0" percent="0" rank="0" text="" dxfId="0">
      <formula>I48</formula>
    </cfRule>
  </conditionalFormatting>
  <conditionalFormatting sqref="M49">
    <cfRule type="cellIs" priority="252" operator="lessThanOrEqual" aboveAverage="0" equalAverage="0" bottom="0" percent="0" rank="0" text="" dxfId="0">
      <formula>I49</formula>
    </cfRule>
  </conditionalFormatting>
  <conditionalFormatting sqref="M50">
    <cfRule type="cellIs" priority="253" operator="lessThanOrEqual" aboveAverage="0" equalAverage="0" bottom="0" percent="0" rank="0" text="" dxfId="0">
      <formula>I50</formula>
    </cfRule>
  </conditionalFormatting>
  <conditionalFormatting sqref="M51">
    <cfRule type="cellIs" priority="254" operator="lessThanOrEqual" aboveAverage="0" equalAverage="0" bottom="0" percent="0" rank="0" text="" dxfId="0">
      <formula>I51</formula>
    </cfRule>
  </conditionalFormatting>
  <conditionalFormatting sqref="M52">
    <cfRule type="cellIs" priority="255" operator="lessThanOrEqual" aboveAverage="0" equalAverage="0" bottom="0" percent="0" rank="0" text="" dxfId="0">
      <formula>I52</formula>
    </cfRule>
  </conditionalFormatting>
  <conditionalFormatting sqref="M53">
    <cfRule type="cellIs" priority="256" operator="lessThanOrEqual" aboveAverage="0" equalAverage="0" bottom="0" percent="0" rank="0" text="" dxfId="0">
      <formula>I53</formula>
    </cfRule>
  </conditionalFormatting>
  <conditionalFormatting sqref="M54">
    <cfRule type="cellIs" priority="257" operator="lessThanOrEqual" aboveAverage="0" equalAverage="0" bottom="0" percent="0" rank="0" text="" dxfId="0">
      <formula>I54</formula>
    </cfRule>
  </conditionalFormatting>
  <conditionalFormatting sqref="M55">
    <cfRule type="cellIs" priority="258" operator="lessThanOrEqual" aboveAverage="0" equalAverage="0" bottom="0" percent="0" rank="0" text="" dxfId="0">
      <formula>I55</formula>
    </cfRule>
  </conditionalFormatting>
  <conditionalFormatting sqref="M56">
    <cfRule type="cellIs" priority="259" operator="lessThanOrEqual" aboveAverage="0" equalAverage="0" bottom="0" percent="0" rank="0" text="" dxfId="0">
      <formula>I56</formula>
    </cfRule>
  </conditionalFormatting>
  <conditionalFormatting sqref="M57">
    <cfRule type="cellIs" priority="260" operator="lessThanOrEqual" aboveAverage="0" equalAverage="0" bottom="0" percent="0" rank="0" text="" dxfId="0">
      <formula>I57</formula>
    </cfRule>
  </conditionalFormatting>
  <conditionalFormatting sqref="M58">
    <cfRule type="cellIs" priority="261" operator="lessThanOrEqual" aboveAverage="0" equalAverage="0" bottom="0" percent="0" rank="0" text="" dxfId="0">
      <formula>I58</formula>
    </cfRule>
  </conditionalFormatting>
  <conditionalFormatting sqref="M59">
    <cfRule type="cellIs" priority="262" operator="lessThanOrEqual" aboveAverage="0" equalAverage="0" bottom="0" percent="0" rank="0" text="" dxfId="0">
      <formula>I59</formula>
    </cfRule>
  </conditionalFormatting>
  <conditionalFormatting sqref="M60">
    <cfRule type="cellIs" priority="263" operator="lessThanOrEqual" aboveAverage="0" equalAverage="0" bottom="0" percent="0" rank="0" text="" dxfId="0">
      <formula>I60</formula>
    </cfRule>
  </conditionalFormatting>
  <conditionalFormatting sqref="M61">
    <cfRule type="cellIs" priority="264" operator="lessThanOrEqual" aboveAverage="0" equalAverage="0" bottom="0" percent="0" rank="0" text="" dxfId="0">
      <formula>I61</formula>
    </cfRule>
  </conditionalFormatting>
  <conditionalFormatting sqref="M62">
    <cfRule type="cellIs" priority="265" operator="lessThanOrEqual" aboveAverage="0" equalAverage="0" bottom="0" percent="0" rank="0" text="" dxfId="0">
      <formula>I62</formula>
    </cfRule>
  </conditionalFormatting>
  <conditionalFormatting sqref="M64">
    <cfRule type="cellIs" priority="266" operator="lessThanOrEqual" aboveAverage="0" equalAverage="0" bottom="0" percent="0" rank="0" text="" dxfId="0">
      <formula>I64</formula>
    </cfRule>
  </conditionalFormatting>
  <conditionalFormatting sqref="M65">
    <cfRule type="cellIs" priority="267" operator="lessThanOrEqual" aboveAverage="0" equalAverage="0" bottom="0" percent="0" rank="0" text="" dxfId="0">
      <formula>I65</formula>
    </cfRule>
  </conditionalFormatting>
  <conditionalFormatting sqref="M66">
    <cfRule type="cellIs" priority="268" operator="lessThanOrEqual" aboveAverage="0" equalAverage="0" bottom="0" percent="0" rank="0" text="" dxfId="0">
      <formula>I66</formula>
    </cfRule>
  </conditionalFormatting>
  <conditionalFormatting sqref="M67">
    <cfRule type="cellIs" priority="269" operator="lessThanOrEqual" aboveAverage="0" equalAverage="0" bottom="0" percent="0" rank="0" text="" dxfId="0">
      <formula>I67</formula>
    </cfRule>
  </conditionalFormatting>
  <conditionalFormatting sqref="M68">
    <cfRule type="cellIs" priority="270" operator="lessThanOrEqual" aboveAverage="0" equalAverage="0" bottom="0" percent="0" rank="0" text="" dxfId="0">
      <formula>I68</formula>
    </cfRule>
  </conditionalFormatting>
  <conditionalFormatting sqref="M69">
    <cfRule type="cellIs" priority="271" operator="lessThanOrEqual" aboveAverage="0" equalAverage="0" bottom="0" percent="0" rank="0" text="" dxfId="0">
      <formula>I69</formula>
    </cfRule>
  </conditionalFormatting>
  <conditionalFormatting sqref="M7">
    <cfRule type="cellIs" priority="272" operator="lessThanOrEqual" aboveAverage="0" equalAverage="0" bottom="0" percent="0" rank="0" text="" dxfId="0">
      <formula>I7</formula>
    </cfRule>
  </conditionalFormatting>
  <conditionalFormatting sqref="M70">
    <cfRule type="cellIs" priority="273" operator="lessThanOrEqual" aboveAverage="0" equalAverage="0" bottom="0" percent="0" rank="0" text="" dxfId="0">
      <formula>I70</formula>
    </cfRule>
  </conditionalFormatting>
  <conditionalFormatting sqref="M72">
    <cfRule type="cellIs" priority="274" operator="lessThanOrEqual" aboveAverage="0" equalAverage="0" bottom="0" percent="0" rank="0" text="" dxfId="0">
      <formula>I72</formula>
    </cfRule>
  </conditionalFormatting>
  <conditionalFormatting sqref="M74">
    <cfRule type="cellIs" priority="275" operator="lessThanOrEqual" aboveAverage="0" equalAverage="0" bottom="0" percent="0" rank="0" text="" dxfId="0">
      <formula>I74</formula>
    </cfRule>
  </conditionalFormatting>
  <conditionalFormatting sqref="M76">
    <cfRule type="cellIs" priority="276" operator="lessThanOrEqual" aboveAverage="0" equalAverage="0" bottom="0" percent="0" rank="0" text="" dxfId="0">
      <formula>I76</formula>
    </cfRule>
  </conditionalFormatting>
  <conditionalFormatting sqref="M77">
    <cfRule type="cellIs" priority="277" operator="lessThanOrEqual" aboveAverage="0" equalAverage="0" bottom="0" percent="0" rank="0" text="" dxfId="0">
      <formula>I77</formula>
    </cfRule>
  </conditionalFormatting>
  <conditionalFormatting sqref="M78">
    <cfRule type="cellIs" priority="278" operator="lessThanOrEqual" aboveAverage="0" equalAverage="0" bottom="0" percent="0" rank="0" text="" dxfId="0">
      <formula>I78</formula>
    </cfRule>
  </conditionalFormatting>
  <conditionalFormatting sqref="M79">
    <cfRule type="cellIs" priority="279" operator="lessThanOrEqual" aboveAverage="0" equalAverage="0" bottom="0" percent="0" rank="0" text="" dxfId="0">
      <formula>I79</formula>
    </cfRule>
  </conditionalFormatting>
  <conditionalFormatting sqref="M8">
    <cfRule type="cellIs" priority="280" operator="lessThanOrEqual" aboveAverage="0" equalAverage="0" bottom="0" percent="0" rank="0" text="" dxfId="0">
      <formula>I8</formula>
    </cfRule>
  </conditionalFormatting>
  <conditionalFormatting sqref="M81">
    <cfRule type="cellIs" priority="281" operator="lessThanOrEqual" aboveAverage="0" equalAverage="0" bottom="0" percent="0" rank="0" text="" dxfId="0">
      <formula>I81</formula>
    </cfRule>
  </conditionalFormatting>
  <conditionalFormatting sqref="M82">
    <cfRule type="cellIs" priority="282" operator="lessThanOrEqual" aboveAverage="0" equalAverage="0" bottom="0" percent="0" rank="0" text="" dxfId="0">
      <formula>I82</formula>
    </cfRule>
  </conditionalFormatting>
  <conditionalFormatting sqref="M83">
    <cfRule type="cellIs" priority="283" operator="lessThanOrEqual" aboveAverage="0" equalAverage="0" bottom="0" percent="0" rank="0" text="" dxfId="0">
      <formula>I83</formula>
    </cfRule>
  </conditionalFormatting>
  <conditionalFormatting sqref="M84">
    <cfRule type="cellIs" priority="284" operator="lessThanOrEqual" aboveAverage="0" equalAverage="0" bottom="0" percent="0" rank="0" text="" dxfId="0">
      <formula>I84</formula>
    </cfRule>
  </conditionalFormatting>
  <conditionalFormatting sqref="M85">
    <cfRule type="cellIs" priority="285" operator="lessThanOrEqual" aboveAverage="0" equalAverage="0" bottom="0" percent="0" rank="0" text="" dxfId="0">
      <formula>I85</formula>
    </cfRule>
  </conditionalFormatting>
  <conditionalFormatting sqref="M87">
    <cfRule type="cellIs" priority="286" operator="lessThanOrEqual" aboveAverage="0" equalAverage="0" bottom="0" percent="0" rank="0" text="" dxfId="0">
      <formula>I87</formula>
    </cfRule>
  </conditionalFormatting>
  <conditionalFormatting sqref="M88">
    <cfRule type="cellIs" priority="287" operator="lessThanOrEqual" aboveAverage="0" equalAverage="0" bottom="0" percent="0" rank="0" text="" dxfId="0">
      <formula>I88</formula>
    </cfRule>
  </conditionalFormatting>
  <conditionalFormatting sqref="M89">
    <cfRule type="cellIs" priority="288" operator="lessThanOrEqual" aboveAverage="0" equalAverage="0" bottom="0" percent="0" rank="0" text="" dxfId="0">
      <formula>I89</formula>
    </cfRule>
  </conditionalFormatting>
  <conditionalFormatting sqref="M9">
    <cfRule type="cellIs" priority="289" operator="lessThanOrEqual" aboveAverage="0" equalAverage="0" bottom="0" percent="0" rank="0" text="" dxfId="0">
      <formula>I9</formula>
    </cfRule>
  </conditionalFormatting>
  <conditionalFormatting sqref="M90">
    <cfRule type="cellIs" priority="290" operator="lessThanOrEqual" aboveAverage="0" equalAverage="0" bottom="0" percent="0" rank="0" text="" dxfId="0">
      <formula>I90</formula>
    </cfRule>
  </conditionalFormatting>
  <conditionalFormatting sqref="M91">
    <cfRule type="cellIs" priority="291" operator="lessThanOrEqual" aboveAverage="0" equalAverage="0" bottom="0" percent="0" rank="0" text="" dxfId="0">
      <formula>I91</formula>
    </cfRule>
  </conditionalFormatting>
  <conditionalFormatting sqref="M92">
    <cfRule type="cellIs" priority="292" operator="lessThanOrEqual" aboveAverage="0" equalAverage="0" bottom="0" percent="0" rank="0" text="" dxfId="0">
      <formula>I92</formula>
    </cfRule>
  </conditionalFormatting>
  <conditionalFormatting sqref="M93">
    <cfRule type="cellIs" priority="293" operator="lessThanOrEqual" aboveAverage="0" equalAverage="0" bottom="0" percent="0" rank="0" text="" dxfId="0">
      <formula>I93</formula>
    </cfRule>
  </conditionalFormatting>
  <conditionalFormatting sqref="M94">
    <cfRule type="cellIs" priority="294" operator="lessThanOrEqual" aboveAverage="0" equalAverage="0" bottom="0" percent="0" rank="0" text="" dxfId="0">
      <formula>I94</formula>
    </cfRule>
  </conditionalFormatting>
  <conditionalFormatting sqref="M95">
    <cfRule type="cellIs" priority="295" operator="lessThanOrEqual" aboveAverage="0" equalAverage="0" bottom="0" percent="0" rank="0" text="" dxfId="0">
      <formula>I95</formula>
    </cfRule>
  </conditionalFormatting>
  <conditionalFormatting sqref="M96">
    <cfRule type="cellIs" priority="296" operator="lessThanOrEqual" aboveAverage="0" equalAverage="0" bottom="0" percent="0" rank="0" text="" dxfId="0">
      <formula>I96</formula>
    </cfRule>
  </conditionalFormatting>
  <conditionalFormatting sqref="M97">
    <cfRule type="cellIs" priority="297" operator="lessThanOrEqual" aboveAverage="0" equalAverage="0" bottom="0" percent="0" rank="0" text="" dxfId="0">
      <formula>I97</formula>
    </cfRule>
  </conditionalFormatting>
  <conditionalFormatting sqref="M98">
    <cfRule type="cellIs" priority="298" operator="lessThanOrEqual" aboveAverage="0" equalAverage="0" bottom="0" percent="0" rank="0" text="" dxfId="0">
      <formula>I98</formula>
    </cfRule>
  </conditionalFormatting>
  <conditionalFormatting sqref="M99">
    <cfRule type="cellIs" priority="299" operator="lessThanOrEqual" aboveAverage="0" equalAverage="0" bottom="0" percent="0" rank="0" text="" dxfId="0">
      <formula>I99</formula>
    </cfRule>
  </conditionalFormatting>
  <conditionalFormatting sqref="R10">
    <cfRule type="cellIs" priority="300" operator="lessThanOrEqual" aboveAverage="0" equalAverage="0" bottom="0" percent="0" rank="0" text="" dxfId="0">
      <formula>H10</formula>
    </cfRule>
  </conditionalFormatting>
  <conditionalFormatting sqref="R100">
    <cfRule type="cellIs" priority="301" operator="lessThanOrEqual" aboveAverage="0" equalAverage="0" bottom="0" percent="0" rank="0" text="" dxfId="0">
      <formula>H100</formula>
    </cfRule>
  </conditionalFormatting>
  <conditionalFormatting sqref="R101">
    <cfRule type="cellIs" priority="302" operator="lessThanOrEqual" aboveAverage="0" equalAverage="0" bottom="0" percent="0" rank="0" text="" dxfId="0">
      <formula>H101</formula>
    </cfRule>
  </conditionalFormatting>
  <conditionalFormatting sqref="R103">
    <cfRule type="cellIs" priority="303" operator="lessThanOrEqual" aboveAverage="0" equalAverage="0" bottom="0" percent="0" rank="0" text="" dxfId="0">
      <formula>H103</formula>
    </cfRule>
  </conditionalFormatting>
  <conditionalFormatting sqref="R104">
    <cfRule type="cellIs" priority="304" operator="lessThanOrEqual" aboveAverage="0" equalAverage="0" bottom="0" percent="0" rank="0" text="" dxfId="0">
      <formula>H104</formula>
    </cfRule>
  </conditionalFormatting>
  <conditionalFormatting sqref="R105">
    <cfRule type="cellIs" priority="305" operator="lessThanOrEqual" aboveAverage="0" equalAverage="0" bottom="0" percent="0" rank="0" text="" dxfId="0">
      <formula>H105</formula>
    </cfRule>
  </conditionalFormatting>
  <conditionalFormatting sqref="R106">
    <cfRule type="cellIs" priority="306" operator="lessThanOrEqual" aboveAverage="0" equalAverage="0" bottom="0" percent="0" rank="0" text="" dxfId="0">
      <formula>H106</formula>
    </cfRule>
  </conditionalFormatting>
  <conditionalFormatting sqref="R107">
    <cfRule type="cellIs" priority="307" operator="lessThanOrEqual" aboveAverage="0" equalAverage="0" bottom="0" percent="0" rank="0" text="" dxfId="0">
      <formula>H107</formula>
    </cfRule>
  </conditionalFormatting>
  <conditionalFormatting sqref="R108">
    <cfRule type="cellIs" priority="308" operator="lessThanOrEqual" aboveAverage="0" equalAverage="0" bottom="0" percent="0" rank="0" text="" dxfId="0">
      <formula>H108</formula>
    </cfRule>
  </conditionalFormatting>
  <conditionalFormatting sqref="R109">
    <cfRule type="cellIs" priority="309" operator="lessThanOrEqual" aboveAverage="0" equalAverage="0" bottom="0" percent="0" rank="0" text="" dxfId="0">
      <formula>H109</formula>
    </cfRule>
  </conditionalFormatting>
  <conditionalFormatting sqref="R11">
    <cfRule type="cellIs" priority="310" operator="lessThanOrEqual" aboveAverage="0" equalAverage="0" bottom="0" percent="0" rank="0" text="" dxfId="0">
      <formula>H11</formula>
    </cfRule>
  </conditionalFormatting>
  <conditionalFormatting sqref="R110">
    <cfRule type="cellIs" priority="311" operator="lessThanOrEqual" aboveAverage="0" equalAverage="0" bottom="0" percent="0" rank="0" text="" dxfId="0">
      <formula>H110</formula>
    </cfRule>
  </conditionalFormatting>
  <conditionalFormatting sqref="R111">
    <cfRule type="cellIs" priority="312" operator="lessThanOrEqual" aboveAverage="0" equalAverage="0" bottom="0" percent="0" rank="0" text="" dxfId="0">
      <formula>H111</formula>
    </cfRule>
  </conditionalFormatting>
  <conditionalFormatting sqref="R112">
    <cfRule type="cellIs" priority="313" operator="lessThanOrEqual" aboveAverage="0" equalAverage="0" bottom="0" percent="0" rank="0" text="" dxfId="0">
      <formula>H112</formula>
    </cfRule>
  </conditionalFormatting>
  <conditionalFormatting sqref="R113">
    <cfRule type="cellIs" priority="314" operator="lessThanOrEqual" aboveAverage="0" equalAverage="0" bottom="0" percent="0" rank="0" text="" dxfId="0">
      <formula>H113</formula>
    </cfRule>
  </conditionalFormatting>
  <conditionalFormatting sqref="R114">
    <cfRule type="cellIs" priority="315" operator="lessThanOrEqual" aboveAverage="0" equalAverage="0" bottom="0" percent="0" rank="0" text="" dxfId="0">
      <formula>H114</formula>
    </cfRule>
  </conditionalFormatting>
  <conditionalFormatting sqref="R115">
    <cfRule type="cellIs" priority="316" operator="lessThanOrEqual" aboveAverage="0" equalAverage="0" bottom="0" percent="0" rank="0" text="" dxfId="0">
      <formula>H115</formula>
    </cfRule>
  </conditionalFormatting>
  <conditionalFormatting sqref="R116">
    <cfRule type="cellIs" priority="317" operator="lessThanOrEqual" aboveAverage="0" equalAverage="0" bottom="0" percent="0" rank="0" text="" dxfId="0">
      <formula>H116</formula>
    </cfRule>
  </conditionalFormatting>
  <conditionalFormatting sqref="R117">
    <cfRule type="cellIs" priority="318" operator="lessThanOrEqual" aboveAverage="0" equalAverage="0" bottom="0" percent="0" rank="0" text="" dxfId="0">
      <formula>H117</formula>
    </cfRule>
  </conditionalFormatting>
  <conditionalFormatting sqref="R118">
    <cfRule type="cellIs" priority="319" operator="lessThanOrEqual" aboveAverage="0" equalAverage="0" bottom="0" percent="0" rank="0" text="" dxfId="0">
      <formula>H118</formula>
    </cfRule>
  </conditionalFormatting>
  <conditionalFormatting sqref="R119">
    <cfRule type="cellIs" priority="320" operator="lessThanOrEqual" aboveAverage="0" equalAverage="0" bottom="0" percent="0" rank="0" text="" dxfId="0">
      <formula>H119</formula>
    </cfRule>
  </conditionalFormatting>
  <conditionalFormatting sqref="R12">
    <cfRule type="cellIs" priority="321" operator="lessThanOrEqual" aboveAverage="0" equalAverage="0" bottom="0" percent="0" rank="0" text="" dxfId="0">
      <formula>H12</formula>
    </cfRule>
  </conditionalFormatting>
  <conditionalFormatting sqref="R120">
    <cfRule type="cellIs" priority="322" operator="lessThanOrEqual" aboveAverage="0" equalAverage="0" bottom="0" percent="0" rank="0" text="" dxfId="0">
      <formula>H120</formula>
    </cfRule>
  </conditionalFormatting>
  <conditionalFormatting sqref="R121">
    <cfRule type="cellIs" priority="323" operator="lessThanOrEqual" aboveAverage="0" equalAverage="0" bottom="0" percent="0" rank="0" text="" dxfId="0">
      <formula>H121</formula>
    </cfRule>
  </conditionalFormatting>
  <conditionalFormatting sqref="R122">
    <cfRule type="cellIs" priority="324" operator="lessThanOrEqual" aboveAverage="0" equalAverage="0" bottom="0" percent="0" rank="0" text="" dxfId="0">
      <formula>H122</formula>
    </cfRule>
  </conditionalFormatting>
  <conditionalFormatting sqref="R123">
    <cfRule type="cellIs" priority="325" operator="lessThanOrEqual" aboveAverage="0" equalAverage="0" bottom="0" percent="0" rank="0" text="" dxfId="0">
      <formula>H123</formula>
    </cfRule>
  </conditionalFormatting>
  <conditionalFormatting sqref="R124">
    <cfRule type="cellIs" priority="326" operator="lessThanOrEqual" aboveAverage="0" equalAverage="0" bottom="0" percent="0" rank="0" text="" dxfId="0">
      <formula>H124</formula>
    </cfRule>
  </conditionalFormatting>
  <conditionalFormatting sqref="R125">
    <cfRule type="cellIs" priority="327" operator="lessThanOrEqual" aboveAverage="0" equalAverage="0" bottom="0" percent="0" rank="0" text="" dxfId="0">
      <formula>H125</formula>
    </cfRule>
  </conditionalFormatting>
  <conditionalFormatting sqref="R126">
    <cfRule type="cellIs" priority="328" operator="lessThanOrEqual" aboveAverage="0" equalAverage="0" bottom="0" percent="0" rank="0" text="" dxfId="0">
      <formula>H126</formula>
    </cfRule>
  </conditionalFormatting>
  <conditionalFormatting sqref="R127">
    <cfRule type="cellIs" priority="329" operator="lessThanOrEqual" aboveAverage="0" equalAverage="0" bottom="0" percent="0" rank="0" text="" dxfId="0">
      <formula>H127</formula>
    </cfRule>
  </conditionalFormatting>
  <conditionalFormatting sqref="R128">
    <cfRule type="cellIs" priority="330" operator="lessThanOrEqual" aboveAverage="0" equalAverage="0" bottom="0" percent="0" rank="0" text="" dxfId="0">
      <formula>H128</formula>
    </cfRule>
  </conditionalFormatting>
  <conditionalFormatting sqref="R129">
    <cfRule type="cellIs" priority="331" operator="lessThanOrEqual" aboveAverage="0" equalAverage="0" bottom="0" percent="0" rank="0" text="" dxfId="0">
      <formula>H129</formula>
    </cfRule>
  </conditionalFormatting>
  <conditionalFormatting sqref="R130">
    <cfRule type="cellIs" priority="332" operator="lessThanOrEqual" aboveAverage="0" equalAverage="0" bottom="0" percent="0" rank="0" text="" dxfId="0">
      <formula>H130</formula>
    </cfRule>
  </conditionalFormatting>
  <conditionalFormatting sqref="R131">
    <cfRule type="cellIs" priority="333" operator="lessThanOrEqual" aboveAverage="0" equalAverage="0" bottom="0" percent="0" rank="0" text="" dxfId="0">
      <formula>H131</formula>
    </cfRule>
  </conditionalFormatting>
  <conditionalFormatting sqref="R132">
    <cfRule type="cellIs" priority="334" operator="lessThanOrEqual" aboveAverage="0" equalAverage="0" bottom="0" percent="0" rank="0" text="" dxfId="0">
      <formula>H132</formula>
    </cfRule>
  </conditionalFormatting>
  <conditionalFormatting sqref="R133">
    <cfRule type="cellIs" priority="335" operator="lessThanOrEqual" aboveAverage="0" equalAverage="0" bottom="0" percent="0" rank="0" text="" dxfId="0">
      <formula>H133</formula>
    </cfRule>
  </conditionalFormatting>
  <conditionalFormatting sqref="R134">
    <cfRule type="cellIs" priority="336" operator="lessThanOrEqual" aboveAverage="0" equalAverage="0" bottom="0" percent="0" rank="0" text="" dxfId="0">
      <formula>H134</formula>
    </cfRule>
  </conditionalFormatting>
  <conditionalFormatting sqref="R135">
    <cfRule type="cellIs" priority="337" operator="lessThanOrEqual" aboveAverage="0" equalAverage="0" bottom="0" percent="0" rank="0" text="" dxfId="0">
      <formula>H135</formula>
    </cfRule>
  </conditionalFormatting>
  <conditionalFormatting sqref="R137">
    <cfRule type="cellIs" priority="338" operator="lessThanOrEqual" aboveAverage="0" equalAverage="0" bottom="0" percent="0" rank="0" text="" dxfId="0">
      <formula>H137</formula>
    </cfRule>
  </conditionalFormatting>
  <conditionalFormatting sqref="R138">
    <cfRule type="cellIs" priority="339" operator="lessThanOrEqual" aboveAverage="0" equalAverage="0" bottom="0" percent="0" rank="0" text="" dxfId="0">
      <formula>H138</formula>
    </cfRule>
  </conditionalFormatting>
  <conditionalFormatting sqref="R14">
    <cfRule type="cellIs" priority="340" operator="lessThanOrEqual" aboveAverage="0" equalAverage="0" bottom="0" percent="0" rank="0" text="" dxfId="0">
      <formula>H14</formula>
    </cfRule>
  </conditionalFormatting>
  <conditionalFormatting sqref="R140">
    <cfRule type="cellIs" priority="341" operator="lessThanOrEqual" aboveAverage="0" equalAverage="0" bottom="0" percent="0" rank="0" text="" dxfId="0">
      <formula>H140</formula>
    </cfRule>
  </conditionalFormatting>
  <conditionalFormatting sqref="R141">
    <cfRule type="cellIs" priority="342" operator="lessThanOrEqual" aboveAverage="0" equalAverage="0" bottom="0" percent="0" rank="0" text="" dxfId="0">
      <formula>H141</formula>
    </cfRule>
  </conditionalFormatting>
  <conditionalFormatting sqref="R142">
    <cfRule type="cellIs" priority="343" operator="lessThanOrEqual" aboveAverage="0" equalAverage="0" bottom="0" percent="0" rank="0" text="" dxfId="0">
      <formula>H142</formula>
    </cfRule>
  </conditionalFormatting>
  <conditionalFormatting sqref="R143">
    <cfRule type="cellIs" priority="344" operator="lessThanOrEqual" aboveAverage="0" equalAverage="0" bottom="0" percent="0" rank="0" text="" dxfId="0">
      <formula>H143</formula>
    </cfRule>
  </conditionalFormatting>
  <conditionalFormatting sqref="R144">
    <cfRule type="cellIs" priority="345" operator="lessThanOrEqual" aboveAverage="0" equalAverage="0" bottom="0" percent="0" rank="0" text="" dxfId="0">
      <formula>H144</formula>
    </cfRule>
  </conditionalFormatting>
  <conditionalFormatting sqref="R145">
    <cfRule type="cellIs" priority="346" operator="lessThanOrEqual" aboveAverage="0" equalAverage="0" bottom="0" percent="0" rank="0" text="" dxfId="0">
      <formula>H145</formula>
    </cfRule>
  </conditionalFormatting>
  <conditionalFormatting sqref="R147">
    <cfRule type="cellIs" priority="347" operator="lessThanOrEqual" aboveAverage="0" equalAverage="0" bottom="0" percent="0" rank="0" text="" dxfId="0">
      <formula>H147</formula>
    </cfRule>
  </conditionalFormatting>
  <conditionalFormatting sqref="R148">
    <cfRule type="cellIs" priority="348" operator="lessThanOrEqual" aboveAverage="0" equalAverage="0" bottom="0" percent="0" rank="0" text="" dxfId="0">
      <formula>H148</formula>
    </cfRule>
  </conditionalFormatting>
  <conditionalFormatting sqref="R149">
    <cfRule type="cellIs" priority="349" operator="lessThanOrEqual" aboveAverage="0" equalAverage="0" bottom="0" percent="0" rank="0" text="" dxfId="0">
      <formula>H149</formula>
    </cfRule>
  </conditionalFormatting>
  <conditionalFormatting sqref="R150">
    <cfRule type="cellIs" priority="350" operator="lessThanOrEqual" aboveAverage="0" equalAverage="0" bottom="0" percent="0" rank="0" text="" dxfId="0">
      <formula>H150</formula>
    </cfRule>
  </conditionalFormatting>
  <conditionalFormatting sqref="R151">
    <cfRule type="cellIs" priority="351" operator="lessThanOrEqual" aboveAverage="0" equalAverage="0" bottom="0" percent="0" rank="0" text="" dxfId="0">
      <formula>H151</formula>
    </cfRule>
  </conditionalFormatting>
  <conditionalFormatting sqref="R152">
    <cfRule type="cellIs" priority="352" operator="lessThanOrEqual" aboveAverage="0" equalAverage="0" bottom="0" percent="0" rank="0" text="" dxfId="0">
      <formula>H152</formula>
    </cfRule>
  </conditionalFormatting>
  <conditionalFormatting sqref="R153">
    <cfRule type="cellIs" priority="353" operator="lessThanOrEqual" aboveAverage="0" equalAverage="0" bottom="0" percent="0" rank="0" text="" dxfId="0">
      <formula>H153</formula>
    </cfRule>
  </conditionalFormatting>
  <conditionalFormatting sqref="R155">
    <cfRule type="cellIs" priority="354" operator="lessThanOrEqual" aboveAverage="0" equalAverage="0" bottom="0" percent="0" rank="0" text="" dxfId="0">
      <formula>H155</formula>
    </cfRule>
  </conditionalFormatting>
  <conditionalFormatting sqref="R156">
    <cfRule type="cellIs" priority="355" operator="lessThanOrEqual" aboveAverage="0" equalAverage="0" bottom="0" percent="0" rank="0" text="" dxfId="0">
      <formula>H156</formula>
    </cfRule>
  </conditionalFormatting>
  <conditionalFormatting sqref="R157">
    <cfRule type="cellIs" priority="356" operator="lessThanOrEqual" aboveAverage="0" equalAverage="0" bottom="0" percent="0" rank="0" text="" dxfId="0">
      <formula>H157</formula>
    </cfRule>
  </conditionalFormatting>
  <conditionalFormatting sqref="R159">
    <cfRule type="cellIs" priority="357" operator="lessThanOrEqual" aboveAverage="0" equalAverage="0" bottom="0" percent="0" rank="0" text="" dxfId="0">
      <formula>H159</formula>
    </cfRule>
  </conditionalFormatting>
  <conditionalFormatting sqref="R16">
    <cfRule type="cellIs" priority="358" operator="lessThanOrEqual" aboveAverage="0" equalAverage="0" bottom="0" percent="0" rank="0" text="" dxfId="0">
      <formula>H16</formula>
    </cfRule>
  </conditionalFormatting>
  <conditionalFormatting sqref="R160">
    <cfRule type="cellIs" priority="359" operator="lessThanOrEqual" aboveAverage="0" equalAverage="0" bottom="0" percent="0" rank="0" text="" dxfId="0">
      <formula>H160</formula>
    </cfRule>
  </conditionalFormatting>
  <conditionalFormatting sqref="R161">
    <cfRule type="cellIs" priority="360" operator="lessThanOrEqual" aboveAverage="0" equalAverage="0" bottom="0" percent="0" rank="0" text="" dxfId="0">
      <formula>H161</formula>
    </cfRule>
  </conditionalFormatting>
  <conditionalFormatting sqref="R162">
    <cfRule type="cellIs" priority="361" operator="lessThanOrEqual" aboveAverage="0" equalAverage="0" bottom="0" percent="0" rank="0" text="" dxfId="0">
      <formula>H162</formula>
    </cfRule>
  </conditionalFormatting>
  <conditionalFormatting sqref="R163">
    <cfRule type="cellIs" priority="362" operator="lessThanOrEqual" aboveAverage="0" equalAverage="0" bottom="0" percent="0" rank="0" text="" dxfId="0">
      <formula>H163</formula>
    </cfRule>
  </conditionalFormatting>
  <conditionalFormatting sqref="R164">
    <cfRule type="cellIs" priority="363" operator="lessThanOrEqual" aboveAverage="0" equalAverage="0" bottom="0" percent="0" rank="0" text="" dxfId="0">
      <formula>H164</formula>
    </cfRule>
  </conditionalFormatting>
  <conditionalFormatting sqref="R165">
    <cfRule type="cellIs" priority="364" operator="lessThanOrEqual" aboveAverage="0" equalAverage="0" bottom="0" percent="0" rank="0" text="" dxfId="0">
      <formula>H165</formula>
    </cfRule>
  </conditionalFormatting>
  <conditionalFormatting sqref="R166">
    <cfRule type="cellIs" priority="365" operator="lessThanOrEqual" aboveAverage="0" equalAverage="0" bottom="0" percent="0" rank="0" text="" dxfId="0">
      <formula>H166</formula>
    </cfRule>
  </conditionalFormatting>
  <conditionalFormatting sqref="R167">
    <cfRule type="cellIs" priority="366" operator="lessThanOrEqual" aboveAverage="0" equalAverage="0" bottom="0" percent="0" rank="0" text="" dxfId="0">
      <formula>H167</formula>
    </cfRule>
  </conditionalFormatting>
  <conditionalFormatting sqref="R168">
    <cfRule type="cellIs" priority="367" operator="lessThanOrEqual" aboveAverage="0" equalAverage="0" bottom="0" percent="0" rank="0" text="" dxfId="0">
      <formula>H168</formula>
    </cfRule>
  </conditionalFormatting>
  <conditionalFormatting sqref="R17">
    <cfRule type="cellIs" priority="368" operator="lessThanOrEqual" aboveAverage="0" equalAverage="0" bottom="0" percent="0" rank="0" text="" dxfId="0">
      <formula>H17</formula>
    </cfRule>
  </conditionalFormatting>
  <conditionalFormatting sqref="R171">
    <cfRule type="cellIs" priority="369" operator="lessThanOrEqual" aboveAverage="0" equalAverage="0" bottom="0" percent="0" rank="0" text="" dxfId="0">
      <formula>H171</formula>
    </cfRule>
  </conditionalFormatting>
  <conditionalFormatting sqref="R19">
    <cfRule type="cellIs" priority="370" operator="lessThanOrEqual" aboveAverage="0" equalAverage="0" bottom="0" percent="0" rank="0" text="" dxfId="0">
      <formula>H19</formula>
    </cfRule>
  </conditionalFormatting>
  <conditionalFormatting sqref="R20">
    <cfRule type="cellIs" priority="371" operator="lessThanOrEqual" aboveAverage="0" equalAverage="0" bottom="0" percent="0" rank="0" text="" dxfId="0">
      <formula>H20</formula>
    </cfRule>
  </conditionalFormatting>
  <conditionalFormatting sqref="R21">
    <cfRule type="cellIs" priority="372" operator="lessThanOrEqual" aboveAverage="0" equalAverage="0" bottom="0" percent="0" rank="0" text="" dxfId="0">
      <formula>H21</formula>
    </cfRule>
  </conditionalFormatting>
  <conditionalFormatting sqref="R22">
    <cfRule type="cellIs" priority="373" operator="lessThanOrEqual" aboveAverage="0" equalAverage="0" bottom="0" percent="0" rank="0" text="" dxfId="0">
      <formula>H22</formula>
    </cfRule>
  </conditionalFormatting>
  <conditionalFormatting sqref="R23">
    <cfRule type="cellIs" priority="374" operator="lessThanOrEqual" aboveAverage="0" equalAverage="0" bottom="0" percent="0" rank="0" text="" dxfId="0">
      <formula>H23</formula>
    </cfRule>
  </conditionalFormatting>
  <conditionalFormatting sqref="R24">
    <cfRule type="cellIs" priority="375" operator="lessThanOrEqual" aboveAverage="0" equalAverage="0" bottom="0" percent="0" rank="0" text="" dxfId="0">
      <formula>H24</formula>
    </cfRule>
  </conditionalFormatting>
  <conditionalFormatting sqref="R25">
    <cfRule type="cellIs" priority="376" operator="lessThanOrEqual" aboveAverage="0" equalAverage="0" bottom="0" percent="0" rank="0" text="" dxfId="0">
      <formula>H25</formula>
    </cfRule>
  </conditionalFormatting>
  <conditionalFormatting sqref="R26">
    <cfRule type="cellIs" priority="377" operator="lessThanOrEqual" aboveAverage="0" equalAverage="0" bottom="0" percent="0" rank="0" text="" dxfId="0">
      <formula>H26</formula>
    </cfRule>
  </conditionalFormatting>
  <conditionalFormatting sqref="R28">
    <cfRule type="cellIs" priority="378" operator="lessThanOrEqual" aboveAverage="0" equalAverage="0" bottom="0" percent="0" rank="0" text="" dxfId="0">
      <formula>H28</formula>
    </cfRule>
  </conditionalFormatting>
  <conditionalFormatting sqref="R29">
    <cfRule type="cellIs" priority="379" operator="lessThanOrEqual" aboveAverage="0" equalAverage="0" bottom="0" percent="0" rank="0" text="" dxfId="0">
      <formula>H29</formula>
    </cfRule>
  </conditionalFormatting>
  <conditionalFormatting sqref="R30">
    <cfRule type="cellIs" priority="380" operator="lessThanOrEqual" aboveAverage="0" equalAverage="0" bottom="0" percent="0" rank="0" text="" dxfId="0">
      <formula>H30</formula>
    </cfRule>
  </conditionalFormatting>
  <conditionalFormatting sqref="R31">
    <cfRule type="cellIs" priority="381" operator="lessThanOrEqual" aboveAverage="0" equalAverage="0" bottom="0" percent="0" rank="0" text="" dxfId="0">
      <formula>H31</formula>
    </cfRule>
  </conditionalFormatting>
  <conditionalFormatting sqref="R32">
    <cfRule type="cellIs" priority="382" operator="lessThanOrEqual" aboveAverage="0" equalAverage="0" bottom="0" percent="0" rank="0" text="" dxfId="0">
      <formula>H32</formula>
    </cfRule>
  </conditionalFormatting>
  <conditionalFormatting sqref="R33">
    <cfRule type="cellIs" priority="383" operator="lessThanOrEqual" aboveAverage="0" equalAverage="0" bottom="0" percent="0" rank="0" text="" dxfId="0">
      <formula>H33</formula>
    </cfRule>
  </conditionalFormatting>
  <conditionalFormatting sqref="R34">
    <cfRule type="cellIs" priority="384" operator="lessThanOrEqual" aboveAverage="0" equalAverage="0" bottom="0" percent="0" rank="0" text="" dxfId="0">
      <formula>H34</formula>
    </cfRule>
  </conditionalFormatting>
  <conditionalFormatting sqref="R35">
    <cfRule type="cellIs" priority="385" operator="lessThanOrEqual" aboveAverage="0" equalAverage="0" bottom="0" percent="0" rank="0" text="" dxfId="0">
      <formula>H35</formula>
    </cfRule>
  </conditionalFormatting>
  <conditionalFormatting sqref="R36">
    <cfRule type="cellIs" priority="386" operator="lessThanOrEqual" aboveAverage="0" equalAverage="0" bottom="0" percent="0" rank="0" text="" dxfId="0">
      <formula>H36</formula>
    </cfRule>
  </conditionalFormatting>
  <conditionalFormatting sqref="R37">
    <cfRule type="cellIs" priority="387" operator="lessThanOrEqual" aboveAverage="0" equalAverage="0" bottom="0" percent="0" rank="0" text="" dxfId="0">
      <formula>H37</formula>
    </cfRule>
  </conditionalFormatting>
  <conditionalFormatting sqref="R39">
    <cfRule type="cellIs" priority="388" operator="lessThanOrEqual" aboveAverage="0" equalAverage="0" bottom="0" percent="0" rank="0" text="" dxfId="0">
      <formula>H39</formula>
    </cfRule>
  </conditionalFormatting>
  <conditionalFormatting sqref="R40">
    <cfRule type="cellIs" priority="389" operator="lessThanOrEqual" aboveAverage="0" equalAverage="0" bottom="0" percent="0" rank="0" text="" dxfId="0">
      <formula>H40</formula>
    </cfRule>
  </conditionalFormatting>
  <conditionalFormatting sqref="R41">
    <cfRule type="cellIs" priority="390" operator="lessThanOrEqual" aboveAverage="0" equalAverage="0" bottom="0" percent="0" rank="0" text="" dxfId="0">
      <formula>H41</formula>
    </cfRule>
  </conditionalFormatting>
  <conditionalFormatting sqref="R43">
    <cfRule type="cellIs" priority="391" operator="lessThanOrEqual" aboveAverage="0" equalAverage="0" bottom="0" percent="0" rank="0" text="" dxfId="0">
      <formula>H43</formula>
    </cfRule>
  </conditionalFormatting>
  <conditionalFormatting sqref="R44">
    <cfRule type="cellIs" priority="392" operator="lessThanOrEqual" aboveAverage="0" equalAverage="0" bottom="0" percent="0" rank="0" text="" dxfId="0">
      <formula>H44</formula>
    </cfRule>
  </conditionalFormatting>
  <conditionalFormatting sqref="R45">
    <cfRule type="cellIs" priority="393" operator="lessThanOrEqual" aboveAverage="0" equalAverage="0" bottom="0" percent="0" rank="0" text="" dxfId="0">
      <formula>H45</formula>
    </cfRule>
  </conditionalFormatting>
  <conditionalFormatting sqref="R46">
    <cfRule type="cellIs" priority="394" operator="lessThanOrEqual" aboveAverage="0" equalAverage="0" bottom="0" percent="0" rank="0" text="" dxfId="0">
      <formula>H46</formula>
    </cfRule>
  </conditionalFormatting>
  <conditionalFormatting sqref="R47">
    <cfRule type="cellIs" priority="395" operator="lessThanOrEqual" aboveAverage="0" equalAverage="0" bottom="0" percent="0" rank="0" text="" dxfId="0">
      <formula>H47</formula>
    </cfRule>
  </conditionalFormatting>
  <conditionalFormatting sqref="R48">
    <cfRule type="cellIs" priority="396" operator="lessThanOrEqual" aboveAverage="0" equalAverage="0" bottom="0" percent="0" rank="0" text="" dxfId="0">
      <formula>H48</formula>
    </cfRule>
  </conditionalFormatting>
  <conditionalFormatting sqref="R50">
    <cfRule type="cellIs" priority="397" operator="lessThanOrEqual" aboveAverage="0" equalAverage="0" bottom="0" percent="0" rank="0" text="" dxfId="0">
      <formula>H50</formula>
    </cfRule>
  </conditionalFormatting>
  <conditionalFormatting sqref="R51">
    <cfRule type="cellIs" priority="398" operator="lessThanOrEqual" aboveAverage="0" equalAverage="0" bottom="0" percent="0" rank="0" text="" dxfId="0">
      <formula>H51</formula>
    </cfRule>
  </conditionalFormatting>
  <conditionalFormatting sqref="R52">
    <cfRule type="cellIs" priority="399" operator="lessThanOrEqual" aboveAverage="0" equalAverage="0" bottom="0" percent="0" rank="0" text="" dxfId="0">
      <formula>H52</formula>
    </cfRule>
  </conditionalFormatting>
  <conditionalFormatting sqref="R53">
    <cfRule type="cellIs" priority="400" operator="lessThanOrEqual" aboveAverage="0" equalAverage="0" bottom="0" percent="0" rank="0" text="" dxfId="0">
      <formula>H53</formula>
    </cfRule>
  </conditionalFormatting>
  <conditionalFormatting sqref="R54">
    <cfRule type="cellIs" priority="401" operator="lessThanOrEqual" aboveAverage="0" equalAverage="0" bottom="0" percent="0" rank="0" text="" dxfId="0">
      <formula>H54</formula>
    </cfRule>
  </conditionalFormatting>
  <conditionalFormatting sqref="R55">
    <cfRule type="cellIs" priority="402" operator="lessThanOrEqual" aboveAverage="0" equalAverage="0" bottom="0" percent="0" rank="0" text="" dxfId="0">
      <formula>H55</formula>
    </cfRule>
  </conditionalFormatting>
  <conditionalFormatting sqref="R56">
    <cfRule type="cellIs" priority="403" operator="lessThanOrEqual" aboveAverage="0" equalAverage="0" bottom="0" percent="0" rank="0" text="" dxfId="0">
      <formula>H56</formula>
    </cfRule>
  </conditionalFormatting>
  <conditionalFormatting sqref="R57">
    <cfRule type="cellIs" priority="404" operator="lessThanOrEqual" aboveAverage="0" equalAverage="0" bottom="0" percent="0" rank="0" text="" dxfId="0">
      <formula>H57</formula>
    </cfRule>
  </conditionalFormatting>
  <conditionalFormatting sqref="R58">
    <cfRule type="cellIs" priority="405" operator="lessThanOrEqual" aboveAverage="0" equalAverage="0" bottom="0" percent="0" rank="0" text="" dxfId="0">
      <formula>H58</formula>
    </cfRule>
  </conditionalFormatting>
  <conditionalFormatting sqref="R59">
    <cfRule type="cellIs" priority="406" operator="lessThanOrEqual" aboveAverage="0" equalAverage="0" bottom="0" percent="0" rank="0" text="" dxfId="0">
      <formula>H59</formula>
    </cfRule>
  </conditionalFormatting>
  <conditionalFormatting sqref="R60">
    <cfRule type="cellIs" priority="407" operator="lessThanOrEqual" aboveAverage="0" equalAverage="0" bottom="0" percent="0" rank="0" text="" dxfId="0">
      <formula>H60</formula>
    </cfRule>
  </conditionalFormatting>
  <conditionalFormatting sqref="R61">
    <cfRule type="cellIs" priority="408" operator="lessThanOrEqual" aboveAverage="0" equalAverage="0" bottom="0" percent="0" rank="0" text="" dxfId="0">
      <formula>H61</formula>
    </cfRule>
  </conditionalFormatting>
  <conditionalFormatting sqref="R63">
    <cfRule type="cellIs" priority="409" operator="lessThanOrEqual" aboveAverage="0" equalAverage="0" bottom="0" percent="0" rank="0" text="" dxfId="0">
      <formula>H63</formula>
    </cfRule>
  </conditionalFormatting>
  <conditionalFormatting sqref="R64">
    <cfRule type="cellIs" priority="410" operator="lessThanOrEqual" aboveAverage="0" equalAverage="0" bottom="0" percent="0" rank="0" text="" dxfId="0">
      <formula>H64</formula>
    </cfRule>
  </conditionalFormatting>
  <conditionalFormatting sqref="R65">
    <cfRule type="cellIs" priority="411" operator="lessThanOrEqual" aboveAverage="0" equalAverage="0" bottom="0" percent="0" rank="0" text="" dxfId="0">
      <formula>H65</formula>
    </cfRule>
  </conditionalFormatting>
  <conditionalFormatting sqref="R66">
    <cfRule type="cellIs" priority="412" operator="lessThanOrEqual" aboveAverage="0" equalAverage="0" bottom="0" percent="0" rank="0" text="" dxfId="0">
      <formula>H66</formula>
    </cfRule>
  </conditionalFormatting>
  <conditionalFormatting sqref="R67">
    <cfRule type="cellIs" priority="413" operator="lessThanOrEqual" aboveAverage="0" equalAverage="0" bottom="0" percent="0" rank="0" text="" dxfId="0">
      <formula>H67</formula>
    </cfRule>
  </conditionalFormatting>
  <conditionalFormatting sqref="R68">
    <cfRule type="cellIs" priority="414" operator="lessThanOrEqual" aboveAverage="0" equalAverage="0" bottom="0" percent="0" rank="0" text="" dxfId="0">
      <formula>H68</formula>
    </cfRule>
  </conditionalFormatting>
  <conditionalFormatting sqref="R69">
    <cfRule type="cellIs" priority="415" operator="lessThanOrEqual" aboveAverage="0" equalAverage="0" bottom="0" percent="0" rank="0" text="" dxfId="0">
      <formula>H69</formula>
    </cfRule>
  </conditionalFormatting>
  <conditionalFormatting sqref="R7">
    <cfRule type="cellIs" priority="416" operator="lessThanOrEqual" aboveAverage="0" equalAverage="0" bottom="0" percent="0" rank="0" text="" dxfId="0">
      <formula>H7</formula>
    </cfRule>
  </conditionalFormatting>
  <conditionalFormatting sqref="R70">
    <cfRule type="cellIs" priority="417" operator="lessThanOrEqual" aboveAverage="0" equalAverage="0" bottom="0" percent="0" rank="0" text="" dxfId="0">
      <formula>H70</formula>
    </cfRule>
  </conditionalFormatting>
  <conditionalFormatting sqref="R72">
    <cfRule type="cellIs" priority="418" operator="lessThanOrEqual" aboveAverage="0" equalAverage="0" bottom="0" percent="0" rank="0" text="" dxfId="0">
      <formula>H72</formula>
    </cfRule>
  </conditionalFormatting>
  <conditionalFormatting sqref="R74">
    <cfRule type="cellIs" priority="419" operator="lessThanOrEqual" aboveAverage="0" equalAverage="0" bottom="0" percent="0" rank="0" text="" dxfId="0">
      <formula>H74</formula>
    </cfRule>
  </conditionalFormatting>
  <conditionalFormatting sqref="R76">
    <cfRule type="cellIs" priority="420" operator="lessThanOrEqual" aboveAverage="0" equalAverage="0" bottom="0" percent="0" rank="0" text="" dxfId="0">
      <formula>H76</formula>
    </cfRule>
  </conditionalFormatting>
  <conditionalFormatting sqref="R77">
    <cfRule type="cellIs" priority="421" operator="lessThanOrEqual" aboveAverage="0" equalAverage="0" bottom="0" percent="0" rank="0" text="" dxfId="0">
      <formula>H77</formula>
    </cfRule>
  </conditionalFormatting>
  <conditionalFormatting sqref="R78">
    <cfRule type="cellIs" priority="422" operator="lessThanOrEqual" aboveAverage="0" equalAverage="0" bottom="0" percent="0" rank="0" text="" dxfId="0">
      <formula>H78</formula>
    </cfRule>
  </conditionalFormatting>
  <conditionalFormatting sqref="R79">
    <cfRule type="cellIs" priority="423" operator="lessThanOrEqual" aboveAverage="0" equalAverage="0" bottom="0" percent="0" rank="0" text="" dxfId="0">
      <formula>H79</formula>
    </cfRule>
  </conditionalFormatting>
  <conditionalFormatting sqref="R8">
    <cfRule type="cellIs" priority="424" operator="lessThanOrEqual" aboveAverage="0" equalAverage="0" bottom="0" percent="0" rank="0" text="" dxfId="0">
      <formula>H8</formula>
    </cfRule>
  </conditionalFormatting>
  <conditionalFormatting sqref="R81">
    <cfRule type="cellIs" priority="425" operator="lessThanOrEqual" aboveAverage="0" equalAverage="0" bottom="0" percent="0" rank="0" text="" dxfId="0">
      <formula>H81</formula>
    </cfRule>
  </conditionalFormatting>
  <conditionalFormatting sqref="R82">
    <cfRule type="cellIs" priority="426" operator="lessThanOrEqual" aboveAverage="0" equalAverage="0" bottom="0" percent="0" rank="0" text="" dxfId="0">
      <formula>H82</formula>
    </cfRule>
  </conditionalFormatting>
  <conditionalFormatting sqref="R84">
    <cfRule type="cellIs" priority="427" operator="lessThanOrEqual" aboveAverage="0" equalAverage="0" bottom="0" percent="0" rank="0" text="" dxfId="0">
      <formula>H84</formula>
    </cfRule>
  </conditionalFormatting>
  <conditionalFormatting sqref="R85">
    <cfRule type="cellIs" priority="428" operator="lessThanOrEqual" aboveAverage="0" equalAverage="0" bottom="0" percent="0" rank="0" text="" dxfId="0">
      <formula>H85</formula>
    </cfRule>
  </conditionalFormatting>
  <conditionalFormatting sqref="R87">
    <cfRule type="cellIs" priority="429" operator="lessThanOrEqual" aboveAverage="0" equalAverage="0" bottom="0" percent="0" rank="0" text="" dxfId="0">
      <formula>H87</formula>
    </cfRule>
  </conditionalFormatting>
  <conditionalFormatting sqref="R88">
    <cfRule type="cellIs" priority="430" operator="lessThanOrEqual" aboveAverage="0" equalAverage="0" bottom="0" percent="0" rank="0" text="" dxfId="0">
      <formula>H88</formula>
    </cfRule>
  </conditionalFormatting>
  <conditionalFormatting sqref="R89">
    <cfRule type="cellIs" priority="431" operator="lessThanOrEqual" aboveAverage="0" equalAverage="0" bottom="0" percent="0" rank="0" text="" dxfId="0">
      <formula>H89</formula>
    </cfRule>
  </conditionalFormatting>
  <conditionalFormatting sqref="R90">
    <cfRule type="cellIs" priority="432" operator="lessThanOrEqual" aboveAverage="0" equalAverage="0" bottom="0" percent="0" rank="0" text="" dxfId="0">
      <formula>H90</formula>
    </cfRule>
  </conditionalFormatting>
  <conditionalFormatting sqref="R91">
    <cfRule type="cellIs" priority="433" operator="lessThanOrEqual" aboveAverage="0" equalAverage="0" bottom="0" percent="0" rank="0" text="" dxfId="0">
      <formula>H91</formula>
    </cfRule>
  </conditionalFormatting>
  <conditionalFormatting sqref="R92">
    <cfRule type="cellIs" priority="434" operator="lessThanOrEqual" aboveAverage="0" equalAverage="0" bottom="0" percent="0" rank="0" text="" dxfId="0">
      <formula>H92</formula>
    </cfRule>
  </conditionalFormatting>
  <conditionalFormatting sqref="R93">
    <cfRule type="cellIs" priority="435" operator="lessThanOrEqual" aboveAverage="0" equalAverage="0" bottom="0" percent="0" rank="0" text="" dxfId="0">
      <formula>H93</formula>
    </cfRule>
  </conditionalFormatting>
  <conditionalFormatting sqref="R94">
    <cfRule type="cellIs" priority="436" operator="lessThanOrEqual" aboveAverage="0" equalAverage="0" bottom="0" percent="0" rank="0" text="" dxfId="0">
      <formula>H94</formula>
    </cfRule>
  </conditionalFormatting>
  <conditionalFormatting sqref="R95">
    <cfRule type="cellIs" priority="437" operator="lessThanOrEqual" aboveAverage="0" equalAverage="0" bottom="0" percent="0" rank="0" text="" dxfId="0">
      <formula>H95</formula>
    </cfRule>
  </conditionalFormatting>
  <conditionalFormatting sqref="R96">
    <cfRule type="cellIs" priority="438" operator="lessThanOrEqual" aboveAverage="0" equalAverage="0" bottom="0" percent="0" rank="0" text="" dxfId="0">
      <formula>H96</formula>
    </cfRule>
  </conditionalFormatting>
  <conditionalFormatting sqref="R97">
    <cfRule type="cellIs" priority="439" operator="lessThanOrEqual" aboveAverage="0" equalAverage="0" bottom="0" percent="0" rank="0" text="" dxfId="0">
      <formula>H97</formula>
    </cfRule>
  </conditionalFormatting>
  <conditionalFormatting sqref="R99">
    <cfRule type="cellIs" priority="440" operator="lessThanOrEqual" aboveAverage="0" equalAverage="0" bottom="0" percent="0" rank="0" text="" dxfId="0">
      <formula>H99</formula>
    </cfRule>
  </conditionalFormatting>
  <conditionalFormatting sqref="S10">
    <cfRule type="cellIs" priority="441" operator="lessThanOrEqual" aboveAverage="0" equalAverage="0" bottom="0" percent="0" rank="0" text="" dxfId="0">
      <formula>I10</formula>
    </cfRule>
  </conditionalFormatting>
  <conditionalFormatting sqref="S100">
    <cfRule type="cellIs" priority="442" operator="lessThanOrEqual" aboveAverage="0" equalAverage="0" bottom="0" percent="0" rank="0" text="" dxfId="0">
      <formula>I100</formula>
    </cfRule>
  </conditionalFormatting>
  <conditionalFormatting sqref="S101">
    <cfRule type="cellIs" priority="443" operator="lessThanOrEqual" aboveAverage="0" equalAverage="0" bottom="0" percent="0" rank="0" text="" dxfId="0">
      <formula>I101</formula>
    </cfRule>
  </conditionalFormatting>
  <conditionalFormatting sqref="S103">
    <cfRule type="cellIs" priority="444" operator="lessThanOrEqual" aboveAverage="0" equalAverage="0" bottom="0" percent="0" rank="0" text="" dxfId="0">
      <formula>I103</formula>
    </cfRule>
  </conditionalFormatting>
  <conditionalFormatting sqref="S104">
    <cfRule type="cellIs" priority="445" operator="lessThanOrEqual" aboveAverage="0" equalAverage="0" bottom="0" percent="0" rank="0" text="" dxfId="0">
      <formula>I104</formula>
    </cfRule>
  </conditionalFormatting>
  <conditionalFormatting sqref="S105">
    <cfRule type="cellIs" priority="446" operator="lessThanOrEqual" aboveAverage="0" equalAverage="0" bottom="0" percent="0" rank="0" text="" dxfId="0">
      <formula>I105</formula>
    </cfRule>
  </conditionalFormatting>
  <conditionalFormatting sqref="S106">
    <cfRule type="cellIs" priority="447" operator="lessThanOrEqual" aboveAverage="0" equalAverage="0" bottom="0" percent="0" rank="0" text="" dxfId="0">
      <formula>I106</formula>
    </cfRule>
  </conditionalFormatting>
  <conditionalFormatting sqref="S107">
    <cfRule type="cellIs" priority="448" operator="lessThanOrEqual" aboveAverage="0" equalAverage="0" bottom="0" percent="0" rank="0" text="" dxfId="0">
      <formula>I107</formula>
    </cfRule>
  </conditionalFormatting>
  <conditionalFormatting sqref="S108">
    <cfRule type="cellIs" priority="449" operator="lessThanOrEqual" aboveAverage="0" equalAverage="0" bottom="0" percent="0" rank="0" text="" dxfId="0">
      <formula>I108</formula>
    </cfRule>
  </conditionalFormatting>
  <conditionalFormatting sqref="S109">
    <cfRule type="cellIs" priority="450" operator="lessThanOrEqual" aboveAverage="0" equalAverage="0" bottom="0" percent="0" rank="0" text="" dxfId="0">
      <formula>I109</formula>
    </cfRule>
  </conditionalFormatting>
  <conditionalFormatting sqref="S11">
    <cfRule type="cellIs" priority="451" operator="lessThanOrEqual" aboveAverage="0" equalAverage="0" bottom="0" percent="0" rank="0" text="" dxfId="0">
      <formula>I11</formula>
    </cfRule>
  </conditionalFormatting>
  <conditionalFormatting sqref="S110">
    <cfRule type="cellIs" priority="452" operator="lessThanOrEqual" aboveAverage="0" equalAverage="0" bottom="0" percent="0" rank="0" text="" dxfId="0">
      <formula>I110</formula>
    </cfRule>
  </conditionalFormatting>
  <conditionalFormatting sqref="S111">
    <cfRule type="cellIs" priority="453" operator="lessThanOrEqual" aboveAverage="0" equalAverage="0" bottom="0" percent="0" rank="0" text="" dxfId="0">
      <formula>I111</formula>
    </cfRule>
  </conditionalFormatting>
  <conditionalFormatting sqref="S112">
    <cfRule type="cellIs" priority="454" operator="lessThanOrEqual" aboveAverage="0" equalAverage="0" bottom="0" percent="0" rank="0" text="" dxfId="0">
      <formula>I112</formula>
    </cfRule>
  </conditionalFormatting>
  <conditionalFormatting sqref="S113">
    <cfRule type="cellIs" priority="455" operator="lessThanOrEqual" aboveAverage="0" equalAverage="0" bottom="0" percent="0" rank="0" text="" dxfId="0">
      <formula>I113</formula>
    </cfRule>
  </conditionalFormatting>
  <conditionalFormatting sqref="S114">
    <cfRule type="cellIs" priority="456" operator="lessThanOrEqual" aboveAverage="0" equalAverage="0" bottom="0" percent="0" rank="0" text="" dxfId="0">
      <formula>I114</formula>
    </cfRule>
  </conditionalFormatting>
  <conditionalFormatting sqref="S115">
    <cfRule type="cellIs" priority="457" operator="lessThanOrEqual" aboveAverage="0" equalAverage="0" bottom="0" percent="0" rank="0" text="" dxfId="0">
      <formula>I115</formula>
    </cfRule>
  </conditionalFormatting>
  <conditionalFormatting sqref="S116">
    <cfRule type="cellIs" priority="458" operator="lessThanOrEqual" aboveAverage="0" equalAverage="0" bottom="0" percent="0" rank="0" text="" dxfId="0">
      <formula>I116</formula>
    </cfRule>
  </conditionalFormatting>
  <conditionalFormatting sqref="S117">
    <cfRule type="cellIs" priority="459" operator="lessThanOrEqual" aboveAverage="0" equalAverage="0" bottom="0" percent="0" rank="0" text="" dxfId="0">
      <formula>I117</formula>
    </cfRule>
  </conditionalFormatting>
  <conditionalFormatting sqref="S118">
    <cfRule type="cellIs" priority="460" operator="lessThanOrEqual" aboveAverage="0" equalAverage="0" bottom="0" percent="0" rank="0" text="" dxfId="0">
      <formula>I118</formula>
    </cfRule>
  </conditionalFormatting>
  <conditionalFormatting sqref="S119">
    <cfRule type="cellIs" priority="461" operator="lessThanOrEqual" aboveAverage="0" equalAverage="0" bottom="0" percent="0" rank="0" text="" dxfId="0">
      <formula>I119</formula>
    </cfRule>
  </conditionalFormatting>
  <conditionalFormatting sqref="S12">
    <cfRule type="cellIs" priority="462" operator="lessThanOrEqual" aboveAverage="0" equalAverage="0" bottom="0" percent="0" rank="0" text="" dxfId="0">
      <formula>I12</formula>
    </cfRule>
  </conditionalFormatting>
  <conditionalFormatting sqref="S120">
    <cfRule type="cellIs" priority="463" operator="lessThanOrEqual" aboveAverage="0" equalAverage="0" bottom="0" percent="0" rank="0" text="" dxfId="0">
      <formula>I120</formula>
    </cfRule>
  </conditionalFormatting>
  <conditionalFormatting sqref="S121">
    <cfRule type="cellIs" priority="464" operator="lessThanOrEqual" aboveAverage="0" equalAverage="0" bottom="0" percent="0" rank="0" text="" dxfId="0">
      <formula>I121</formula>
    </cfRule>
  </conditionalFormatting>
  <conditionalFormatting sqref="S122">
    <cfRule type="cellIs" priority="465" operator="lessThanOrEqual" aboveAverage="0" equalAverage="0" bottom="0" percent="0" rank="0" text="" dxfId="0">
      <formula>I122</formula>
    </cfRule>
  </conditionalFormatting>
  <conditionalFormatting sqref="S123">
    <cfRule type="cellIs" priority="466" operator="lessThanOrEqual" aboveAverage="0" equalAverage="0" bottom="0" percent="0" rank="0" text="" dxfId="0">
      <formula>I123</formula>
    </cfRule>
  </conditionalFormatting>
  <conditionalFormatting sqref="S124">
    <cfRule type="cellIs" priority="467" operator="lessThanOrEqual" aboveAverage="0" equalAverage="0" bottom="0" percent="0" rank="0" text="" dxfId="0">
      <formula>I124</formula>
    </cfRule>
  </conditionalFormatting>
  <conditionalFormatting sqref="S125">
    <cfRule type="cellIs" priority="468" operator="lessThanOrEqual" aboveAverage="0" equalAverage="0" bottom="0" percent="0" rank="0" text="" dxfId="0">
      <formula>I125</formula>
    </cfRule>
  </conditionalFormatting>
  <conditionalFormatting sqref="S126">
    <cfRule type="cellIs" priority="469" operator="lessThanOrEqual" aboveAverage="0" equalAverage="0" bottom="0" percent="0" rank="0" text="" dxfId="0">
      <formula>I126</formula>
    </cfRule>
  </conditionalFormatting>
  <conditionalFormatting sqref="S127">
    <cfRule type="cellIs" priority="470" operator="lessThanOrEqual" aboveAverage="0" equalAverage="0" bottom="0" percent="0" rank="0" text="" dxfId="0">
      <formula>I127</formula>
    </cfRule>
  </conditionalFormatting>
  <conditionalFormatting sqref="S128">
    <cfRule type="cellIs" priority="471" operator="lessThanOrEqual" aboveAverage="0" equalAverage="0" bottom="0" percent="0" rank="0" text="" dxfId="0">
      <formula>I128</formula>
    </cfRule>
  </conditionalFormatting>
  <conditionalFormatting sqref="S129">
    <cfRule type="cellIs" priority="472" operator="lessThanOrEqual" aboveAverage="0" equalAverage="0" bottom="0" percent="0" rank="0" text="" dxfId="0">
      <formula>I129</formula>
    </cfRule>
  </conditionalFormatting>
  <conditionalFormatting sqref="S130">
    <cfRule type="cellIs" priority="473" operator="lessThanOrEqual" aboveAverage="0" equalAverage="0" bottom="0" percent="0" rank="0" text="" dxfId="0">
      <formula>I130</formula>
    </cfRule>
  </conditionalFormatting>
  <conditionalFormatting sqref="S131">
    <cfRule type="cellIs" priority="474" operator="lessThanOrEqual" aboveAverage="0" equalAverage="0" bottom="0" percent="0" rank="0" text="" dxfId="0">
      <formula>I131</formula>
    </cfRule>
  </conditionalFormatting>
  <conditionalFormatting sqref="S132">
    <cfRule type="cellIs" priority="475" operator="lessThanOrEqual" aboveAverage="0" equalAverage="0" bottom="0" percent="0" rank="0" text="" dxfId="0">
      <formula>I132</formula>
    </cfRule>
  </conditionalFormatting>
  <conditionalFormatting sqref="S133">
    <cfRule type="cellIs" priority="476" operator="lessThanOrEqual" aboveAverage="0" equalAverage="0" bottom="0" percent="0" rank="0" text="" dxfId="0">
      <formula>I133</formula>
    </cfRule>
  </conditionalFormatting>
  <conditionalFormatting sqref="S134">
    <cfRule type="cellIs" priority="477" operator="lessThanOrEqual" aboveAverage="0" equalAverage="0" bottom="0" percent="0" rank="0" text="" dxfId="0">
      <formula>I134</formula>
    </cfRule>
  </conditionalFormatting>
  <conditionalFormatting sqref="S135">
    <cfRule type="cellIs" priority="478" operator="lessThanOrEqual" aboveAverage="0" equalAverage="0" bottom="0" percent="0" rank="0" text="" dxfId="0">
      <formula>I135</formula>
    </cfRule>
  </conditionalFormatting>
  <conditionalFormatting sqref="S137">
    <cfRule type="cellIs" priority="479" operator="lessThanOrEqual" aboveAverage="0" equalAverage="0" bottom="0" percent="0" rank="0" text="" dxfId="0">
      <formula>I137</formula>
    </cfRule>
  </conditionalFormatting>
  <conditionalFormatting sqref="S138">
    <cfRule type="cellIs" priority="480" operator="lessThanOrEqual" aboveAverage="0" equalAverage="0" bottom="0" percent="0" rank="0" text="" dxfId="0">
      <formula>I138</formula>
    </cfRule>
  </conditionalFormatting>
  <conditionalFormatting sqref="S14">
    <cfRule type="cellIs" priority="481" operator="lessThanOrEqual" aboveAverage="0" equalAverage="0" bottom="0" percent="0" rank="0" text="" dxfId="0">
      <formula>I14</formula>
    </cfRule>
  </conditionalFormatting>
  <conditionalFormatting sqref="S140">
    <cfRule type="cellIs" priority="482" operator="lessThanOrEqual" aboveAverage="0" equalAverage="0" bottom="0" percent="0" rank="0" text="" dxfId="0">
      <formula>I140</formula>
    </cfRule>
  </conditionalFormatting>
  <conditionalFormatting sqref="S141">
    <cfRule type="cellIs" priority="483" operator="lessThanOrEqual" aboveAverage="0" equalAverage="0" bottom="0" percent="0" rank="0" text="" dxfId="0">
      <formula>I141</formula>
    </cfRule>
  </conditionalFormatting>
  <conditionalFormatting sqref="S142">
    <cfRule type="cellIs" priority="484" operator="lessThanOrEqual" aboveAverage="0" equalAverage="0" bottom="0" percent="0" rank="0" text="" dxfId="0">
      <formula>I142</formula>
    </cfRule>
  </conditionalFormatting>
  <conditionalFormatting sqref="S143">
    <cfRule type="cellIs" priority="485" operator="lessThanOrEqual" aboveAverage="0" equalAverage="0" bottom="0" percent="0" rank="0" text="" dxfId="0">
      <formula>I143</formula>
    </cfRule>
  </conditionalFormatting>
  <conditionalFormatting sqref="S144">
    <cfRule type="cellIs" priority="486" operator="lessThanOrEqual" aboveAverage="0" equalAverage="0" bottom="0" percent="0" rank="0" text="" dxfId="0">
      <formula>I144</formula>
    </cfRule>
  </conditionalFormatting>
  <conditionalFormatting sqref="S145">
    <cfRule type="cellIs" priority="487" operator="lessThanOrEqual" aboveAverage="0" equalAverage="0" bottom="0" percent="0" rank="0" text="" dxfId="0">
      <formula>I145</formula>
    </cfRule>
  </conditionalFormatting>
  <conditionalFormatting sqref="S147">
    <cfRule type="cellIs" priority="488" operator="lessThanOrEqual" aboveAverage="0" equalAverage="0" bottom="0" percent="0" rank="0" text="" dxfId="0">
      <formula>I147</formula>
    </cfRule>
  </conditionalFormatting>
  <conditionalFormatting sqref="S148">
    <cfRule type="cellIs" priority="489" operator="lessThanOrEqual" aboveAverage="0" equalAverage="0" bottom="0" percent="0" rank="0" text="" dxfId="0">
      <formula>I148</formula>
    </cfRule>
  </conditionalFormatting>
  <conditionalFormatting sqref="S149">
    <cfRule type="cellIs" priority="490" operator="lessThanOrEqual" aboveAverage="0" equalAverage="0" bottom="0" percent="0" rank="0" text="" dxfId="0">
      <formula>I149</formula>
    </cfRule>
  </conditionalFormatting>
  <conditionalFormatting sqref="S150">
    <cfRule type="cellIs" priority="491" operator="lessThanOrEqual" aboveAverage="0" equalAverage="0" bottom="0" percent="0" rank="0" text="" dxfId="0">
      <formula>I150</formula>
    </cfRule>
  </conditionalFormatting>
  <conditionalFormatting sqref="S151">
    <cfRule type="cellIs" priority="492" operator="lessThanOrEqual" aboveAverage="0" equalAverage="0" bottom="0" percent="0" rank="0" text="" dxfId="0">
      <formula>I151</formula>
    </cfRule>
  </conditionalFormatting>
  <conditionalFormatting sqref="S152">
    <cfRule type="cellIs" priority="493" operator="lessThanOrEqual" aboveAverage="0" equalAverage="0" bottom="0" percent="0" rank="0" text="" dxfId="0">
      <formula>I152</formula>
    </cfRule>
  </conditionalFormatting>
  <conditionalFormatting sqref="S153">
    <cfRule type="cellIs" priority="494" operator="lessThanOrEqual" aboveAverage="0" equalAverage="0" bottom="0" percent="0" rank="0" text="" dxfId="0">
      <formula>I153</formula>
    </cfRule>
  </conditionalFormatting>
  <conditionalFormatting sqref="S155">
    <cfRule type="cellIs" priority="495" operator="lessThanOrEqual" aboveAverage="0" equalAverage="0" bottom="0" percent="0" rank="0" text="" dxfId="0">
      <formula>I155</formula>
    </cfRule>
  </conditionalFormatting>
  <conditionalFormatting sqref="S156">
    <cfRule type="cellIs" priority="496" operator="lessThanOrEqual" aboveAverage="0" equalAverage="0" bottom="0" percent="0" rank="0" text="" dxfId="0">
      <formula>I156</formula>
    </cfRule>
  </conditionalFormatting>
  <conditionalFormatting sqref="S157">
    <cfRule type="cellIs" priority="497" operator="lessThanOrEqual" aboveAverage="0" equalAverage="0" bottom="0" percent="0" rank="0" text="" dxfId="0">
      <formula>I157</formula>
    </cfRule>
  </conditionalFormatting>
  <conditionalFormatting sqref="S159">
    <cfRule type="cellIs" priority="498" operator="lessThanOrEqual" aboveAverage="0" equalAverage="0" bottom="0" percent="0" rank="0" text="" dxfId="0">
      <formula>I159</formula>
    </cfRule>
  </conditionalFormatting>
  <conditionalFormatting sqref="S16">
    <cfRule type="cellIs" priority="499" operator="lessThanOrEqual" aboveAverage="0" equalAverage="0" bottom="0" percent="0" rank="0" text="" dxfId="0">
      <formula>I16</formula>
    </cfRule>
  </conditionalFormatting>
  <conditionalFormatting sqref="S160">
    <cfRule type="cellIs" priority="500" operator="lessThanOrEqual" aboveAverage="0" equalAverage="0" bottom="0" percent="0" rank="0" text="" dxfId="0">
      <formula>I160</formula>
    </cfRule>
  </conditionalFormatting>
  <conditionalFormatting sqref="S161">
    <cfRule type="cellIs" priority="501" operator="lessThanOrEqual" aboveAverage="0" equalAverage="0" bottom="0" percent="0" rank="0" text="" dxfId="0">
      <formula>I161</formula>
    </cfRule>
  </conditionalFormatting>
  <conditionalFormatting sqref="S162">
    <cfRule type="cellIs" priority="502" operator="lessThanOrEqual" aboveAverage="0" equalAverage="0" bottom="0" percent="0" rank="0" text="" dxfId="0">
      <formula>I162</formula>
    </cfRule>
  </conditionalFormatting>
  <conditionalFormatting sqref="S163">
    <cfRule type="cellIs" priority="503" operator="lessThanOrEqual" aboveAverage="0" equalAverage="0" bottom="0" percent="0" rank="0" text="" dxfId="0">
      <formula>I163</formula>
    </cfRule>
  </conditionalFormatting>
  <conditionalFormatting sqref="S164">
    <cfRule type="cellIs" priority="504" operator="lessThanOrEqual" aboveAverage="0" equalAverage="0" bottom="0" percent="0" rank="0" text="" dxfId="0">
      <formula>I164</formula>
    </cfRule>
  </conditionalFormatting>
  <conditionalFormatting sqref="S165">
    <cfRule type="cellIs" priority="505" operator="lessThanOrEqual" aboveAverage="0" equalAverage="0" bottom="0" percent="0" rank="0" text="" dxfId="0">
      <formula>I165</formula>
    </cfRule>
  </conditionalFormatting>
  <conditionalFormatting sqref="S166">
    <cfRule type="cellIs" priority="506" operator="lessThanOrEqual" aboveAverage="0" equalAverage="0" bottom="0" percent="0" rank="0" text="" dxfId="0">
      <formula>I166</formula>
    </cfRule>
  </conditionalFormatting>
  <conditionalFormatting sqref="S167">
    <cfRule type="cellIs" priority="507" operator="lessThanOrEqual" aboveAverage="0" equalAverage="0" bottom="0" percent="0" rank="0" text="" dxfId="0">
      <formula>I167</formula>
    </cfRule>
  </conditionalFormatting>
  <conditionalFormatting sqref="S168">
    <cfRule type="cellIs" priority="508" operator="lessThanOrEqual" aboveAverage="0" equalAverage="0" bottom="0" percent="0" rank="0" text="" dxfId="0">
      <formula>I168</formula>
    </cfRule>
  </conditionalFormatting>
  <conditionalFormatting sqref="S17">
    <cfRule type="cellIs" priority="509" operator="lessThanOrEqual" aboveAverage="0" equalAverage="0" bottom="0" percent="0" rank="0" text="" dxfId="0">
      <formula>I17</formula>
    </cfRule>
  </conditionalFormatting>
  <conditionalFormatting sqref="S171">
    <cfRule type="cellIs" priority="510" operator="lessThanOrEqual" aboveAverage="0" equalAverage="0" bottom="0" percent="0" rank="0" text="" dxfId="0">
      <formula>I171</formula>
    </cfRule>
  </conditionalFormatting>
  <conditionalFormatting sqref="S19">
    <cfRule type="cellIs" priority="511" operator="lessThanOrEqual" aboveAverage="0" equalAverage="0" bottom="0" percent="0" rank="0" text="" dxfId="0">
      <formula>I19</formula>
    </cfRule>
  </conditionalFormatting>
  <conditionalFormatting sqref="S20">
    <cfRule type="cellIs" priority="512" operator="lessThanOrEqual" aboveAverage="0" equalAverage="0" bottom="0" percent="0" rank="0" text="" dxfId="0">
      <formula>I20</formula>
    </cfRule>
  </conditionalFormatting>
  <conditionalFormatting sqref="S21">
    <cfRule type="cellIs" priority="513" operator="lessThanOrEqual" aboveAverage="0" equalAverage="0" bottom="0" percent="0" rank="0" text="" dxfId="0">
      <formula>I21</formula>
    </cfRule>
  </conditionalFormatting>
  <conditionalFormatting sqref="S22">
    <cfRule type="cellIs" priority="514" operator="lessThanOrEqual" aboveAverage="0" equalAverage="0" bottom="0" percent="0" rank="0" text="" dxfId="0">
      <formula>I22</formula>
    </cfRule>
  </conditionalFormatting>
  <conditionalFormatting sqref="S23">
    <cfRule type="cellIs" priority="515" operator="lessThanOrEqual" aboveAverage="0" equalAverage="0" bottom="0" percent="0" rank="0" text="" dxfId="0">
      <formula>I23</formula>
    </cfRule>
  </conditionalFormatting>
  <conditionalFormatting sqref="S24">
    <cfRule type="cellIs" priority="516" operator="lessThanOrEqual" aboveAverage="0" equalAverage="0" bottom="0" percent="0" rank="0" text="" dxfId="0">
      <formula>I24</formula>
    </cfRule>
  </conditionalFormatting>
  <conditionalFormatting sqref="S25">
    <cfRule type="cellIs" priority="517" operator="lessThanOrEqual" aboveAverage="0" equalAverage="0" bottom="0" percent="0" rank="0" text="" dxfId="0">
      <formula>I25</formula>
    </cfRule>
  </conditionalFormatting>
  <conditionalFormatting sqref="S26">
    <cfRule type="cellIs" priority="518" operator="lessThanOrEqual" aboveAverage="0" equalAverage="0" bottom="0" percent="0" rank="0" text="" dxfId="0">
      <formula>I26</formula>
    </cfRule>
  </conditionalFormatting>
  <conditionalFormatting sqref="S28">
    <cfRule type="cellIs" priority="519" operator="lessThanOrEqual" aboveAverage="0" equalAverage="0" bottom="0" percent="0" rank="0" text="" dxfId="0">
      <formula>I28</formula>
    </cfRule>
  </conditionalFormatting>
  <conditionalFormatting sqref="S29">
    <cfRule type="cellIs" priority="520" operator="lessThanOrEqual" aboveAverage="0" equalAverage="0" bottom="0" percent="0" rank="0" text="" dxfId="0">
      <formula>I29</formula>
    </cfRule>
  </conditionalFormatting>
  <conditionalFormatting sqref="S30">
    <cfRule type="cellIs" priority="521" operator="lessThanOrEqual" aboveAverage="0" equalAverage="0" bottom="0" percent="0" rank="0" text="" dxfId="0">
      <formula>I30</formula>
    </cfRule>
  </conditionalFormatting>
  <conditionalFormatting sqref="S31">
    <cfRule type="cellIs" priority="522" operator="lessThanOrEqual" aboveAverage="0" equalAverage="0" bottom="0" percent="0" rank="0" text="" dxfId="0">
      <formula>I31</formula>
    </cfRule>
  </conditionalFormatting>
  <conditionalFormatting sqref="S32">
    <cfRule type="cellIs" priority="523" operator="lessThanOrEqual" aboveAverage="0" equalAverage="0" bottom="0" percent="0" rank="0" text="" dxfId="0">
      <formula>I32</formula>
    </cfRule>
  </conditionalFormatting>
  <conditionalFormatting sqref="S33">
    <cfRule type="cellIs" priority="524" operator="lessThanOrEqual" aboveAverage="0" equalAverage="0" bottom="0" percent="0" rank="0" text="" dxfId="0">
      <formula>I33</formula>
    </cfRule>
  </conditionalFormatting>
  <conditionalFormatting sqref="S34">
    <cfRule type="cellIs" priority="525" operator="lessThanOrEqual" aboveAverage="0" equalAverage="0" bottom="0" percent="0" rank="0" text="" dxfId="0">
      <formula>I34</formula>
    </cfRule>
  </conditionalFormatting>
  <conditionalFormatting sqref="S35">
    <cfRule type="cellIs" priority="526" operator="lessThanOrEqual" aboveAverage="0" equalAverage="0" bottom="0" percent="0" rank="0" text="" dxfId="0">
      <formula>I35</formula>
    </cfRule>
  </conditionalFormatting>
  <conditionalFormatting sqref="S36">
    <cfRule type="cellIs" priority="527" operator="lessThanOrEqual" aboveAverage="0" equalAverage="0" bottom="0" percent="0" rank="0" text="" dxfId="0">
      <formula>I36</formula>
    </cfRule>
  </conditionalFormatting>
  <conditionalFormatting sqref="S37">
    <cfRule type="cellIs" priority="528" operator="lessThanOrEqual" aboveAverage="0" equalAverage="0" bottom="0" percent="0" rank="0" text="" dxfId="0">
      <formula>I37</formula>
    </cfRule>
  </conditionalFormatting>
  <conditionalFormatting sqref="S39">
    <cfRule type="cellIs" priority="529" operator="lessThanOrEqual" aboveAverage="0" equalAverage="0" bottom="0" percent="0" rank="0" text="" dxfId="0">
      <formula>I39</formula>
    </cfRule>
  </conditionalFormatting>
  <conditionalFormatting sqref="S40">
    <cfRule type="cellIs" priority="530" operator="lessThanOrEqual" aboveAverage="0" equalAverage="0" bottom="0" percent="0" rank="0" text="" dxfId="0">
      <formula>I40</formula>
    </cfRule>
  </conditionalFormatting>
  <conditionalFormatting sqref="S41">
    <cfRule type="cellIs" priority="531" operator="lessThanOrEqual" aboveAverage="0" equalAverage="0" bottom="0" percent="0" rank="0" text="" dxfId="0">
      <formula>I41</formula>
    </cfRule>
  </conditionalFormatting>
  <conditionalFormatting sqref="S43">
    <cfRule type="cellIs" priority="532" operator="lessThanOrEqual" aboveAverage="0" equalAverage="0" bottom="0" percent="0" rank="0" text="" dxfId="0">
      <formula>I43</formula>
    </cfRule>
  </conditionalFormatting>
  <conditionalFormatting sqref="S44">
    <cfRule type="cellIs" priority="533" operator="lessThanOrEqual" aboveAverage="0" equalAverage="0" bottom="0" percent="0" rank="0" text="" dxfId="0">
      <formula>I44</formula>
    </cfRule>
  </conditionalFormatting>
  <conditionalFormatting sqref="S45">
    <cfRule type="cellIs" priority="534" operator="lessThanOrEqual" aboveAverage="0" equalAverage="0" bottom="0" percent="0" rank="0" text="" dxfId="0">
      <formula>I45</formula>
    </cfRule>
  </conditionalFormatting>
  <conditionalFormatting sqref="S46">
    <cfRule type="cellIs" priority="535" operator="lessThanOrEqual" aboveAverage="0" equalAverage="0" bottom="0" percent="0" rank="0" text="" dxfId="0">
      <formula>I46</formula>
    </cfRule>
  </conditionalFormatting>
  <conditionalFormatting sqref="S47">
    <cfRule type="cellIs" priority="536" operator="lessThanOrEqual" aboveAverage="0" equalAverage="0" bottom="0" percent="0" rank="0" text="" dxfId="0">
      <formula>I47</formula>
    </cfRule>
  </conditionalFormatting>
  <conditionalFormatting sqref="S48">
    <cfRule type="cellIs" priority="537" operator="lessThanOrEqual" aboveAverage="0" equalAverage="0" bottom="0" percent="0" rank="0" text="" dxfId="0">
      <formula>I48</formula>
    </cfRule>
  </conditionalFormatting>
  <conditionalFormatting sqref="S50">
    <cfRule type="cellIs" priority="538" operator="lessThanOrEqual" aboveAverage="0" equalAverage="0" bottom="0" percent="0" rank="0" text="" dxfId="0">
      <formula>I50</formula>
    </cfRule>
  </conditionalFormatting>
  <conditionalFormatting sqref="S51">
    <cfRule type="cellIs" priority="539" operator="lessThanOrEqual" aboveAverage="0" equalAverage="0" bottom="0" percent="0" rank="0" text="" dxfId="0">
      <formula>I51</formula>
    </cfRule>
  </conditionalFormatting>
  <conditionalFormatting sqref="S52">
    <cfRule type="cellIs" priority="540" operator="lessThanOrEqual" aboveAverage="0" equalAverage="0" bottom="0" percent="0" rank="0" text="" dxfId="0">
      <formula>I52</formula>
    </cfRule>
  </conditionalFormatting>
  <conditionalFormatting sqref="S53">
    <cfRule type="cellIs" priority="541" operator="lessThanOrEqual" aboveAverage="0" equalAverage="0" bottom="0" percent="0" rank="0" text="" dxfId="0">
      <formula>I53</formula>
    </cfRule>
  </conditionalFormatting>
  <conditionalFormatting sqref="S54">
    <cfRule type="cellIs" priority="542" operator="lessThanOrEqual" aboveAverage="0" equalAverage="0" bottom="0" percent="0" rank="0" text="" dxfId="0">
      <formula>I54</formula>
    </cfRule>
  </conditionalFormatting>
  <conditionalFormatting sqref="S55">
    <cfRule type="cellIs" priority="543" operator="lessThanOrEqual" aboveAverage="0" equalAverage="0" bottom="0" percent="0" rank="0" text="" dxfId="0">
      <formula>I55</formula>
    </cfRule>
  </conditionalFormatting>
  <conditionalFormatting sqref="S56">
    <cfRule type="cellIs" priority="544" operator="lessThanOrEqual" aboveAverage="0" equalAverage="0" bottom="0" percent="0" rank="0" text="" dxfId="0">
      <formula>I56</formula>
    </cfRule>
  </conditionalFormatting>
  <conditionalFormatting sqref="S57">
    <cfRule type="cellIs" priority="545" operator="lessThanOrEqual" aboveAverage="0" equalAverage="0" bottom="0" percent="0" rank="0" text="" dxfId="0">
      <formula>I57</formula>
    </cfRule>
  </conditionalFormatting>
  <conditionalFormatting sqref="S58">
    <cfRule type="cellIs" priority="546" operator="lessThanOrEqual" aboveAverage="0" equalAverage="0" bottom="0" percent="0" rank="0" text="" dxfId="0">
      <formula>I58</formula>
    </cfRule>
  </conditionalFormatting>
  <conditionalFormatting sqref="S59">
    <cfRule type="cellIs" priority="547" operator="lessThanOrEqual" aboveAverage="0" equalAverage="0" bottom="0" percent="0" rank="0" text="" dxfId="0">
      <formula>I59</formula>
    </cfRule>
  </conditionalFormatting>
  <conditionalFormatting sqref="S60">
    <cfRule type="cellIs" priority="548" operator="lessThanOrEqual" aboveAverage="0" equalAverage="0" bottom="0" percent="0" rank="0" text="" dxfId="0">
      <formula>I60</formula>
    </cfRule>
  </conditionalFormatting>
  <conditionalFormatting sqref="S61">
    <cfRule type="cellIs" priority="549" operator="lessThanOrEqual" aboveAverage="0" equalAverage="0" bottom="0" percent="0" rank="0" text="" dxfId="0">
      <formula>I61</formula>
    </cfRule>
  </conditionalFormatting>
  <conditionalFormatting sqref="S63">
    <cfRule type="cellIs" priority="550" operator="lessThanOrEqual" aboveAverage="0" equalAverage="0" bottom="0" percent="0" rank="0" text="" dxfId="0">
      <formula>I63</formula>
    </cfRule>
  </conditionalFormatting>
  <conditionalFormatting sqref="S64">
    <cfRule type="cellIs" priority="551" operator="lessThanOrEqual" aboveAverage="0" equalAverage="0" bottom="0" percent="0" rank="0" text="" dxfId="0">
      <formula>I64</formula>
    </cfRule>
  </conditionalFormatting>
  <conditionalFormatting sqref="S65">
    <cfRule type="cellIs" priority="552" operator="lessThanOrEqual" aboveAverage="0" equalAverage="0" bottom="0" percent="0" rank="0" text="" dxfId="0">
      <formula>I65</formula>
    </cfRule>
  </conditionalFormatting>
  <conditionalFormatting sqref="S66">
    <cfRule type="cellIs" priority="553" operator="lessThanOrEqual" aboveAverage="0" equalAverage="0" bottom="0" percent="0" rank="0" text="" dxfId="0">
      <formula>I66</formula>
    </cfRule>
  </conditionalFormatting>
  <conditionalFormatting sqref="S67">
    <cfRule type="cellIs" priority="554" operator="lessThanOrEqual" aboveAverage="0" equalAverage="0" bottom="0" percent="0" rank="0" text="" dxfId="0">
      <formula>I67</formula>
    </cfRule>
  </conditionalFormatting>
  <conditionalFormatting sqref="S68">
    <cfRule type="cellIs" priority="555" operator="lessThanOrEqual" aboveAverage="0" equalAverage="0" bottom="0" percent="0" rank="0" text="" dxfId="0">
      <formula>I68</formula>
    </cfRule>
  </conditionalFormatting>
  <conditionalFormatting sqref="S69">
    <cfRule type="cellIs" priority="556" operator="lessThanOrEqual" aboveAverage="0" equalAverage="0" bottom="0" percent="0" rank="0" text="" dxfId="0">
      <formula>I69</formula>
    </cfRule>
  </conditionalFormatting>
  <conditionalFormatting sqref="S7">
    <cfRule type="cellIs" priority="557" operator="lessThanOrEqual" aboveAverage="0" equalAverage="0" bottom="0" percent="0" rank="0" text="" dxfId="0">
      <formula>I7</formula>
    </cfRule>
  </conditionalFormatting>
  <conditionalFormatting sqref="S70">
    <cfRule type="cellIs" priority="558" operator="lessThanOrEqual" aboveAverage="0" equalAverage="0" bottom="0" percent="0" rank="0" text="" dxfId="0">
      <formula>I70</formula>
    </cfRule>
  </conditionalFormatting>
  <conditionalFormatting sqref="S72">
    <cfRule type="cellIs" priority="559" operator="lessThanOrEqual" aboveAverage="0" equalAverage="0" bottom="0" percent="0" rank="0" text="" dxfId="0">
      <formula>I72</formula>
    </cfRule>
  </conditionalFormatting>
  <conditionalFormatting sqref="S74">
    <cfRule type="cellIs" priority="560" operator="lessThanOrEqual" aboveAverage="0" equalAverage="0" bottom="0" percent="0" rank="0" text="" dxfId="0">
      <formula>I74</formula>
    </cfRule>
  </conditionalFormatting>
  <conditionalFormatting sqref="S76">
    <cfRule type="cellIs" priority="561" operator="lessThanOrEqual" aboveAverage="0" equalAverage="0" bottom="0" percent="0" rank="0" text="" dxfId="0">
      <formula>I76</formula>
    </cfRule>
  </conditionalFormatting>
  <conditionalFormatting sqref="S77">
    <cfRule type="cellIs" priority="562" operator="lessThanOrEqual" aboveAverage="0" equalAverage="0" bottom="0" percent="0" rank="0" text="" dxfId="0">
      <formula>I77</formula>
    </cfRule>
  </conditionalFormatting>
  <conditionalFormatting sqref="S78">
    <cfRule type="cellIs" priority="563" operator="lessThanOrEqual" aboveAverage="0" equalAverage="0" bottom="0" percent="0" rank="0" text="" dxfId="0">
      <formula>I78</formula>
    </cfRule>
  </conditionalFormatting>
  <conditionalFormatting sqref="S79">
    <cfRule type="cellIs" priority="564" operator="lessThanOrEqual" aboveAverage="0" equalAverage="0" bottom="0" percent="0" rank="0" text="" dxfId="0">
      <formula>I79</formula>
    </cfRule>
  </conditionalFormatting>
  <conditionalFormatting sqref="S8">
    <cfRule type="cellIs" priority="565" operator="lessThanOrEqual" aboveAverage="0" equalAverage="0" bottom="0" percent="0" rank="0" text="" dxfId="0">
      <formula>I8</formula>
    </cfRule>
  </conditionalFormatting>
  <conditionalFormatting sqref="S81">
    <cfRule type="cellIs" priority="566" operator="lessThanOrEqual" aboveAverage="0" equalAverage="0" bottom="0" percent="0" rank="0" text="" dxfId="0">
      <formula>I81</formula>
    </cfRule>
  </conditionalFormatting>
  <conditionalFormatting sqref="S82">
    <cfRule type="cellIs" priority="567" operator="lessThanOrEqual" aboveAverage="0" equalAverage="0" bottom="0" percent="0" rank="0" text="" dxfId="0">
      <formula>I82</formula>
    </cfRule>
  </conditionalFormatting>
  <conditionalFormatting sqref="S84">
    <cfRule type="cellIs" priority="568" operator="lessThanOrEqual" aboveAverage="0" equalAverage="0" bottom="0" percent="0" rank="0" text="" dxfId="0">
      <formula>I84</formula>
    </cfRule>
  </conditionalFormatting>
  <conditionalFormatting sqref="S85">
    <cfRule type="cellIs" priority="569" operator="lessThanOrEqual" aboveAverage="0" equalAverage="0" bottom="0" percent="0" rank="0" text="" dxfId="0">
      <formula>I85</formula>
    </cfRule>
  </conditionalFormatting>
  <conditionalFormatting sqref="S87">
    <cfRule type="cellIs" priority="570" operator="lessThanOrEqual" aboveAverage="0" equalAverage="0" bottom="0" percent="0" rank="0" text="" dxfId="0">
      <formula>I87</formula>
    </cfRule>
  </conditionalFormatting>
  <conditionalFormatting sqref="S88">
    <cfRule type="cellIs" priority="571" operator="lessThanOrEqual" aboveAverage="0" equalAverage="0" bottom="0" percent="0" rank="0" text="" dxfId="0">
      <formula>I88</formula>
    </cfRule>
  </conditionalFormatting>
  <conditionalFormatting sqref="S89">
    <cfRule type="cellIs" priority="572" operator="lessThanOrEqual" aboveAverage="0" equalAverage="0" bottom="0" percent="0" rank="0" text="" dxfId="0">
      <formula>I89</formula>
    </cfRule>
  </conditionalFormatting>
  <conditionalFormatting sqref="S90">
    <cfRule type="cellIs" priority="573" operator="lessThanOrEqual" aboveAverage="0" equalAverage="0" bottom="0" percent="0" rank="0" text="" dxfId="0">
      <formula>I90</formula>
    </cfRule>
  </conditionalFormatting>
  <conditionalFormatting sqref="S91">
    <cfRule type="cellIs" priority="574" operator="lessThanOrEqual" aboveAverage="0" equalAverage="0" bottom="0" percent="0" rank="0" text="" dxfId="0">
      <formula>I91</formula>
    </cfRule>
  </conditionalFormatting>
  <conditionalFormatting sqref="S92">
    <cfRule type="cellIs" priority="575" operator="lessThanOrEqual" aboveAverage="0" equalAverage="0" bottom="0" percent="0" rank="0" text="" dxfId="0">
      <formula>I92</formula>
    </cfRule>
  </conditionalFormatting>
  <conditionalFormatting sqref="S93">
    <cfRule type="cellIs" priority="576" operator="lessThanOrEqual" aboveAverage="0" equalAverage="0" bottom="0" percent="0" rank="0" text="" dxfId="0">
      <formula>I93</formula>
    </cfRule>
  </conditionalFormatting>
  <conditionalFormatting sqref="S94">
    <cfRule type="cellIs" priority="577" operator="lessThanOrEqual" aboveAverage="0" equalAverage="0" bottom="0" percent="0" rank="0" text="" dxfId="0">
      <formula>I94</formula>
    </cfRule>
  </conditionalFormatting>
  <conditionalFormatting sqref="S95">
    <cfRule type="cellIs" priority="578" operator="lessThanOrEqual" aboveAverage="0" equalAverage="0" bottom="0" percent="0" rank="0" text="" dxfId="0">
      <formula>I95</formula>
    </cfRule>
  </conditionalFormatting>
  <conditionalFormatting sqref="S96">
    <cfRule type="cellIs" priority="579" operator="lessThanOrEqual" aboveAverage="0" equalAverage="0" bottom="0" percent="0" rank="0" text="" dxfId="0">
      <formula>I96</formula>
    </cfRule>
  </conditionalFormatting>
  <conditionalFormatting sqref="S97">
    <cfRule type="cellIs" priority="580" operator="lessThanOrEqual" aboveAverage="0" equalAverage="0" bottom="0" percent="0" rank="0" text="" dxfId="0">
      <formula>I97</formula>
    </cfRule>
  </conditionalFormatting>
  <conditionalFormatting sqref="S99">
    <cfRule type="cellIs" priority="581" operator="lessThanOrEqual" aboveAverage="0" equalAverage="0" bottom="0" percent="0" rank="0" text="" dxfId="0">
      <formula>I99</formula>
    </cfRule>
  </conditionalFormatting>
  <conditionalFormatting sqref="X10">
    <cfRule type="cellIs" priority="582" operator="lessThanOrEqual" aboveAverage="0" equalAverage="0" bottom="0" percent="0" rank="0" text="" dxfId="0">
      <formula>H10</formula>
    </cfRule>
  </conditionalFormatting>
  <conditionalFormatting sqref="X100">
    <cfRule type="cellIs" priority="583" operator="lessThanOrEqual" aboveAverage="0" equalAverage="0" bottom="0" percent="0" rank="0" text="" dxfId="0">
      <formula>H100</formula>
    </cfRule>
  </conditionalFormatting>
  <conditionalFormatting sqref="X101">
    <cfRule type="cellIs" priority="584" operator="lessThanOrEqual" aboveAverage="0" equalAverage="0" bottom="0" percent="0" rank="0" text="" dxfId="0">
      <formula>H101</formula>
    </cfRule>
  </conditionalFormatting>
  <conditionalFormatting sqref="X103">
    <cfRule type="cellIs" priority="585" operator="lessThanOrEqual" aboveAverage="0" equalAverage="0" bottom="0" percent="0" rank="0" text="" dxfId="0">
      <formula>H103</formula>
    </cfRule>
  </conditionalFormatting>
  <conditionalFormatting sqref="X104">
    <cfRule type="cellIs" priority="586" operator="lessThanOrEqual" aboveAverage="0" equalAverage="0" bottom="0" percent="0" rank="0" text="" dxfId="0">
      <formula>H104</formula>
    </cfRule>
  </conditionalFormatting>
  <conditionalFormatting sqref="X105">
    <cfRule type="cellIs" priority="587" operator="lessThanOrEqual" aboveAverage="0" equalAverage="0" bottom="0" percent="0" rank="0" text="" dxfId="0">
      <formula>H105</formula>
    </cfRule>
  </conditionalFormatting>
  <conditionalFormatting sqref="X107">
    <cfRule type="cellIs" priority="588" operator="lessThanOrEqual" aboveAverage="0" equalAverage="0" bottom="0" percent="0" rank="0" text="" dxfId="0">
      <formula>H107</formula>
    </cfRule>
  </conditionalFormatting>
  <conditionalFormatting sqref="X109">
    <cfRule type="cellIs" priority="589" operator="lessThanOrEqual" aboveAverage="0" equalAverage="0" bottom="0" percent="0" rank="0" text="" dxfId="0">
      <formula>H109</formula>
    </cfRule>
  </conditionalFormatting>
  <conditionalFormatting sqref="X11">
    <cfRule type="cellIs" priority="590" operator="lessThanOrEqual" aboveAverage="0" equalAverage="0" bottom="0" percent="0" rank="0" text="" dxfId="0">
      <formula>H11</formula>
    </cfRule>
  </conditionalFormatting>
  <conditionalFormatting sqref="X110">
    <cfRule type="cellIs" priority="591" operator="lessThanOrEqual" aboveAverage="0" equalAverage="0" bottom="0" percent="0" rank="0" text="" dxfId="0">
      <formula>H110</formula>
    </cfRule>
  </conditionalFormatting>
  <conditionalFormatting sqref="X112">
    <cfRule type="cellIs" priority="592" operator="lessThanOrEqual" aboveAverage="0" equalAverage="0" bottom="0" percent="0" rank="0" text="" dxfId="0">
      <formula>H112</formula>
    </cfRule>
  </conditionalFormatting>
  <conditionalFormatting sqref="X113">
    <cfRule type="cellIs" priority="593" operator="lessThanOrEqual" aboveAverage="0" equalAverage="0" bottom="0" percent="0" rank="0" text="" dxfId="0">
      <formula>H113</formula>
    </cfRule>
  </conditionalFormatting>
  <conditionalFormatting sqref="X116">
    <cfRule type="cellIs" priority="594" operator="lessThanOrEqual" aboveAverage="0" equalAverage="0" bottom="0" percent="0" rank="0" text="" dxfId="0">
      <formula>H116</formula>
    </cfRule>
  </conditionalFormatting>
  <conditionalFormatting sqref="X117">
    <cfRule type="cellIs" priority="595" operator="lessThanOrEqual" aboveAverage="0" equalAverage="0" bottom="0" percent="0" rank="0" text="" dxfId="0">
      <formula>H117</formula>
    </cfRule>
  </conditionalFormatting>
  <conditionalFormatting sqref="X118">
    <cfRule type="cellIs" priority="596" operator="lessThanOrEqual" aboveAverage="0" equalAverage="0" bottom="0" percent="0" rank="0" text="" dxfId="0">
      <formula>H118</formula>
    </cfRule>
  </conditionalFormatting>
  <conditionalFormatting sqref="X119">
    <cfRule type="cellIs" priority="597" operator="lessThanOrEqual" aboveAverage="0" equalAverage="0" bottom="0" percent="0" rank="0" text="" dxfId="0">
      <formula>H119</formula>
    </cfRule>
  </conditionalFormatting>
  <conditionalFormatting sqref="X12">
    <cfRule type="cellIs" priority="598" operator="lessThanOrEqual" aboveAverage="0" equalAverage="0" bottom="0" percent="0" rank="0" text="" dxfId="0">
      <formula>H12</formula>
    </cfRule>
  </conditionalFormatting>
  <conditionalFormatting sqref="X121">
    <cfRule type="cellIs" priority="599" operator="lessThanOrEqual" aboveAverage="0" equalAverage="0" bottom="0" percent="0" rank="0" text="" dxfId="0">
      <formula>H121</formula>
    </cfRule>
  </conditionalFormatting>
  <conditionalFormatting sqref="X124">
    <cfRule type="cellIs" priority="600" operator="lessThanOrEqual" aboveAverage="0" equalAverage="0" bottom="0" percent="0" rank="0" text="" dxfId="0">
      <formula>H124</formula>
    </cfRule>
  </conditionalFormatting>
  <conditionalFormatting sqref="X125">
    <cfRule type="cellIs" priority="601" operator="lessThanOrEqual" aboveAverage="0" equalAverage="0" bottom="0" percent="0" rank="0" text="" dxfId="0">
      <formula>H125</formula>
    </cfRule>
  </conditionalFormatting>
  <conditionalFormatting sqref="X126">
    <cfRule type="cellIs" priority="602" operator="lessThanOrEqual" aboveAverage="0" equalAverage="0" bottom="0" percent="0" rank="0" text="" dxfId="0">
      <formula>H126</formula>
    </cfRule>
  </conditionalFormatting>
  <conditionalFormatting sqref="X127">
    <cfRule type="cellIs" priority="603" operator="lessThanOrEqual" aboveAverage="0" equalAverage="0" bottom="0" percent="0" rank="0" text="" dxfId="0">
      <formula>H127</formula>
    </cfRule>
  </conditionalFormatting>
  <conditionalFormatting sqref="X128">
    <cfRule type="cellIs" priority="604" operator="lessThanOrEqual" aboveAverage="0" equalAverage="0" bottom="0" percent="0" rank="0" text="" dxfId="0">
      <formula>H128</formula>
    </cfRule>
  </conditionalFormatting>
  <conditionalFormatting sqref="X129">
    <cfRule type="cellIs" priority="605" operator="lessThanOrEqual" aboveAverage="0" equalAverage="0" bottom="0" percent="0" rank="0" text="" dxfId="0">
      <formula>H129</formula>
    </cfRule>
  </conditionalFormatting>
  <conditionalFormatting sqref="X130">
    <cfRule type="cellIs" priority="606" operator="lessThanOrEqual" aboveAverage="0" equalAverage="0" bottom="0" percent="0" rank="0" text="" dxfId="0">
      <formula>H130</formula>
    </cfRule>
  </conditionalFormatting>
  <conditionalFormatting sqref="X131">
    <cfRule type="cellIs" priority="607" operator="lessThanOrEqual" aboveAverage="0" equalAverage="0" bottom="0" percent="0" rank="0" text="" dxfId="0">
      <formula>H131</formula>
    </cfRule>
  </conditionalFormatting>
  <conditionalFormatting sqref="X132">
    <cfRule type="cellIs" priority="608" operator="lessThanOrEqual" aboveAverage="0" equalAverage="0" bottom="0" percent="0" rank="0" text="" dxfId="0">
      <formula>H132</formula>
    </cfRule>
  </conditionalFormatting>
  <conditionalFormatting sqref="X133">
    <cfRule type="cellIs" priority="609" operator="lessThanOrEqual" aboveAverage="0" equalAverage="0" bottom="0" percent="0" rank="0" text="" dxfId="0">
      <formula>H133</formula>
    </cfRule>
  </conditionalFormatting>
  <conditionalFormatting sqref="X134">
    <cfRule type="cellIs" priority="610" operator="lessThanOrEqual" aboveAverage="0" equalAverage="0" bottom="0" percent="0" rank="0" text="" dxfId="0">
      <formula>H134</formula>
    </cfRule>
  </conditionalFormatting>
  <conditionalFormatting sqref="X135">
    <cfRule type="cellIs" priority="611" operator="lessThanOrEqual" aboveAverage="0" equalAverage="0" bottom="0" percent="0" rank="0" text="" dxfId="0">
      <formula>H135</formula>
    </cfRule>
  </conditionalFormatting>
  <conditionalFormatting sqref="X138">
    <cfRule type="cellIs" priority="612" operator="lessThanOrEqual" aboveAverage="0" equalAverage="0" bottom="0" percent="0" rank="0" text="" dxfId="0">
      <formula>H138</formula>
    </cfRule>
  </conditionalFormatting>
  <conditionalFormatting sqref="X139">
    <cfRule type="cellIs" priority="613" operator="lessThanOrEqual" aboveAverage="0" equalAverage="0" bottom="0" percent="0" rank="0" text="" dxfId="0">
      <formula>H139</formula>
    </cfRule>
  </conditionalFormatting>
  <conditionalFormatting sqref="X140">
    <cfRule type="cellIs" priority="614" operator="lessThanOrEqual" aboveAverage="0" equalAverage="0" bottom="0" percent="0" rank="0" text="" dxfId="0">
      <formula>H140</formula>
    </cfRule>
  </conditionalFormatting>
  <conditionalFormatting sqref="X142">
    <cfRule type="cellIs" priority="615" operator="lessThanOrEqual" aboveAverage="0" equalAverage="0" bottom="0" percent="0" rank="0" text="" dxfId="0">
      <formula>H142</formula>
    </cfRule>
  </conditionalFormatting>
  <conditionalFormatting sqref="X143">
    <cfRule type="cellIs" priority="616" operator="lessThanOrEqual" aboveAverage="0" equalAverage="0" bottom="0" percent="0" rank="0" text="" dxfId="0">
      <formula>H143</formula>
    </cfRule>
  </conditionalFormatting>
  <conditionalFormatting sqref="X144">
    <cfRule type="cellIs" priority="617" operator="lessThanOrEqual" aboveAverage="0" equalAverage="0" bottom="0" percent="0" rank="0" text="" dxfId="0">
      <formula>H144</formula>
    </cfRule>
  </conditionalFormatting>
  <conditionalFormatting sqref="X145">
    <cfRule type="cellIs" priority="618" operator="lessThanOrEqual" aboveAverage="0" equalAverage="0" bottom="0" percent="0" rank="0" text="" dxfId="0">
      <formula>H145</formula>
    </cfRule>
  </conditionalFormatting>
  <conditionalFormatting sqref="X147">
    <cfRule type="cellIs" priority="619" operator="lessThanOrEqual" aboveAverage="0" equalAverage="0" bottom="0" percent="0" rank="0" text="" dxfId="0">
      <formula>H147</formula>
    </cfRule>
  </conditionalFormatting>
  <conditionalFormatting sqref="X148">
    <cfRule type="cellIs" priority="620" operator="lessThanOrEqual" aboveAverage="0" equalAverage="0" bottom="0" percent="0" rank="0" text="" dxfId="0">
      <formula>H148</formula>
    </cfRule>
  </conditionalFormatting>
  <conditionalFormatting sqref="X149">
    <cfRule type="cellIs" priority="621" operator="lessThanOrEqual" aboveAverage="0" equalAverage="0" bottom="0" percent="0" rank="0" text="" dxfId="0">
      <formula>H149</formula>
    </cfRule>
  </conditionalFormatting>
  <conditionalFormatting sqref="X151">
    <cfRule type="cellIs" priority="622" operator="lessThanOrEqual" aboveAverage="0" equalAverage="0" bottom="0" percent="0" rank="0" text="" dxfId="0">
      <formula>H151</formula>
    </cfRule>
  </conditionalFormatting>
  <conditionalFormatting sqref="X152">
    <cfRule type="cellIs" priority="623" operator="lessThanOrEqual" aboveAverage="0" equalAverage="0" bottom="0" percent="0" rank="0" text="" dxfId="0">
      <formula>H152</formula>
    </cfRule>
  </conditionalFormatting>
  <conditionalFormatting sqref="X153">
    <cfRule type="cellIs" priority="624" operator="lessThanOrEqual" aboveAverage="0" equalAverage="0" bottom="0" percent="0" rank="0" text="" dxfId="0">
      <formula>H153</formula>
    </cfRule>
  </conditionalFormatting>
  <conditionalFormatting sqref="X155">
    <cfRule type="cellIs" priority="625" operator="lessThanOrEqual" aboveAverage="0" equalAverage="0" bottom="0" percent="0" rank="0" text="" dxfId="0">
      <formula>H155</formula>
    </cfRule>
  </conditionalFormatting>
  <conditionalFormatting sqref="X157">
    <cfRule type="cellIs" priority="626" operator="lessThanOrEqual" aboveAverage="0" equalAverage="0" bottom="0" percent="0" rank="0" text="" dxfId="0">
      <formula>H157</formula>
    </cfRule>
  </conditionalFormatting>
  <conditionalFormatting sqref="X160">
    <cfRule type="cellIs" priority="627" operator="lessThanOrEqual" aboveAverage="0" equalAverage="0" bottom="0" percent="0" rank="0" text="" dxfId="0">
      <formula>H160</formula>
    </cfRule>
  </conditionalFormatting>
  <conditionalFormatting sqref="X162">
    <cfRule type="cellIs" priority="628" operator="lessThanOrEqual" aboveAverage="0" equalAverage="0" bottom="0" percent="0" rank="0" text="" dxfId="0">
      <formula>H162</formula>
    </cfRule>
  </conditionalFormatting>
  <conditionalFormatting sqref="X164">
    <cfRule type="cellIs" priority="629" operator="lessThanOrEqual" aboveAverage="0" equalAverage="0" bottom="0" percent="0" rank="0" text="" dxfId="0">
      <formula>H164</formula>
    </cfRule>
  </conditionalFormatting>
  <conditionalFormatting sqref="X165">
    <cfRule type="cellIs" priority="630" operator="lessThanOrEqual" aboveAverage="0" equalAverage="0" bottom="0" percent="0" rank="0" text="" dxfId="0">
      <formula>H165</formula>
    </cfRule>
  </conditionalFormatting>
  <conditionalFormatting sqref="X167">
    <cfRule type="cellIs" priority="631" operator="lessThanOrEqual" aboveAverage="0" equalAverage="0" bottom="0" percent="0" rank="0" text="" dxfId="0">
      <formula>H167</formula>
    </cfRule>
  </conditionalFormatting>
  <conditionalFormatting sqref="X168">
    <cfRule type="cellIs" priority="632" operator="lessThanOrEqual" aboveAverage="0" equalAverage="0" bottom="0" percent="0" rank="0" text="" dxfId="0">
      <formula>H168</formula>
    </cfRule>
  </conditionalFormatting>
  <conditionalFormatting sqref="X171">
    <cfRule type="cellIs" priority="633" operator="lessThanOrEqual" aboveAverage="0" equalAverage="0" bottom="0" percent="0" rank="0" text="" dxfId="0">
      <formula>H171</formula>
    </cfRule>
  </conditionalFormatting>
  <conditionalFormatting sqref="X19">
    <cfRule type="cellIs" priority="634" operator="lessThanOrEqual" aboveAverage="0" equalAverage="0" bottom="0" percent="0" rank="0" text="" dxfId="0">
      <formula>H19</formula>
    </cfRule>
  </conditionalFormatting>
  <conditionalFormatting sqref="X20">
    <cfRule type="cellIs" priority="635" operator="lessThanOrEqual" aboveAverage="0" equalAverage="0" bottom="0" percent="0" rank="0" text="" dxfId="0">
      <formula>H20</formula>
    </cfRule>
  </conditionalFormatting>
  <conditionalFormatting sqref="X21">
    <cfRule type="cellIs" priority="636" operator="lessThanOrEqual" aboveAverage="0" equalAverage="0" bottom="0" percent="0" rank="0" text="" dxfId="0">
      <formula>H21</formula>
    </cfRule>
  </conditionalFormatting>
  <conditionalFormatting sqref="X22">
    <cfRule type="cellIs" priority="637" operator="lessThanOrEqual" aboveAverage="0" equalAverage="0" bottom="0" percent="0" rank="0" text="" dxfId="0">
      <formula>H22</formula>
    </cfRule>
  </conditionalFormatting>
  <conditionalFormatting sqref="X24">
    <cfRule type="cellIs" priority="638" operator="lessThanOrEqual" aboveAverage="0" equalAverage="0" bottom="0" percent="0" rank="0" text="" dxfId="0">
      <formula>H24</formula>
    </cfRule>
  </conditionalFormatting>
  <conditionalFormatting sqref="X25">
    <cfRule type="cellIs" priority="639" operator="lessThanOrEqual" aboveAverage="0" equalAverage="0" bottom="0" percent="0" rank="0" text="" dxfId="0">
      <formula>H25</formula>
    </cfRule>
  </conditionalFormatting>
  <conditionalFormatting sqref="X26">
    <cfRule type="cellIs" priority="640" operator="lessThanOrEqual" aboveAverage="0" equalAverage="0" bottom="0" percent="0" rank="0" text="" dxfId="0">
      <formula>H26</formula>
    </cfRule>
  </conditionalFormatting>
  <conditionalFormatting sqref="X28">
    <cfRule type="cellIs" priority="641" operator="lessThanOrEqual" aboveAverage="0" equalAverage="0" bottom="0" percent="0" rank="0" text="" dxfId="0">
      <formula>H28</formula>
    </cfRule>
  </conditionalFormatting>
  <conditionalFormatting sqref="X30">
    <cfRule type="cellIs" priority="642" operator="lessThanOrEqual" aboveAverage="0" equalAverage="0" bottom="0" percent="0" rank="0" text="" dxfId="0">
      <formula>H30</formula>
    </cfRule>
  </conditionalFormatting>
  <conditionalFormatting sqref="X31">
    <cfRule type="cellIs" priority="643" operator="lessThanOrEqual" aboveAverage="0" equalAverage="0" bottom="0" percent="0" rank="0" text="" dxfId="0">
      <formula>H31</formula>
    </cfRule>
  </conditionalFormatting>
  <conditionalFormatting sqref="X33">
    <cfRule type="cellIs" priority="644" operator="lessThanOrEqual" aboveAverage="0" equalAverage="0" bottom="0" percent="0" rank="0" text="" dxfId="0">
      <formula>H33</formula>
    </cfRule>
  </conditionalFormatting>
  <conditionalFormatting sqref="X34">
    <cfRule type="cellIs" priority="645" operator="lessThanOrEqual" aboveAverage="0" equalAverage="0" bottom="0" percent="0" rank="0" text="" dxfId="0">
      <formula>H34</formula>
    </cfRule>
  </conditionalFormatting>
  <conditionalFormatting sqref="X35">
    <cfRule type="cellIs" priority="646" operator="lessThanOrEqual" aboveAverage="0" equalAverage="0" bottom="0" percent="0" rank="0" text="" dxfId="0">
      <formula>H35</formula>
    </cfRule>
  </conditionalFormatting>
  <conditionalFormatting sqref="X37">
    <cfRule type="cellIs" priority="647" operator="lessThanOrEqual" aboveAverage="0" equalAverage="0" bottom="0" percent="0" rank="0" text="" dxfId="0">
      <formula>H37</formula>
    </cfRule>
  </conditionalFormatting>
  <conditionalFormatting sqref="X40">
    <cfRule type="cellIs" priority="648" operator="lessThanOrEqual" aboveAverage="0" equalAverage="0" bottom="0" percent="0" rank="0" text="" dxfId="0">
      <formula>H40</formula>
    </cfRule>
  </conditionalFormatting>
  <conditionalFormatting sqref="X42">
    <cfRule type="cellIs" priority="649" operator="lessThanOrEqual" aboveAverage="0" equalAverage="0" bottom="0" percent="0" rank="0" text="" dxfId="0">
      <formula>H42</formula>
    </cfRule>
  </conditionalFormatting>
  <conditionalFormatting sqref="X43">
    <cfRule type="cellIs" priority="650" operator="lessThanOrEqual" aboveAverage="0" equalAverage="0" bottom="0" percent="0" rank="0" text="" dxfId="0">
      <formula>H43</formula>
    </cfRule>
  </conditionalFormatting>
  <conditionalFormatting sqref="X45">
    <cfRule type="cellIs" priority="651" operator="lessThanOrEqual" aboveAverage="0" equalAverage="0" bottom="0" percent="0" rank="0" text="" dxfId="0">
      <formula>H45</formula>
    </cfRule>
  </conditionalFormatting>
  <conditionalFormatting sqref="X47">
    <cfRule type="cellIs" priority="652" operator="lessThanOrEqual" aboveAverage="0" equalAverage="0" bottom="0" percent="0" rank="0" text="" dxfId="0">
      <formula>H47</formula>
    </cfRule>
  </conditionalFormatting>
  <conditionalFormatting sqref="X50">
    <cfRule type="cellIs" priority="653" operator="lessThanOrEqual" aboveAverage="0" equalAverage="0" bottom="0" percent="0" rank="0" text="" dxfId="0">
      <formula>H50</formula>
    </cfRule>
  </conditionalFormatting>
  <conditionalFormatting sqref="X51">
    <cfRule type="cellIs" priority="654" operator="lessThanOrEqual" aboveAverage="0" equalAverage="0" bottom="0" percent="0" rank="0" text="" dxfId="0">
      <formula>H51</formula>
    </cfRule>
  </conditionalFormatting>
  <conditionalFormatting sqref="X52">
    <cfRule type="cellIs" priority="655" operator="lessThanOrEqual" aboveAverage="0" equalAverage="0" bottom="0" percent="0" rank="0" text="" dxfId="0">
      <formula>H52</formula>
    </cfRule>
  </conditionalFormatting>
  <conditionalFormatting sqref="X53">
    <cfRule type="cellIs" priority="656" operator="lessThanOrEqual" aboveAverage="0" equalAverage="0" bottom="0" percent="0" rank="0" text="" dxfId="0">
      <formula>H53</formula>
    </cfRule>
  </conditionalFormatting>
  <conditionalFormatting sqref="X54">
    <cfRule type="cellIs" priority="657" operator="lessThanOrEqual" aboveAverage="0" equalAverage="0" bottom="0" percent="0" rank="0" text="" dxfId="0">
      <formula>H54</formula>
    </cfRule>
  </conditionalFormatting>
  <conditionalFormatting sqref="X55">
    <cfRule type="cellIs" priority="658" operator="lessThanOrEqual" aboveAverage="0" equalAverage="0" bottom="0" percent="0" rank="0" text="" dxfId="0">
      <formula>H55</formula>
    </cfRule>
  </conditionalFormatting>
  <conditionalFormatting sqref="X57">
    <cfRule type="cellIs" priority="659" operator="lessThanOrEqual" aboveAverage="0" equalAverage="0" bottom="0" percent="0" rank="0" text="" dxfId="0">
      <formula>H57</formula>
    </cfRule>
  </conditionalFormatting>
  <conditionalFormatting sqref="X58">
    <cfRule type="cellIs" priority="660" operator="lessThanOrEqual" aboveAverage="0" equalAverage="0" bottom="0" percent="0" rank="0" text="" dxfId="0">
      <formula>H58</formula>
    </cfRule>
  </conditionalFormatting>
  <conditionalFormatting sqref="X62">
    <cfRule type="cellIs" priority="661" operator="lessThanOrEqual" aboveAverage="0" equalAverage="0" bottom="0" percent="0" rank="0" text="" dxfId="0">
      <formula>H62</formula>
    </cfRule>
  </conditionalFormatting>
  <conditionalFormatting sqref="X65">
    <cfRule type="cellIs" priority="662" operator="lessThanOrEqual" aboveAverage="0" equalAverage="0" bottom="0" percent="0" rank="0" text="" dxfId="0">
      <formula>H65</formula>
    </cfRule>
  </conditionalFormatting>
  <conditionalFormatting sqref="X66">
    <cfRule type="cellIs" priority="663" operator="lessThanOrEqual" aboveAverage="0" equalAverage="0" bottom="0" percent="0" rank="0" text="" dxfId="0">
      <formula>H66</formula>
    </cfRule>
  </conditionalFormatting>
  <conditionalFormatting sqref="X67">
    <cfRule type="cellIs" priority="664" operator="lessThanOrEqual" aboveAverage="0" equalAverage="0" bottom="0" percent="0" rank="0" text="" dxfId="0">
      <formula>H67</formula>
    </cfRule>
  </conditionalFormatting>
  <conditionalFormatting sqref="X69">
    <cfRule type="cellIs" priority="665" operator="lessThanOrEqual" aboveAverage="0" equalAverage="0" bottom="0" percent="0" rank="0" text="" dxfId="0">
      <formula>H69</formula>
    </cfRule>
  </conditionalFormatting>
  <conditionalFormatting sqref="X7">
    <cfRule type="cellIs" priority="666" operator="lessThanOrEqual" aboveAverage="0" equalAverage="0" bottom="0" percent="0" rank="0" text="" dxfId="0">
      <formula>H7</formula>
    </cfRule>
  </conditionalFormatting>
  <conditionalFormatting sqref="X70">
    <cfRule type="cellIs" priority="667" operator="lessThanOrEqual" aboveAverage="0" equalAverage="0" bottom="0" percent="0" rank="0" text="" dxfId="0">
      <formula>H70</formula>
    </cfRule>
  </conditionalFormatting>
  <conditionalFormatting sqref="X72">
    <cfRule type="cellIs" priority="668" operator="lessThanOrEqual" aboveAverage="0" equalAverage="0" bottom="0" percent="0" rank="0" text="" dxfId="0">
      <formula>H72</formula>
    </cfRule>
  </conditionalFormatting>
  <conditionalFormatting sqref="X76">
    <cfRule type="cellIs" priority="669" operator="lessThanOrEqual" aboveAverage="0" equalAverage="0" bottom="0" percent="0" rank="0" text="" dxfId="0">
      <formula>H76</formula>
    </cfRule>
  </conditionalFormatting>
  <conditionalFormatting sqref="X77">
    <cfRule type="cellIs" priority="670" operator="lessThanOrEqual" aboveAverage="0" equalAverage="0" bottom="0" percent="0" rank="0" text="" dxfId="0">
      <formula>H77</formula>
    </cfRule>
  </conditionalFormatting>
  <conditionalFormatting sqref="X78">
    <cfRule type="cellIs" priority="671" operator="lessThanOrEqual" aboveAverage="0" equalAverage="0" bottom="0" percent="0" rank="0" text="" dxfId="0">
      <formula>H78</formula>
    </cfRule>
  </conditionalFormatting>
  <conditionalFormatting sqref="X79">
    <cfRule type="cellIs" priority="672" operator="lessThanOrEqual" aboveAverage="0" equalAverage="0" bottom="0" percent="0" rank="0" text="" dxfId="0">
      <formula>H79</formula>
    </cfRule>
  </conditionalFormatting>
  <conditionalFormatting sqref="X8">
    <cfRule type="cellIs" priority="673" operator="lessThanOrEqual" aboveAverage="0" equalAverage="0" bottom="0" percent="0" rank="0" text="" dxfId="0">
      <formula>H8</formula>
    </cfRule>
  </conditionalFormatting>
  <conditionalFormatting sqref="X81">
    <cfRule type="cellIs" priority="674" operator="lessThanOrEqual" aboveAverage="0" equalAverage="0" bottom="0" percent="0" rank="0" text="" dxfId="0">
      <formula>H81</formula>
    </cfRule>
  </conditionalFormatting>
  <conditionalFormatting sqref="X82">
    <cfRule type="cellIs" priority="675" operator="lessThanOrEqual" aboveAverage="0" equalAverage="0" bottom="0" percent="0" rank="0" text="" dxfId="0">
      <formula>H82</formula>
    </cfRule>
  </conditionalFormatting>
  <conditionalFormatting sqref="X85">
    <cfRule type="cellIs" priority="676" operator="lessThanOrEqual" aboveAverage="0" equalAverage="0" bottom="0" percent="0" rank="0" text="" dxfId="0">
      <formula>H85</formula>
    </cfRule>
  </conditionalFormatting>
  <conditionalFormatting sqref="X89">
    <cfRule type="cellIs" priority="677" operator="lessThanOrEqual" aboveAverage="0" equalAverage="0" bottom="0" percent="0" rank="0" text="" dxfId="0">
      <formula>H89</formula>
    </cfRule>
  </conditionalFormatting>
  <conditionalFormatting sqref="X90">
    <cfRule type="cellIs" priority="678" operator="lessThanOrEqual" aboveAverage="0" equalAverage="0" bottom="0" percent="0" rank="0" text="" dxfId="0">
      <formula>H90</formula>
    </cfRule>
  </conditionalFormatting>
  <conditionalFormatting sqref="X92">
    <cfRule type="cellIs" priority="679" operator="lessThanOrEqual" aboveAverage="0" equalAverage="0" bottom="0" percent="0" rank="0" text="" dxfId="0">
      <formula>H92</formula>
    </cfRule>
  </conditionalFormatting>
  <conditionalFormatting sqref="X93">
    <cfRule type="cellIs" priority="680" operator="lessThanOrEqual" aboveAverage="0" equalAverage="0" bottom="0" percent="0" rank="0" text="" dxfId="0">
      <formula>H93</formula>
    </cfRule>
  </conditionalFormatting>
  <conditionalFormatting sqref="X95">
    <cfRule type="cellIs" priority="681" operator="lessThanOrEqual" aboveAverage="0" equalAverage="0" bottom="0" percent="0" rank="0" text="" dxfId="0">
      <formula>H95</formula>
    </cfRule>
  </conditionalFormatting>
  <conditionalFormatting sqref="X96">
    <cfRule type="cellIs" priority="682" operator="lessThanOrEqual" aboveAverage="0" equalAverage="0" bottom="0" percent="0" rank="0" text="" dxfId="0">
      <formula>H96</formula>
    </cfRule>
  </conditionalFormatting>
  <conditionalFormatting sqref="X97">
    <cfRule type="cellIs" priority="683" operator="lessThanOrEqual" aboveAverage="0" equalAverage="0" bottom="0" percent="0" rank="0" text="" dxfId="0">
      <formula>H97</formula>
    </cfRule>
  </conditionalFormatting>
  <conditionalFormatting sqref="X99">
    <cfRule type="cellIs" priority="684" operator="lessThanOrEqual" aboveAverage="0" equalAverage="0" bottom="0" percent="0" rank="0" text="" dxfId="0">
      <formula>H99</formula>
    </cfRule>
  </conditionalFormatting>
  <conditionalFormatting sqref="Y10">
    <cfRule type="cellIs" priority="685" operator="lessThanOrEqual" aboveAverage="0" equalAverage="0" bottom="0" percent="0" rank="0" text="" dxfId="0">
      <formula>I10</formula>
    </cfRule>
  </conditionalFormatting>
  <conditionalFormatting sqref="Y100">
    <cfRule type="cellIs" priority="686" operator="lessThanOrEqual" aboveAverage="0" equalAverage="0" bottom="0" percent="0" rank="0" text="" dxfId="0">
      <formula>I100</formula>
    </cfRule>
  </conditionalFormatting>
  <conditionalFormatting sqref="Y101">
    <cfRule type="cellIs" priority="687" operator="lessThanOrEqual" aboveAverage="0" equalAverage="0" bottom="0" percent="0" rank="0" text="" dxfId="0">
      <formula>I101</formula>
    </cfRule>
  </conditionalFormatting>
  <conditionalFormatting sqref="Y103">
    <cfRule type="cellIs" priority="688" operator="lessThanOrEqual" aboveAverage="0" equalAverage="0" bottom="0" percent="0" rank="0" text="" dxfId="0">
      <formula>I103</formula>
    </cfRule>
  </conditionalFormatting>
  <conditionalFormatting sqref="Y104">
    <cfRule type="cellIs" priority="689" operator="lessThanOrEqual" aboveAverage="0" equalAverage="0" bottom="0" percent="0" rank="0" text="" dxfId="0">
      <formula>I104</formula>
    </cfRule>
  </conditionalFormatting>
  <conditionalFormatting sqref="Y105">
    <cfRule type="cellIs" priority="690" operator="lessThanOrEqual" aboveAverage="0" equalAverage="0" bottom="0" percent="0" rank="0" text="" dxfId="0">
      <formula>I105</formula>
    </cfRule>
  </conditionalFormatting>
  <conditionalFormatting sqref="Y107">
    <cfRule type="cellIs" priority="691" operator="lessThanOrEqual" aboveAverage="0" equalAverage="0" bottom="0" percent="0" rank="0" text="" dxfId="0">
      <formula>I107</formula>
    </cfRule>
  </conditionalFormatting>
  <conditionalFormatting sqref="Y109">
    <cfRule type="cellIs" priority="692" operator="lessThanOrEqual" aboveAverage="0" equalAverage="0" bottom="0" percent="0" rank="0" text="" dxfId="0">
      <formula>I109</formula>
    </cfRule>
  </conditionalFormatting>
  <conditionalFormatting sqref="Y11">
    <cfRule type="cellIs" priority="693" operator="lessThanOrEqual" aboveAverage="0" equalAverage="0" bottom="0" percent="0" rank="0" text="" dxfId="0">
      <formula>I11</formula>
    </cfRule>
  </conditionalFormatting>
  <conditionalFormatting sqref="Y110">
    <cfRule type="cellIs" priority="694" operator="lessThanOrEqual" aboveAverage="0" equalAverage="0" bottom="0" percent="0" rank="0" text="" dxfId="0">
      <formula>I110</formula>
    </cfRule>
  </conditionalFormatting>
  <conditionalFormatting sqref="Y112">
    <cfRule type="cellIs" priority="695" operator="lessThanOrEqual" aboveAverage="0" equalAverage="0" bottom="0" percent="0" rank="0" text="" dxfId="0">
      <formula>I112</formula>
    </cfRule>
  </conditionalFormatting>
  <conditionalFormatting sqref="Y113">
    <cfRule type="cellIs" priority="696" operator="lessThanOrEqual" aboveAverage="0" equalAverage="0" bottom="0" percent="0" rank="0" text="" dxfId="0">
      <formula>I113</formula>
    </cfRule>
  </conditionalFormatting>
  <conditionalFormatting sqref="Y116">
    <cfRule type="cellIs" priority="697" operator="lessThanOrEqual" aboveAverage="0" equalAverage="0" bottom="0" percent="0" rank="0" text="" dxfId="0">
      <formula>I116</formula>
    </cfRule>
  </conditionalFormatting>
  <conditionalFormatting sqref="Y117">
    <cfRule type="cellIs" priority="698" operator="lessThanOrEqual" aboveAverage="0" equalAverage="0" bottom="0" percent="0" rank="0" text="" dxfId="0">
      <formula>I117</formula>
    </cfRule>
  </conditionalFormatting>
  <conditionalFormatting sqref="Y118">
    <cfRule type="cellIs" priority="699" operator="lessThanOrEqual" aboveAverage="0" equalAverage="0" bottom="0" percent="0" rank="0" text="" dxfId="0">
      <formula>I118</formula>
    </cfRule>
  </conditionalFormatting>
  <conditionalFormatting sqref="Y119">
    <cfRule type="cellIs" priority="700" operator="lessThanOrEqual" aboveAverage="0" equalAverage="0" bottom="0" percent="0" rank="0" text="" dxfId="0">
      <formula>I119</formula>
    </cfRule>
  </conditionalFormatting>
  <conditionalFormatting sqref="Y12">
    <cfRule type="cellIs" priority="701" operator="lessThanOrEqual" aboveAverage="0" equalAverage="0" bottom="0" percent="0" rank="0" text="" dxfId="0">
      <formula>I12</formula>
    </cfRule>
  </conditionalFormatting>
  <conditionalFormatting sqref="Y121">
    <cfRule type="cellIs" priority="702" operator="lessThanOrEqual" aboveAverage="0" equalAverage="0" bottom="0" percent="0" rank="0" text="" dxfId="0">
      <formula>I121</formula>
    </cfRule>
  </conditionalFormatting>
  <conditionalFormatting sqref="Y124">
    <cfRule type="cellIs" priority="703" operator="lessThanOrEqual" aboveAverage="0" equalAverage="0" bottom="0" percent="0" rank="0" text="" dxfId="0">
      <formula>I124</formula>
    </cfRule>
  </conditionalFormatting>
  <conditionalFormatting sqref="Y125">
    <cfRule type="cellIs" priority="704" operator="lessThanOrEqual" aboveAverage="0" equalAverage="0" bottom="0" percent="0" rank="0" text="" dxfId="0">
      <formula>I125</formula>
    </cfRule>
  </conditionalFormatting>
  <conditionalFormatting sqref="Y126">
    <cfRule type="cellIs" priority="705" operator="lessThanOrEqual" aboveAverage="0" equalAverage="0" bottom="0" percent="0" rank="0" text="" dxfId="0">
      <formula>I126</formula>
    </cfRule>
  </conditionalFormatting>
  <conditionalFormatting sqref="Y127">
    <cfRule type="cellIs" priority="706" operator="lessThanOrEqual" aboveAverage="0" equalAverage="0" bottom="0" percent="0" rank="0" text="" dxfId="0">
      <formula>I127</formula>
    </cfRule>
  </conditionalFormatting>
  <conditionalFormatting sqref="Y128">
    <cfRule type="cellIs" priority="707" operator="lessThanOrEqual" aboveAverage="0" equalAverage="0" bottom="0" percent="0" rank="0" text="" dxfId="0">
      <formula>I128</formula>
    </cfRule>
  </conditionalFormatting>
  <conditionalFormatting sqref="Y129">
    <cfRule type="cellIs" priority="708" operator="lessThanOrEqual" aboveAverage="0" equalAverage="0" bottom="0" percent="0" rank="0" text="" dxfId="0">
      <formula>I129</formula>
    </cfRule>
  </conditionalFormatting>
  <conditionalFormatting sqref="Y130">
    <cfRule type="cellIs" priority="709" operator="lessThanOrEqual" aboveAverage="0" equalAverage="0" bottom="0" percent="0" rank="0" text="" dxfId="0">
      <formula>I130</formula>
    </cfRule>
  </conditionalFormatting>
  <conditionalFormatting sqref="Y131">
    <cfRule type="cellIs" priority="710" operator="lessThanOrEqual" aboveAverage="0" equalAverage="0" bottom="0" percent="0" rank="0" text="" dxfId="0">
      <formula>I131</formula>
    </cfRule>
  </conditionalFormatting>
  <conditionalFormatting sqref="Y132">
    <cfRule type="cellIs" priority="711" operator="lessThanOrEqual" aboveAverage="0" equalAverage="0" bottom="0" percent="0" rank="0" text="" dxfId="0">
      <formula>I132</formula>
    </cfRule>
  </conditionalFormatting>
  <conditionalFormatting sqref="Y133">
    <cfRule type="cellIs" priority="712" operator="lessThanOrEqual" aboveAverage="0" equalAverage="0" bottom="0" percent="0" rank="0" text="" dxfId="0">
      <formula>I133</formula>
    </cfRule>
  </conditionalFormatting>
  <conditionalFormatting sqref="Y134">
    <cfRule type="cellIs" priority="713" operator="lessThanOrEqual" aboveAverage="0" equalAverage="0" bottom="0" percent="0" rank="0" text="" dxfId="0">
      <formula>I134</formula>
    </cfRule>
  </conditionalFormatting>
  <conditionalFormatting sqref="Y135">
    <cfRule type="cellIs" priority="714" operator="lessThanOrEqual" aboveAverage="0" equalAverage="0" bottom="0" percent="0" rank="0" text="" dxfId="0">
      <formula>I135</formula>
    </cfRule>
  </conditionalFormatting>
  <conditionalFormatting sqref="Y138">
    <cfRule type="cellIs" priority="715" operator="lessThanOrEqual" aboveAverage="0" equalAverage="0" bottom="0" percent="0" rank="0" text="" dxfId="0">
      <formula>I138</formula>
    </cfRule>
  </conditionalFormatting>
  <conditionalFormatting sqref="Y139">
    <cfRule type="cellIs" priority="716" operator="lessThanOrEqual" aboveAverage="0" equalAverage="0" bottom="0" percent="0" rank="0" text="" dxfId="0">
      <formula>I139</formula>
    </cfRule>
  </conditionalFormatting>
  <conditionalFormatting sqref="Y140">
    <cfRule type="cellIs" priority="717" operator="lessThanOrEqual" aboveAverage="0" equalAverage="0" bottom="0" percent="0" rank="0" text="" dxfId="0">
      <formula>I140</formula>
    </cfRule>
  </conditionalFormatting>
  <conditionalFormatting sqref="Y142">
    <cfRule type="cellIs" priority="718" operator="lessThanOrEqual" aboveAverage="0" equalAverage="0" bottom="0" percent="0" rank="0" text="" dxfId="0">
      <formula>I142</formula>
    </cfRule>
  </conditionalFormatting>
  <conditionalFormatting sqref="Y143">
    <cfRule type="cellIs" priority="719" operator="lessThanOrEqual" aboveAverage="0" equalAverage="0" bottom="0" percent="0" rank="0" text="" dxfId="0">
      <formula>I143</formula>
    </cfRule>
  </conditionalFormatting>
  <conditionalFormatting sqref="Y144">
    <cfRule type="cellIs" priority="720" operator="lessThanOrEqual" aboveAverage="0" equalAverage="0" bottom="0" percent="0" rank="0" text="" dxfId="0">
      <formula>I144</formula>
    </cfRule>
  </conditionalFormatting>
  <conditionalFormatting sqref="Y145">
    <cfRule type="cellIs" priority="721" operator="lessThanOrEqual" aboveAverage="0" equalAverage="0" bottom="0" percent="0" rank="0" text="" dxfId="0">
      <formula>I145</formula>
    </cfRule>
  </conditionalFormatting>
  <conditionalFormatting sqref="Y147">
    <cfRule type="cellIs" priority="722" operator="lessThanOrEqual" aboveAverage="0" equalAverage="0" bottom="0" percent="0" rank="0" text="" dxfId="0">
      <formula>I147</formula>
    </cfRule>
  </conditionalFormatting>
  <conditionalFormatting sqref="Y148">
    <cfRule type="cellIs" priority="723" operator="lessThanOrEqual" aboveAverage="0" equalAverage="0" bottom="0" percent="0" rank="0" text="" dxfId="0">
      <formula>I148</formula>
    </cfRule>
  </conditionalFormatting>
  <conditionalFormatting sqref="Y149">
    <cfRule type="cellIs" priority="724" operator="lessThanOrEqual" aboveAverage="0" equalAverage="0" bottom="0" percent="0" rank="0" text="" dxfId="0">
      <formula>I149</formula>
    </cfRule>
  </conditionalFormatting>
  <conditionalFormatting sqref="Y151">
    <cfRule type="cellIs" priority="725" operator="lessThanOrEqual" aboveAverage="0" equalAverage="0" bottom="0" percent="0" rank="0" text="" dxfId="0">
      <formula>I151</formula>
    </cfRule>
  </conditionalFormatting>
  <conditionalFormatting sqref="Y152">
    <cfRule type="cellIs" priority="726" operator="lessThanOrEqual" aboveAverage="0" equalAverage="0" bottom="0" percent="0" rank="0" text="" dxfId="0">
      <formula>I152</formula>
    </cfRule>
  </conditionalFormatting>
  <conditionalFormatting sqref="Y153">
    <cfRule type="cellIs" priority="727" operator="lessThanOrEqual" aboveAverage="0" equalAverage="0" bottom="0" percent="0" rank="0" text="" dxfId="0">
      <formula>I153</formula>
    </cfRule>
  </conditionalFormatting>
  <conditionalFormatting sqref="Y155">
    <cfRule type="cellIs" priority="728" operator="lessThanOrEqual" aboveAverage="0" equalAverage="0" bottom="0" percent="0" rank="0" text="" dxfId="0">
      <formula>I155</formula>
    </cfRule>
  </conditionalFormatting>
  <conditionalFormatting sqref="Y157">
    <cfRule type="cellIs" priority="729" operator="lessThanOrEqual" aboveAverage="0" equalAverage="0" bottom="0" percent="0" rank="0" text="" dxfId="0">
      <formula>I157</formula>
    </cfRule>
  </conditionalFormatting>
  <conditionalFormatting sqref="Y160">
    <cfRule type="cellIs" priority="730" operator="lessThanOrEqual" aboveAverage="0" equalAverage="0" bottom="0" percent="0" rank="0" text="" dxfId="0">
      <formula>I160</formula>
    </cfRule>
  </conditionalFormatting>
  <conditionalFormatting sqref="Y162">
    <cfRule type="cellIs" priority="731" operator="lessThanOrEqual" aboveAverage="0" equalAverage="0" bottom="0" percent="0" rank="0" text="" dxfId="0">
      <formula>I162</formula>
    </cfRule>
  </conditionalFormatting>
  <conditionalFormatting sqref="Y164">
    <cfRule type="cellIs" priority="732" operator="lessThanOrEqual" aboveAverage="0" equalAverage="0" bottom="0" percent="0" rank="0" text="" dxfId="0">
      <formula>I164</formula>
    </cfRule>
  </conditionalFormatting>
  <conditionalFormatting sqref="Y165">
    <cfRule type="cellIs" priority="733" operator="lessThanOrEqual" aboveAverage="0" equalAverage="0" bottom="0" percent="0" rank="0" text="" dxfId="0">
      <formula>I165</formula>
    </cfRule>
  </conditionalFormatting>
  <conditionalFormatting sqref="Y167">
    <cfRule type="cellIs" priority="734" operator="lessThanOrEqual" aboveAverage="0" equalAverage="0" bottom="0" percent="0" rank="0" text="" dxfId="0">
      <formula>I167</formula>
    </cfRule>
  </conditionalFormatting>
  <conditionalFormatting sqref="Y168">
    <cfRule type="cellIs" priority="735" operator="lessThanOrEqual" aboveAverage="0" equalAverage="0" bottom="0" percent="0" rank="0" text="" dxfId="0">
      <formula>I168</formula>
    </cfRule>
  </conditionalFormatting>
  <conditionalFormatting sqref="Y171">
    <cfRule type="cellIs" priority="736" operator="lessThanOrEqual" aboveAverage="0" equalAverage="0" bottom="0" percent="0" rank="0" text="" dxfId="0">
      <formula>I171</formula>
    </cfRule>
  </conditionalFormatting>
  <conditionalFormatting sqref="Y19">
    <cfRule type="cellIs" priority="737" operator="lessThanOrEqual" aboveAverage="0" equalAverage="0" bottom="0" percent="0" rank="0" text="" dxfId="0">
      <formula>I19</formula>
    </cfRule>
  </conditionalFormatting>
  <conditionalFormatting sqref="Y20">
    <cfRule type="cellIs" priority="738" operator="lessThanOrEqual" aboveAverage="0" equalAverage="0" bottom="0" percent="0" rank="0" text="" dxfId="0">
      <formula>I20</formula>
    </cfRule>
  </conditionalFormatting>
  <conditionalFormatting sqref="Y21">
    <cfRule type="cellIs" priority="739" operator="lessThanOrEqual" aboveAverage="0" equalAverage="0" bottom="0" percent="0" rank="0" text="" dxfId="0">
      <formula>I21</formula>
    </cfRule>
  </conditionalFormatting>
  <conditionalFormatting sqref="Y22">
    <cfRule type="cellIs" priority="740" operator="lessThanOrEqual" aboveAverage="0" equalAverage="0" bottom="0" percent="0" rank="0" text="" dxfId="0">
      <formula>I22</formula>
    </cfRule>
  </conditionalFormatting>
  <conditionalFormatting sqref="Y24">
    <cfRule type="cellIs" priority="741" operator="lessThanOrEqual" aboveAverage="0" equalAverage="0" bottom="0" percent="0" rank="0" text="" dxfId="0">
      <formula>I24</formula>
    </cfRule>
  </conditionalFormatting>
  <conditionalFormatting sqref="Y25">
    <cfRule type="cellIs" priority="742" operator="lessThanOrEqual" aboveAverage="0" equalAverage="0" bottom="0" percent="0" rank="0" text="" dxfId="0">
      <formula>I25</formula>
    </cfRule>
  </conditionalFormatting>
  <conditionalFormatting sqref="Y26">
    <cfRule type="cellIs" priority="743" operator="lessThanOrEqual" aboveAverage="0" equalAverage="0" bottom="0" percent="0" rank="0" text="" dxfId="0">
      <formula>I26</formula>
    </cfRule>
  </conditionalFormatting>
  <conditionalFormatting sqref="Y28">
    <cfRule type="cellIs" priority="744" operator="lessThanOrEqual" aboveAverage="0" equalAverage="0" bottom="0" percent="0" rank="0" text="" dxfId="0">
      <formula>I28</formula>
    </cfRule>
  </conditionalFormatting>
  <conditionalFormatting sqref="Y30">
    <cfRule type="cellIs" priority="745" operator="lessThanOrEqual" aboveAverage="0" equalAverage="0" bottom="0" percent="0" rank="0" text="" dxfId="0">
      <formula>I30</formula>
    </cfRule>
  </conditionalFormatting>
  <conditionalFormatting sqref="Y31">
    <cfRule type="cellIs" priority="746" operator="lessThanOrEqual" aboveAverage="0" equalAverage="0" bottom="0" percent="0" rank="0" text="" dxfId="0">
      <formula>I31</formula>
    </cfRule>
  </conditionalFormatting>
  <conditionalFormatting sqref="Y33">
    <cfRule type="cellIs" priority="747" operator="lessThanOrEqual" aboveAverage="0" equalAverage="0" bottom="0" percent="0" rank="0" text="" dxfId="0">
      <formula>I33</formula>
    </cfRule>
  </conditionalFormatting>
  <conditionalFormatting sqref="Y34">
    <cfRule type="cellIs" priority="748" operator="lessThanOrEqual" aboveAverage="0" equalAverage="0" bottom="0" percent="0" rank="0" text="" dxfId="0">
      <formula>I34</formula>
    </cfRule>
  </conditionalFormatting>
  <conditionalFormatting sqref="Y35">
    <cfRule type="cellIs" priority="749" operator="lessThanOrEqual" aboveAverage="0" equalAverage="0" bottom="0" percent="0" rank="0" text="" dxfId="0">
      <formula>I35</formula>
    </cfRule>
  </conditionalFormatting>
  <conditionalFormatting sqref="Y37">
    <cfRule type="cellIs" priority="750" operator="lessThanOrEqual" aboveAverage="0" equalAverage="0" bottom="0" percent="0" rank="0" text="" dxfId="0">
      <formula>I37</formula>
    </cfRule>
  </conditionalFormatting>
  <conditionalFormatting sqref="Y40">
    <cfRule type="cellIs" priority="751" operator="lessThanOrEqual" aboveAverage="0" equalAverage="0" bottom="0" percent="0" rank="0" text="" dxfId="0">
      <formula>I40</formula>
    </cfRule>
  </conditionalFormatting>
  <conditionalFormatting sqref="Y42">
    <cfRule type="cellIs" priority="752" operator="lessThanOrEqual" aboveAverage="0" equalAverage="0" bottom="0" percent="0" rank="0" text="" dxfId="0">
      <formula>I42</formula>
    </cfRule>
  </conditionalFormatting>
  <conditionalFormatting sqref="Y43">
    <cfRule type="cellIs" priority="753" operator="lessThanOrEqual" aboveAverage="0" equalAverage="0" bottom="0" percent="0" rank="0" text="" dxfId="0">
      <formula>I43</formula>
    </cfRule>
  </conditionalFormatting>
  <conditionalFormatting sqref="Y45">
    <cfRule type="cellIs" priority="754" operator="lessThanOrEqual" aboveAverage="0" equalAverage="0" bottom="0" percent="0" rank="0" text="" dxfId="0">
      <formula>I45</formula>
    </cfRule>
  </conditionalFormatting>
  <conditionalFormatting sqref="Y47">
    <cfRule type="cellIs" priority="755" operator="lessThanOrEqual" aboveAverage="0" equalAverage="0" bottom="0" percent="0" rank="0" text="" dxfId="0">
      <formula>I47</formula>
    </cfRule>
  </conditionalFormatting>
  <conditionalFormatting sqref="Y50">
    <cfRule type="cellIs" priority="756" operator="lessThanOrEqual" aboveAverage="0" equalAverage="0" bottom="0" percent="0" rank="0" text="" dxfId="0">
      <formula>I50</formula>
    </cfRule>
  </conditionalFormatting>
  <conditionalFormatting sqref="Y51">
    <cfRule type="cellIs" priority="757" operator="lessThanOrEqual" aboveAverage="0" equalAverage="0" bottom="0" percent="0" rank="0" text="" dxfId="0">
      <formula>I51</formula>
    </cfRule>
  </conditionalFormatting>
  <conditionalFormatting sqref="Y52">
    <cfRule type="cellIs" priority="758" operator="lessThanOrEqual" aboveAverage="0" equalAverage="0" bottom="0" percent="0" rank="0" text="" dxfId="0">
      <formula>I52</formula>
    </cfRule>
  </conditionalFormatting>
  <conditionalFormatting sqref="Y53">
    <cfRule type="cellIs" priority="759" operator="lessThanOrEqual" aboveAverage="0" equalAverage="0" bottom="0" percent="0" rank="0" text="" dxfId="0">
      <formula>I53</formula>
    </cfRule>
  </conditionalFormatting>
  <conditionalFormatting sqref="Y54">
    <cfRule type="cellIs" priority="760" operator="lessThanOrEqual" aboveAverage="0" equalAverage="0" bottom="0" percent="0" rank="0" text="" dxfId="0">
      <formula>I54</formula>
    </cfRule>
  </conditionalFormatting>
  <conditionalFormatting sqref="Y55">
    <cfRule type="cellIs" priority="761" operator="lessThanOrEqual" aboveAverage="0" equalAverage="0" bottom="0" percent="0" rank="0" text="" dxfId="0">
      <formula>I55</formula>
    </cfRule>
  </conditionalFormatting>
  <conditionalFormatting sqref="Y57">
    <cfRule type="cellIs" priority="762" operator="lessThanOrEqual" aboveAverage="0" equalAverage="0" bottom="0" percent="0" rank="0" text="" dxfId="0">
      <formula>I57</formula>
    </cfRule>
  </conditionalFormatting>
  <conditionalFormatting sqref="Y58">
    <cfRule type="cellIs" priority="763" operator="lessThanOrEqual" aboveAverage="0" equalAverage="0" bottom="0" percent="0" rank="0" text="" dxfId="0">
      <formula>I58</formula>
    </cfRule>
  </conditionalFormatting>
  <conditionalFormatting sqref="Y62">
    <cfRule type="cellIs" priority="764" operator="lessThanOrEqual" aboveAverage="0" equalAverage="0" bottom="0" percent="0" rank="0" text="" dxfId="0">
      <formula>I62</formula>
    </cfRule>
  </conditionalFormatting>
  <conditionalFormatting sqref="Y65">
    <cfRule type="cellIs" priority="765" operator="lessThanOrEqual" aboveAverage="0" equalAverage="0" bottom="0" percent="0" rank="0" text="" dxfId="0">
      <formula>I65</formula>
    </cfRule>
  </conditionalFormatting>
  <conditionalFormatting sqref="Y66">
    <cfRule type="cellIs" priority="766" operator="lessThanOrEqual" aboveAverage="0" equalAverage="0" bottom="0" percent="0" rank="0" text="" dxfId="0">
      <formula>I66</formula>
    </cfRule>
  </conditionalFormatting>
  <conditionalFormatting sqref="Y67">
    <cfRule type="cellIs" priority="767" operator="lessThanOrEqual" aboveAverage="0" equalAverage="0" bottom="0" percent="0" rank="0" text="" dxfId="0">
      <formula>I67</formula>
    </cfRule>
  </conditionalFormatting>
  <conditionalFormatting sqref="Y69">
    <cfRule type="cellIs" priority="768" operator="lessThanOrEqual" aboveAverage="0" equalAverage="0" bottom="0" percent="0" rank="0" text="" dxfId="0">
      <formula>I69</formula>
    </cfRule>
  </conditionalFormatting>
  <conditionalFormatting sqref="Y7">
    <cfRule type="cellIs" priority="769" operator="lessThanOrEqual" aboveAverage="0" equalAverage="0" bottom="0" percent="0" rank="0" text="" dxfId="0">
      <formula>I7</formula>
    </cfRule>
  </conditionalFormatting>
  <conditionalFormatting sqref="Y70">
    <cfRule type="cellIs" priority="770" operator="lessThanOrEqual" aboveAverage="0" equalAverage="0" bottom="0" percent="0" rank="0" text="" dxfId="0">
      <formula>I70</formula>
    </cfRule>
  </conditionalFormatting>
  <conditionalFormatting sqref="Y72">
    <cfRule type="cellIs" priority="771" operator="lessThanOrEqual" aboveAverage="0" equalAverage="0" bottom="0" percent="0" rank="0" text="" dxfId="0">
      <formula>I72</formula>
    </cfRule>
  </conditionalFormatting>
  <conditionalFormatting sqref="Y76">
    <cfRule type="cellIs" priority="772" operator="lessThanOrEqual" aboveAverage="0" equalAverage="0" bottom="0" percent="0" rank="0" text="" dxfId="0">
      <formula>I76</formula>
    </cfRule>
  </conditionalFormatting>
  <conditionalFormatting sqref="Y77">
    <cfRule type="cellIs" priority="773" operator="lessThanOrEqual" aboveAverage="0" equalAverage="0" bottom="0" percent="0" rank="0" text="" dxfId="0">
      <formula>I77</formula>
    </cfRule>
  </conditionalFormatting>
  <conditionalFormatting sqref="Y78">
    <cfRule type="cellIs" priority="774" operator="lessThanOrEqual" aboveAverage="0" equalAverage="0" bottom="0" percent="0" rank="0" text="" dxfId="0">
      <formula>I78</formula>
    </cfRule>
  </conditionalFormatting>
  <conditionalFormatting sqref="Y79">
    <cfRule type="cellIs" priority="775" operator="lessThanOrEqual" aboveAverage="0" equalAverage="0" bottom="0" percent="0" rank="0" text="" dxfId="0">
      <formula>I79</formula>
    </cfRule>
  </conditionalFormatting>
  <conditionalFormatting sqref="Y8">
    <cfRule type="cellIs" priority="776" operator="lessThanOrEqual" aboveAverage="0" equalAverage="0" bottom="0" percent="0" rank="0" text="" dxfId="0">
      <formula>I8</formula>
    </cfRule>
  </conditionalFormatting>
  <conditionalFormatting sqref="Y81">
    <cfRule type="cellIs" priority="777" operator="lessThanOrEqual" aboveAverage="0" equalAverage="0" bottom="0" percent="0" rank="0" text="" dxfId="0">
      <formula>I81</formula>
    </cfRule>
  </conditionalFormatting>
  <conditionalFormatting sqref="Y82">
    <cfRule type="cellIs" priority="778" operator="lessThanOrEqual" aboveAverage="0" equalAverage="0" bottom="0" percent="0" rank="0" text="" dxfId="0">
      <formula>I82</formula>
    </cfRule>
  </conditionalFormatting>
  <conditionalFormatting sqref="Y85">
    <cfRule type="cellIs" priority="779" operator="lessThanOrEqual" aboveAverage="0" equalAverage="0" bottom="0" percent="0" rank="0" text="" dxfId="0">
      <formula>I85</formula>
    </cfRule>
  </conditionalFormatting>
  <conditionalFormatting sqref="Y89">
    <cfRule type="cellIs" priority="780" operator="lessThanOrEqual" aboveAverage="0" equalAverage="0" bottom="0" percent="0" rank="0" text="" dxfId="0">
      <formula>I89</formula>
    </cfRule>
  </conditionalFormatting>
  <conditionalFormatting sqref="Y90">
    <cfRule type="cellIs" priority="781" operator="lessThanOrEqual" aboveAverage="0" equalAverage="0" bottom="0" percent="0" rank="0" text="" dxfId="0">
      <formula>I90</formula>
    </cfRule>
  </conditionalFormatting>
  <conditionalFormatting sqref="Y92">
    <cfRule type="cellIs" priority="782" operator="lessThanOrEqual" aboveAverage="0" equalAverage="0" bottom="0" percent="0" rank="0" text="" dxfId="0">
      <formula>I92</formula>
    </cfRule>
  </conditionalFormatting>
  <conditionalFormatting sqref="Y93">
    <cfRule type="cellIs" priority="783" operator="lessThanOrEqual" aboveAverage="0" equalAverage="0" bottom="0" percent="0" rank="0" text="" dxfId="0">
      <formula>I93</formula>
    </cfRule>
  </conditionalFormatting>
  <conditionalFormatting sqref="Y95">
    <cfRule type="cellIs" priority="784" operator="lessThanOrEqual" aboveAverage="0" equalAverage="0" bottom="0" percent="0" rank="0" text="" dxfId="0">
      <formula>I95</formula>
    </cfRule>
  </conditionalFormatting>
  <conditionalFormatting sqref="Y96">
    <cfRule type="cellIs" priority="785" operator="lessThanOrEqual" aboveAverage="0" equalAverage="0" bottom="0" percent="0" rank="0" text="" dxfId="0">
      <formula>I96</formula>
    </cfRule>
  </conditionalFormatting>
  <conditionalFormatting sqref="Y97">
    <cfRule type="cellIs" priority="786" operator="lessThanOrEqual" aboveAverage="0" equalAverage="0" bottom="0" percent="0" rank="0" text="" dxfId="0">
      <formula>I97</formula>
    </cfRule>
  </conditionalFormatting>
  <conditionalFormatting sqref="Y99">
    <cfRule type="cellIs" priority="787" operator="lessThanOrEqual" aboveAverage="0" equalAverage="0" bottom="0" percent="0" rank="0" text="" dxfId="0">
      <formula>I99</formula>
    </cfRule>
  </conditionalFormatting>
  <hyperlinks>
    <hyperlink ref="O7" r:id="rId2" display="Link"/>
    <hyperlink ref="U7" r:id="rId3" display="Link"/>
    <hyperlink ref="AA7" r:id="rId4" display="Link"/>
    <hyperlink ref="O8" r:id="rId5" display="Link"/>
    <hyperlink ref="U8" r:id="rId6" display="Link"/>
    <hyperlink ref="AA8" r:id="rId7" display="Link"/>
    <hyperlink ref="O9" r:id="rId8" display="Link"/>
    <hyperlink ref="O10" r:id="rId9" display="Link"/>
    <hyperlink ref="U10" r:id="rId10" display="Link"/>
    <hyperlink ref="AA10" r:id="rId11" display="Link"/>
    <hyperlink ref="O11" r:id="rId12" display="Link"/>
    <hyperlink ref="U11" r:id="rId13" display="Link"/>
    <hyperlink ref="AA11" r:id="rId14" display="Link"/>
    <hyperlink ref="O12" r:id="rId15" display="Link"/>
    <hyperlink ref="U12" r:id="rId16" display="Link"/>
    <hyperlink ref="AA12" r:id="rId17" display="Link"/>
    <hyperlink ref="O14" r:id="rId18" display="Link"/>
    <hyperlink ref="U14" r:id="rId19" display="Link"/>
    <hyperlink ref="AA14" r:id="rId20" display="Link"/>
    <hyperlink ref="O15" r:id="rId21" display="Link"/>
    <hyperlink ref="U15" r:id="rId22" display="Link"/>
    <hyperlink ref="O16" r:id="rId23" display="Link"/>
    <hyperlink ref="U16" r:id="rId24" display="Link"/>
    <hyperlink ref="O17" r:id="rId25" display="Link"/>
    <hyperlink ref="U17" r:id="rId26" display="Link"/>
    <hyperlink ref="AA17" r:id="rId27" display="Link"/>
    <hyperlink ref="O18" r:id="rId28" display="Link"/>
    <hyperlink ref="O19" r:id="rId29" display="Link"/>
    <hyperlink ref="U19" r:id="rId30" display="Link"/>
    <hyperlink ref="AA19" r:id="rId31" display="Link"/>
    <hyperlink ref="O20" r:id="rId32" display="Link"/>
    <hyperlink ref="U20" r:id="rId33" display="Link"/>
    <hyperlink ref="AA20" r:id="rId34" display="Link"/>
    <hyperlink ref="O21" r:id="rId35" display="Link"/>
    <hyperlink ref="U21" r:id="rId36" display="Link"/>
    <hyperlink ref="AA21" r:id="rId37" display="Link"/>
    <hyperlink ref="O22" r:id="rId38" display="Link"/>
    <hyperlink ref="U22" r:id="rId39" display="Link"/>
    <hyperlink ref="AA22" r:id="rId40" display="Link"/>
    <hyperlink ref="O23" r:id="rId41" display="Link"/>
    <hyperlink ref="U23" r:id="rId42" display="Link"/>
    <hyperlink ref="AA23" r:id="rId43" display="Link"/>
    <hyperlink ref="O24" r:id="rId44" display="Link"/>
    <hyperlink ref="U24" r:id="rId45" display="Link"/>
    <hyperlink ref="AA24" r:id="rId46" display="Link"/>
    <hyperlink ref="O25" r:id="rId47" display="Link"/>
    <hyperlink ref="U25" r:id="rId48" display="Link"/>
    <hyperlink ref="AA25" r:id="rId49" display="Link"/>
    <hyperlink ref="O26" r:id="rId50" display="Link"/>
    <hyperlink ref="U26" r:id="rId51" display="Link"/>
    <hyperlink ref="AA26" r:id="rId52" display="Link"/>
    <hyperlink ref="O27" r:id="rId53" display="Link"/>
    <hyperlink ref="O28" r:id="rId54" display="Link"/>
    <hyperlink ref="U28" r:id="rId55" display="Link"/>
    <hyperlink ref="AA28" r:id="rId56" display="Link"/>
    <hyperlink ref="O29" r:id="rId57" display="Link"/>
    <hyperlink ref="U29" r:id="rId58" display="Link"/>
    <hyperlink ref="AA29" r:id="rId59" display="Link"/>
    <hyperlink ref="O30" r:id="rId60" display="Link"/>
    <hyperlink ref="U30" r:id="rId61" display="Link"/>
    <hyperlink ref="AA30" r:id="rId62" display="Link"/>
    <hyperlink ref="O31" r:id="rId63" display="Link"/>
    <hyperlink ref="U31" r:id="rId64" display="Link"/>
    <hyperlink ref="AA31" r:id="rId65" display="Link"/>
    <hyperlink ref="O32" r:id="rId66" display="Link"/>
    <hyperlink ref="U32" r:id="rId67" display="Link"/>
    <hyperlink ref="AA32" r:id="rId68" display="Link"/>
    <hyperlink ref="O33" r:id="rId69" display="Link"/>
    <hyperlink ref="U33" r:id="rId70" display="Link"/>
    <hyperlink ref="AA33" r:id="rId71" display="Link"/>
    <hyperlink ref="O34" r:id="rId72" display="Link"/>
    <hyperlink ref="U34" r:id="rId73" display="Link"/>
    <hyperlink ref="AA34" r:id="rId74" display="Link"/>
    <hyperlink ref="U35" r:id="rId75" display="Link"/>
    <hyperlink ref="AA35" r:id="rId76" display="Link"/>
    <hyperlink ref="O36" r:id="rId77" display="Link"/>
    <hyperlink ref="U36" r:id="rId78" display="Link"/>
    <hyperlink ref="AA36" r:id="rId79" display="Link"/>
    <hyperlink ref="O37" r:id="rId80" display="Link"/>
    <hyperlink ref="U37" r:id="rId81" display="Link"/>
    <hyperlink ref="AA37" r:id="rId82" display="Link"/>
    <hyperlink ref="O38" r:id="rId83" display="Link"/>
    <hyperlink ref="U39" r:id="rId84" display="Link"/>
    <hyperlink ref="AA39" r:id="rId85" display="Link"/>
    <hyperlink ref="O40" r:id="rId86" display="Link"/>
    <hyperlink ref="U40" r:id="rId87" display="Link"/>
    <hyperlink ref="AA40" r:id="rId88" display="Link"/>
    <hyperlink ref="O41" r:id="rId89" display="Link"/>
    <hyperlink ref="U41" r:id="rId90" display="Link"/>
    <hyperlink ref="O42" r:id="rId91" display="Link"/>
    <hyperlink ref="AA42" r:id="rId92" display="Link"/>
    <hyperlink ref="O43" r:id="rId93" display="Link"/>
    <hyperlink ref="U43" r:id="rId94" display="Link"/>
    <hyperlink ref="AA43" r:id="rId95" display="Link"/>
    <hyperlink ref="O44" r:id="rId96" display="Link"/>
    <hyperlink ref="U44" r:id="rId97" display="Link"/>
    <hyperlink ref="AA44" r:id="rId98" display="Link"/>
    <hyperlink ref="O45" r:id="rId99" display="Link"/>
    <hyperlink ref="U45" r:id="rId100" display="Link"/>
    <hyperlink ref="AA45" r:id="rId101" display="Link"/>
    <hyperlink ref="O46" r:id="rId102" display="Link"/>
    <hyperlink ref="U46" r:id="rId103" display="Link"/>
    <hyperlink ref="O47" r:id="rId104" display="Link"/>
    <hyperlink ref="U47" r:id="rId105" display="Link"/>
    <hyperlink ref="AA47" r:id="rId106" display="Link"/>
    <hyperlink ref="O48" r:id="rId107" display="Link"/>
    <hyperlink ref="U48" r:id="rId108" display="Link"/>
    <hyperlink ref="O49" r:id="rId109" display="Link"/>
    <hyperlink ref="U49" r:id="rId110" display="Link"/>
    <hyperlink ref="AA49" r:id="rId111" display="Link"/>
    <hyperlink ref="O50" r:id="rId112" display="Link"/>
    <hyperlink ref="U50" r:id="rId113" display="Link"/>
    <hyperlink ref="AA50" r:id="rId114" display="Link"/>
    <hyperlink ref="O51" r:id="rId115" display="Link"/>
    <hyperlink ref="U51" r:id="rId116" display="Link"/>
    <hyperlink ref="AA51" r:id="rId117" display="Link"/>
    <hyperlink ref="O52" r:id="rId118" display="Link"/>
    <hyperlink ref="U52" r:id="rId119" display="Link"/>
    <hyperlink ref="AA52" r:id="rId120" display="Link"/>
    <hyperlink ref="O53" r:id="rId121" display="Link"/>
    <hyperlink ref="U53" r:id="rId122" display="Link"/>
    <hyperlink ref="AA53" r:id="rId123" display="Link"/>
    <hyperlink ref="O54" r:id="rId124" display="Link"/>
    <hyperlink ref="U54" r:id="rId125" display="Link"/>
    <hyperlink ref="AA54" r:id="rId126" display="Link"/>
    <hyperlink ref="O55" r:id="rId127" display="Link"/>
    <hyperlink ref="U55" r:id="rId128" display="Link"/>
    <hyperlink ref="AA55" r:id="rId129" display="Link"/>
    <hyperlink ref="O56" r:id="rId130" display="Link"/>
    <hyperlink ref="U56" r:id="rId131" display="Link"/>
    <hyperlink ref="AA56" r:id="rId132" display="Link"/>
    <hyperlink ref="O57" r:id="rId133" display="Link"/>
    <hyperlink ref="U57" r:id="rId134" display="Link"/>
    <hyperlink ref="AA57" r:id="rId135" display="Link"/>
    <hyperlink ref="O58" r:id="rId136" display="Link"/>
    <hyperlink ref="U58" r:id="rId137" display="Link"/>
    <hyperlink ref="AA58" r:id="rId138" display="Link"/>
    <hyperlink ref="O59" r:id="rId139" display="Link"/>
    <hyperlink ref="U59" r:id="rId140" display="Link"/>
    <hyperlink ref="O60" r:id="rId141" display="Link"/>
    <hyperlink ref="U60" r:id="rId142" display="Link"/>
    <hyperlink ref="O61" r:id="rId143" display="Link"/>
    <hyperlink ref="U61" r:id="rId144" display="Link"/>
    <hyperlink ref="AA61" r:id="rId145" display="Link"/>
    <hyperlink ref="O62" r:id="rId146" display="Link"/>
    <hyperlink ref="U62" r:id="rId147" display="Link"/>
    <hyperlink ref="AA62" r:id="rId148" display="Link"/>
    <hyperlink ref="U63" r:id="rId149" display="Link"/>
    <hyperlink ref="AA63" r:id="rId150" display="Link"/>
    <hyperlink ref="O64" r:id="rId151" display="Link"/>
    <hyperlink ref="U64" r:id="rId152" display="Link"/>
    <hyperlink ref="AA64" r:id="rId153" display="Link"/>
    <hyperlink ref="O65" r:id="rId154" display="Link"/>
    <hyperlink ref="U65" r:id="rId155" display="Link"/>
    <hyperlink ref="AA65" r:id="rId156" display="Link"/>
    <hyperlink ref="O66" r:id="rId157" display="Link"/>
    <hyperlink ref="U66" r:id="rId158" display="Link"/>
    <hyperlink ref="AA66" r:id="rId159" display="Link"/>
    <hyperlink ref="O67" r:id="rId160" display="Link"/>
    <hyperlink ref="U67" r:id="rId161" display="Link"/>
    <hyperlink ref="AA67" r:id="rId162" display="Link"/>
    <hyperlink ref="O68" r:id="rId163" display="Link"/>
    <hyperlink ref="U68" r:id="rId164" display="Link"/>
    <hyperlink ref="AA68" r:id="rId165" display="Link"/>
    <hyperlink ref="O69" r:id="rId166" display="Link"/>
    <hyperlink ref="U69" r:id="rId167" display="Link"/>
    <hyperlink ref="AA69" r:id="rId168" display="Link"/>
    <hyperlink ref="O70" r:id="rId169" display="Link"/>
    <hyperlink ref="U70" r:id="rId170" display="Link"/>
    <hyperlink ref="AA70" r:id="rId171" display="Link"/>
    <hyperlink ref="O72" r:id="rId172" display="Link"/>
    <hyperlink ref="U72" r:id="rId173" display="Link"/>
    <hyperlink ref="AA72" r:id="rId174" display="Link"/>
    <hyperlink ref="O74" r:id="rId175" display="Link"/>
    <hyperlink ref="U74" r:id="rId176" display="Link"/>
    <hyperlink ref="AA74" r:id="rId177" display="Link"/>
    <hyperlink ref="O76" r:id="rId178" display="Link"/>
    <hyperlink ref="U76" r:id="rId179" display="Link"/>
    <hyperlink ref="AA76" r:id="rId180" display="Link"/>
    <hyperlink ref="O77" r:id="rId181" display="Link"/>
    <hyperlink ref="U77" r:id="rId182" display="Link"/>
    <hyperlink ref="AA77" r:id="rId183" display="Link"/>
    <hyperlink ref="O78" r:id="rId184" display="Link"/>
    <hyperlink ref="U78" r:id="rId185" display="Link"/>
    <hyperlink ref="AA78" r:id="rId186" display="Link"/>
    <hyperlink ref="O79" r:id="rId187" display="Link"/>
    <hyperlink ref="U79" r:id="rId188" display="Link"/>
    <hyperlink ref="AA79" r:id="rId189" display="Link"/>
    <hyperlink ref="O81" r:id="rId190" display="Link"/>
    <hyperlink ref="U81" r:id="rId191" display="Link"/>
    <hyperlink ref="AA81" r:id="rId192" display="Link"/>
    <hyperlink ref="O82" r:id="rId193" display="Link"/>
    <hyperlink ref="U82" r:id="rId194" display="Link"/>
    <hyperlink ref="AA82" r:id="rId195" display="Link"/>
    <hyperlink ref="O83" r:id="rId196" display="Link"/>
    <hyperlink ref="O84" r:id="rId197" display="Link"/>
    <hyperlink ref="U84" r:id="rId198" display="Link"/>
    <hyperlink ref="AA84" r:id="rId199" display="Link"/>
    <hyperlink ref="O85" r:id="rId200" display="Link"/>
    <hyperlink ref="U85" r:id="rId201" display="Link"/>
    <hyperlink ref="AA85" r:id="rId202" display="Link"/>
    <hyperlink ref="O86" r:id="rId203" display="Link"/>
    <hyperlink ref="O87" r:id="rId204" display="Link"/>
    <hyperlink ref="U87" r:id="rId205" display="Link"/>
    <hyperlink ref="AA87" r:id="rId206" display="Link"/>
    <hyperlink ref="O88" r:id="rId207" display="Link"/>
    <hyperlink ref="U88" r:id="rId208" display="Link"/>
    <hyperlink ref="AA88" r:id="rId209" display="Link"/>
    <hyperlink ref="O89" r:id="rId210" display="Link"/>
    <hyperlink ref="U89" r:id="rId211" display="Link"/>
    <hyperlink ref="AA89" r:id="rId212" display="Link"/>
    <hyperlink ref="O90" r:id="rId213" display="Link"/>
    <hyperlink ref="U90" r:id="rId214" display="Link"/>
    <hyperlink ref="AA90" r:id="rId215" display="Link"/>
    <hyperlink ref="O91" r:id="rId216" display="Link"/>
    <hyperlink ref="U91" r:id="rId217" display="Link"/>
    <hyperlink ref="AA91" r:id="rId218" display="Link"/>
    <hyperlink ref="O92" r:id="rId219" display="Link"/>
    <hyperlink ref="U92" r:id="rId220" display="Link"/>
    <hyperlink ref="AA92" r:id="rId221" display="Link"/>
    <hyperlink ref="O93" r:id="rId222" display="Link"/>
    <hyperlink ref="U93" r:id="rId223" display="Link"/>
    <hyperlink ref="AA93" r:id="rId224" display="Link"/>
    <hyperlink ref="O94" r:id="rId225" display="Link"/>
    <hyperlink ref="U94" r:id="rId226" display="Link"/>
    <hyperlink ref="AA94" r:id="rId227" display="Link"/>
    <hyperlink ref="O95" r:id="rId228" display="Link"/>
    <hyperlink ref="U95" r:id="rId229" display="Link"/>
    <hyperlink ref="AA95" r:id="rId230" display="Link"/>
    <hyperlink ref="O96" r:id="rId231" display="Link"/>
    <hyperlink ref="U96" r:id="rId232" display="Link"/>
    <hyperlink ref="AA96" r:id="rId233" display="Link"/>
    <hyperlink ref="O97" r:id="rId234" display="Link"/>
    <hyperlink ref="U97" r:id="rId235" display="Link"/>
    <hyperlink ref="AA97" r:id="rId236" display="Link"/>
    <hyperlink ref="O98" r:id="rId237" display="Link"/>
    <hyperlink ref="AA98" r:id="rId238" display="Link"/>
    <hyperlink ref="O99" r:id="rId239" display="Link"/>
    <hyperlink ref="U99" r:id="rId240" display="Link"/>
    <hyperlink ref="AA99" r:id="rId241" display="Link"/>
    <hyperlink ref="O100" r:id="rId242" display="Link"/>
    <hyperlink ref="U100" r:id="rId243" display="Link"/>
    <hyperlink ref="AA100" r:id="rId244" display="Link"/>
    <hyperlink ref="O101" r:id="rId245" display="Link"/>
    <hyperlink ref="U101" r:id="rId246" display="Link"/>
    <hyperlink ref="AA101" r:id="rId247" display="Link"/>
    <hyperlink ref="O103" r:id="rId248" display="Link"/>
    <hyperlink ref="U103" r:id="rId249" display="Link"/>
    <hyperlink ref="AA103" r:id="rId250" display="Link"/>
    <hyperlink ref="O104" r:id="rId251" display="Link"/>
    <hyperlink ref="U104" r:id="rId252" display="Link"/>
    <hyperlink ref="AA104" r:id="rId253" display="Link"/>
    <hyperlink ref="O105" r:id="rId254" display="Link"/>
    <hyperlink ref="U105" r:id="rId255" display="Link"/>
    <hyperlink ref="AA105" r:id="rId256" display="Link"/>
    <hyperlink ref="O106" r:id="rId257" display="Link"/>
    <hyperlink ref="U106" r:id="rId258" display="Link"/>
    <hyperlink ref="AA106" r:id="rId259" display="Link"/>
    <hyperlink ref="O107" r:id="rId260" display="Link"/>
    <hyperlink ref="U107" r:id="rId261" display="Link"/>
    <hyperlink ref="AA107" r:id="rId262" display="Link"/>
    <hyperlink ref="O108" r:id="rId263" display="Link"/>
    <hyperlink ref="U108" r:id="rId264" display="Link"/>
    <hyperlink ref="O109" r:id="rId265" display="Link"/>
    <hyperlink ref="U109" r:id="rId266" display="Link"/>
    <hyperlink ref="AA109" r:id="rId267" display="Link"/>
    <hyperlink ref="O110" r:id="rId268" display="Link"/>
    <hyperlink ref="U110" r:id="rId269" display="Link"/>
    <hyperlink ref="AA110" r:id="rId270" display="Link"/>
    <hyperlink ref="O111" r:id="rId271" display="Link"/>
    <hyperlink ref="U111" r:id="rId272" display="Link"/>
    <hyperlink ref="AA111" r:id="rId273" display="Link"/>
    <hyperlink ref="O112" r:id="rId274" display="Link"/>
    <hyperlink ref="U112" r:id="rId275" display="Link"/>
    <hyperlink ref="AA112" r:id="rId276" display="Link"/>
    <hyperlink ref="O113" r:id="rId277" display="Link"/>
    <hyperlink ref="U113" r:id="rId278" display="Link"/>
    <hyperlink ref="AA113" r:id="rId279" display="Link"/>
    <hyperlink ref="U114" r:id="rId280" display="Link"/>
    <hyperlink ref="AA114" r:id="rId281" display="Link"/>
    <hyperlink ref="O115" r:id="rId282" display="Link"/>
    <hyperlink ref="U115" r:id="rId283" display="Link"/>
    <hyperlink ref="AA115" r:id="rId284" display="Link"/>
    <hyperlink ref="O116" r:id="rId285" display="Link"/>
    <hyperlink ref="U116" r:id="rId286" display="Link"/>
    <hyperlink ref="AA116" r:id="rId287" display="Link"/>
    <hyperlink ref="O117" r:id="rId288" display="Link"/>
    <hyperlink ref="U117" r:id="rId289" display="Link"/>
    <hyperlink ref="AA117" r:id="rId290" display="Link"/>
    <hyperlink ref="O118" r:id="rId291" display="Link"/>
    <hyperlink ref="U118" r:id="rId292" display="Link"/>
    <hyperlink ref="AA118" r:id="rId293" display="Link"/>
    <hyperlink ref="O119" r:id="rId294" display="Link"/>
    <hyperlink ref="U119" r:id="rId295" display="Link"/>
    <hyperlink ref="AA119" r:id="rId296" display="Link"/>
    <hyperlink ref="O120" r:id="rId297" display="Link"/>
    <hyperlink ref="U120" r:id="rId298" display="Link"/>
    <hyperlink ref="AA120" r:id="rId299" display="Link"/>
    <hyperlink ref="O121" r:id="rId300" display="Link"/>
    <hyperlink ref="U121" r:id="rId301" display="Link"/>
    <hyperlink ref="AA121" r:id="rId302" display="Link"/>
    <hyperlink ref="O122" r:id="rId303" display="Link"/>
    <hyperlink ref="U122" r:id="rId304" display="Link"/>
    <hyperlink ref="AA122" r:id="rId305" display="Link"/>
    <hyperlink ref="O123" r:id="rId306" display="Link"/>
    <hyperlink ref="U123" r:id="rId307" display="Link"/>
    <hyperlink ref="AA123" r:id="rId308" display="Link"/>
    <hyperlink ref="O124" r:id="rId309" display="Link"/>
    <hyperlink ref="U124" r:id="rId310" display="Link"/>
    <hyperlink ref="AA124" r:id="rId311" display="Link"/>
    <hyperlink ref="O125" r:id="rId312" display="Link"/>
    <hyperlink ref="U125" r:id="rId313" display="Link"/>
    <hyperlink ref="AA125" r:id="rId314" display="Link"/>
    <hyperlink ref="O126" r:id="rId315" display="Link"/>
    <hyperlink ref="U126" r:id="rId316" display="Link"/>
    <hyperlink ref="AA126" r:id="rId317" display="Link"/>
    <hyperlink ref="O127" r:id="rId318" display="Link"/>
    <hyperlink ref="U127" r:id="rId319" display="Link"/>
    <hyperlink ref="AA127" r:id="rId320" display="Link"/>
    <hyperlink ref="O128" r:id="rId321" display="Link"/>
    <hyperlink ref="U128" r:id="rId322" display="Link"/>
    <hyperlink ref="AA128" r:id="rId323" display="Link"/>
    <hyperlink ref="O129" r:id="rId324" display="Link"/>
    <hyperlink ref="U129" r:id="rId325" display="Link"/>
    <hyperlink ref="AA129" r:id="rId326" display="Link"/>
    <hyperlink ref="O130" r:id="rId327" display="Link"/>
    <hyperlink ref="U130" r:id="rId328" display="Link"/>
    <hyperlink ref="AA130" r:id="rId329" display="Link"/>
    <hyperlink ref="O131" r:id="rId330" display="Link"/>
    <hyperlink ref="U131" r:id="rId331" display="Link"/>
    <hyperlink ref="AA131" r:id="rId332" display="Link"/>
    <hyperlink ref="O132" r:id="rId333" display="Link"/>
    <hyperlink ref="U132" r:id="rId334" display="Link"/>
    <hyperlink ref="AA132" r:id="rId335" display="Link"/>
    <hyperlink ref="O133" r:id="rId336" display="Link"/>
    <hyperlink ref="U133" r:id="rId337" display="Link"/>
    <hyperlink ref="AA133" r:id="rId338" display="Link"/>
    <hyperlink ref="O134" r:id="rId339" display="Link"/>
    <hyperlink ref="U134" r:id="rId340" display="Link"/>
    <hyperlink ref="AA134" r:id="rId341" display="Link"/>
    <hyperlink ref="O135" r:id="rId342" display="Link"/>
    <hyperlink ref="U135" r:id="rId343" display="Link"/>
    <hyperlink ref="AA135" r:id="rId344" display="Link"/>
    <hyperlink ref="O137" r:id="rId345" display="Link"/>
    <hyperlink ref="U137" r:id="rId346" display="Link"/>
    <hyperlink ref="AA137" r:id="rId347" display="Link"/>
    <hyperlink ref="O138" r:id="rId348" display="Link"/>
    <hyperlink ref="U138" r:id="rId349" display="Link"/>
    <hyperlink ref="AA138" r:id="rId350" display="Link"/>
    <hyperlink ref="O139" r:id="rId351" display="Link"/>
    <hyperlink ref="U139" r:id="rId352" display="Link"/>
    <hyperlink ref="AA139" r:id="rId353" display="Link"/>
    <hyperlink ref="O140" r:id="rId354" display="Link"/>
    <hyperlink ref="U140" r:id="rId355" display="Link"/>
    <hyperlink ref="AA140" r:id="rId356" display="Link"/>
    <hyperlink ref="U141" r:id="rId357" display="Link"/>
    <hyperlink ref="AA141" r:id="rId358" display="Link"/>
    <hyperlink ref="O142" r:id="rId359" display="Link"/>
    <hyperlink ref="U142" r:id="rId360" display="Link"/>
    <hyperlink ref="AA142" r:id="rId361" display="Link"/>
    <hyperlink ref="O143" r:id="rId362" display="Link"/>
    <hyperlink ref="U143" r:id="rId363" display="Link"/>
    <hyperlink ref="AA143" r:id="rId364" display="Link"/>
    <hyperlink ref="O144" r:id="rId365" display="Link"/>
    <hyperlink ref="U144" r:id="rId366" display="Link"/>
    <hyperlink ref="AA144" r:id="rId367" display="Link"/>
    <hyperlink ref="O145" r:id="rId368" display="Link"/>
    <hyperlink ref="U145" r:id="rId369" display="Link"/>
    <hyperlink ref="AA145" r:id="rId370" display="Link"/>
    <hyperlink ref="O146" r:id="rId371" display="Link"/>
    <hyperlink ref="O147" r:id="rId372" display="Link"/>
    <hyperlink ref="U147" r:id="rId373" display="Link"/>
    <hyperlink ref="AA147" r:id="rId374" display="Link"/>
    <hyperlink ref="O148" r:id="rId375" display="Link"/>
    <hyperlink ref="U148" r:id="rId376" display="Link"/>
    <hyperlink ref="AA148" r:id="rId377" display="Link"/>
    <hyperlink ref="O149" r:id="rId378" display="Link"/>
    <hyperlink ref="U149" r:id="rId379" display="Link"/>
    <hyperlink ref="AA149" r:id="rId380" display="Link"/>
    <hyperlink ref="O150" r:id="rId381" display="Link"/>
    <hyperlink ref="U150" r:id="rId382" display="Link"/>
    <hyperlink ref="AA150" r:id="rId383" display="Link"/>
    <hyperlink ref="O151" r:id="rId384" display="Link"/>
    <hyperlink ref="U151" r:id="rId385" display="Link"/>
    <hyperlink ref="AA151" r:id="rId386" display="Link"/>
    <hyperlink ref="O152" r:id="rId387" display="Link"/>
    <hyperlink ref="U152" r:id="rId388" display="Link"/>
    <hyperlink ref="AA152" r:id="rId389" display="Link"/>
    <hyperlink ref="O153" r:id="rId390" display="Link"/>
    <hyperlink ref="U153" r:id="rId391" display="Link"/>
    <hyperlink ref="AA153" r:id="rId392" display="Link"/>
    <hyperlink ref="O154" r:id="rId393" display="Link"/>
    <hyperlink ref="O155" r:id="rId394" display="Link"/>
    <hyperlink ref="U155" r:id="rId395" display="Link"/>
    <hyperlink ref="AA155" r:id="rId396" display="Link"/>
    <hyperlink ref="O156" r:id="rId397" display="Link"/>
    <hyperlink ref="U156" r:id="rId398" display="Link"/>
    <hyperlink ref="O157" r:id="rId399" display="Link"/>
    <hyperlink ref="U157" r:id="rId400" display="Link"/>
    <hyperlink ref="AA157" r:id="rId401" display="Link"/>
    <hyperlink ref="O158" r:id="rId402" display="Link"/>
    <hyperlink ref="O159" r:id="rId403" display="Link"/>
    <hyperlink ref="U159" r:id="rId404" display="Link"/>
    <hyperlink ref="U160" r:id="rId405" display="Link"/>
    <hyperlink ref="AA160" r:id="rId406" display="Link"/>
    <hyperlink ref="O161" r:id="rId407" display="Link"/>
    <hyperlink ref="U161" r:id="rId408" display="Link"/>
    <hyperlink ref="AA161" r:id="rId409" display="Link"/>
    <hyperlink ref="O162" r:id="rId410" display="Link"/>
    <hyperlink ref="U162" r:id="rId411" display="Link"/>
    <hyperlink ref="AA162" r:id="rId412" display="Link"/>
    <hyperlink ref="U163" r:id="rId413" display="Link"/>
    <hyperlink ref="AA163" r:id="rId414" display="Link"/>
    <hyperlink ref="O164" r:id="rId415" display="Link"/>
    <hyperlink ref="U164" r:id="rId416" display="Link"/>
    <hyperlink ref="AA164" r:id="rId417" display="Link"/>
    <hyperlink ref="O165" r:id="rId418" display="Link"/>
    <hyperlink ref="U165" r:id="rId419" display="Link"/>
    <hyperlink ref="AA165" r:id="rId420" display="Link"/>
    <hyperlink ref="O166" r:id="rId421" display="Link"/>
    <hyperlink ref="U166" r:id="rId422" display="Link"/>
    <hyperlink ref="AA166" r:id="rId423" display="Link"/>
    <hyperlink ref="O167" r:id="rId424" display="Link"/>
    <hyperlink ref="U167" r:id="rId425" display="Link"/>
    <hyperlink ref="AA167" r:id="rId426" display="Link"/>
    <hyperlink ref="O168" r:id="rId427" display="Link"/>
    <hyperlink ref="U168" r:id="rId428" display="Link"/>
    <hyperlink ref="AA168" r:id="rId429" display="Link"/>
    <hyperlink ref="O169" r:id="rId430" display="Link"/>
    <hyperlink ref="U169" r:id="rId431" display="Link"/>
    <hyperlink ref="O170" r:id="rId432" display="Link"/>
    <hyperlink ref="O171" r:id="rId433" display="Link"/>
    <hyperlink ref="U171" r:id="rId434" display="Link"/>
    <hyperlink ref="AA171" r:id="rId435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2016-06-07T06:47:10Z</dcterms:created>
  <dc:language>es-AR</dc:language>
  <cp:lastModifiedBy>Diego Brengi</cp:lastModifiedBy>
  <dcterms:modified xsi:type="dcterms:W3CDTF">2016-06-07T04:11:01Z</dcterms:modified>
  <cp:revision>2</cp:revision>
</cp:coreProperties>
</file>