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ermo\OneDrive - uc.cl\Material Universidad\Ramos\2021-II\Economía Energía - Medio Ambiente\Tareas\Tarea 2\"/>
    </mc:Choice>
  </mc:AlternateContent>
  <xr:revisionPtr revIDLastSave="0" documentId="13_ncr:1_{85A783FE-093B-491E-B228-326160C2087F}" xr6:coauthVersionLast="47" xr6:coauthVersionMax="47" xr10:uidLastSave="{00000000-0000-0000-0000-000000000000}"/>
  <bookViews>
    <workbookView xWindow="-120" yWindow="-120" windowWidth="20730" windowHeight="11760" tabRatio="948" xr2:uid="{00000000-000D-0000-FFFF-FFFF00000000}"/>
  </bookViews>
  <sheets>
    <sheet name="Centrales" sheetId="1" r:id="rId1"/>
    <sheet name="Factores emisión" sheetId="4" r:id="rId2"/>
    <sheet name="Demanda" sheetId="2" r:id="rId3"/>
    <sheet name="Combustibles" sheetId="3" r:id="rId4"/>
    <sheet name="Daño ambiental" sheetId="5" r:id="rId5"/>
    <sheet name="Abatimiento" sheetId="6" r:id="rId6"/>
  </sheets>
  <definedNames>
    <definedName name="horas_b1">Demanda!$C$4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3" i="1" l="1"/>
  <c r="X53" i="1"/>
  <c r="Y53" i="1"/>
  <c r="W66" i="1"/>
  <c r="X66" i="1"/>
  <c r="Y66" i="1"/>
  <c r="W65" i="1"/>
  <c r="X65" i="1"/>
  <c r="Y65" i="1"/>
  <c r="W64" i="1"/>
  <c r="X64" i="1"/>
  <c r="Y64" i="1"/>
  <c r="W63" i="1"/>
  <c r="X63" i="1"/>
  <c r="Y63" i="1"/>
  <c r="W62" i="1"/>
  <c r="X62" i="1"/>
  <c r="Y62" i="1"/>
  <c r="W61" i="1"/>
  <c r="X61" i="1"/>
  <c r="Y61" i="1"/>
  <c r="V66" i="1"/>
  <c r="V65" i="1"/>
  <c r="V64" i="1"/>
  <c r="V63" i="1"/>
  <c r="V62" i="1"/>
  <c r="V61" i="1"/>
  <c r="W52" i="1"/>
  <c r="X52" i="1"/>
  <c r="Y52" i="1"/>
  <c r="W51" i="1"/>
  <c r="X51" i="1"/>
  <c r="Y51" i="1"/>
  <c r="W50" i="1"/>
  <c r="X50" i="1"/>
  <c r="Y50" i="1"/>
  <c r="W49" i="1"/>
  <c r="X49" i="1"/>
  <c r="Y49" i="1"/>
  <c r="W48" i="1"/>
  <c r="X48" i="1"/>
  <c r="Y48" i="1"/>
  <c r="W47" i="1"/>
  <c r="X47" i="1"/>
  <c r="Y47" i="1"/>
  <c r="V53" i="1"/>
  <c r="V52" i="1"/>
  <c r="V51" i="1"/>
  <c r="V50" i="1"/>
  <c r="V49" i="1"/>
  <c r="V48" i="1"/>
  <c r="V47" i="1"/>
  <c r="R25" i="1"/>
  <c r="S25" i="1"/>
  <c r="T25" i="1"/>
  <c r="R24" i="1"/>
  <c r="S24" i="1"/>
  <c r="T24" i="1"/>
  <c r="R23" i="1"/>
  <c r="S23" i="1"/>
  <c r="T23" i="1"/>
  <c r="R22" i="1"/>
  <c r="S22" i="1"/>
  <c r="T22" i="1"/>
  <c r="R21" i="1"/>
  <c r="S21" i="1"/>
  <c r="T21" i="1"/>
  <c r="R20" i="1"/>
  <c r="S20" i="1"/>
  <c r="T20" i="1"/>
  <c r="R19" i="1"/>
  <c r="S19" i="1"/>
  <c r="T19" i="1"/>
  <c r="R18" i="1"/>
  <c r="S18" i="1"/>
  <c r="T18" i="1"/>
  <c r="R17" i="1"/>
  <c r="S17" i="1"/>
  <c r="T17" i="1"/>
  <c r="R16" i="1"/>
  <c r="S16" i="1"/>
  <c r="T16" i="1"/>
  <c r="R15" i="1"/>
  <c r="S15" i="1"/>
  <c r="T15" i="1"/>
  <c r="Q25" i="1"/>
  <c r="Q24" i="1"/>
  <c r="Q23" i="1"/>
  <c r="Q22" i="1"/>
  <c r="Q21" i="1"/>
  <c r="Q20" i="1"/>
  <c r="Q19" i="1"/>
  <c r="Q18" i="1"/>
  <c r="Q17" i="1"/>
  <c r="Q16" i="1"/>
  <c r="Q15" i="1"/>
  <c r="R14" i="1"/>
  <c r="S14" i="1"/>
  <c r="T14" i="1"/>
  <c r="Q14" i="1"/>
  <c r="R13" i="1"/>
  <c r="S13" i="1"/>
  <c r="T13" i="1"/>
  <c r="Q13" i="1"/>
  <c r="R12" i="1"/>
  <c r="S12" i="1"/>
  <c r="T12" i="1"/>
  <c r="Q12" i="1"/>
  <c r="R11" i="1"/>
  <c r="S11" i="1"/>
  <c r="T11" i="1"/>
  <c r="Q11" i="1"/>
  <c r="R10" i="1"/>
  <c r="S10" i="1"/>
  <c r="T10" i="1"/>
  <c r="Q10" i="1"/>
  <c r="K18" i="1" l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O62" i="1"/>
  <c r="O63" i="1"/>
  <c r="O64" i="1"/>
  <c r="O65" i="1"/>
  <c r="O66" i="1"/>
  <c r="O61" i="1"/>
  <c r="P53" i="1"/>
  <c r="Q53" i="1"/>
  <c r="R53" i="1"/>
  <c r="O53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O48" i="1"/>
  <c r="O49" i="1"/>
  <c r="O50" i="1"/>
  <c r="O51" i="1"/>
  <c r="O52" i="1"/>
  <c r="O47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K14" i="1"/>
  <c r="L14" i="1"/>
  <c r="M14" i="1"/>
  <c r="J14" i="1"/>
  <c r="K13" i="1"/>
  <c r="L13" i="1"/>
  <c r="M13" i="1"/>
  <c r="J13" i="1"/>
  <c r="K10" i="1"/>
  <c r="L10" i="1"/>
  <c r="M10" i="1"/>
  <c r="K11" i="1"/>
  <c r="L11" i="1"/>
  <c r="M11" i="1"/>
  <c r="K12" i="1"/>
  <c r="L12" i="1"/>
  <c r="M12" i="1"/>
  <c r="J11" i="1"/>
  <c r="J12" i="1"/>
  <c r="J10" i="1"/>
  <c r="E19" i="4"/>
  <c r="F19" i="4"/>
  <c r="F20" i="4"/>
  <c r="F18" i="4"/>
  <c r="E20" i="4"/>
  <c r="E18" i="4"/>
  <c r="D20" i="4"/>
  <c r="D18" i="4"/>
  <c r="F21" i="6" l="1"/>
  <c r="F20" i="6"/>
  <c r="F19" i="6"/>
  <c r="F14" i="6"/>
  <c r="F13" i="6"/>
  <c r="F12" i="6"/>
  <c r="F6" i="6"/>
  <c r="F7" i="6"/>
  <c r="F5" i="6"/>
  <c r="M46" i="1" l="1"/>
  <c r="N46" i="1"/>
  <c r="M45" i="1"/>
  <c r="N45" i="1"/>
  <c r="M44" i="1"/>
  <c r="N44" i="1"/>
  <c r="G21" i="2"/>
  <c r="G20" i="2"/>
  <c r="G19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2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E4" i="2"/>
  <c r="K4" i="2"/>
  <c r="K5" i="2"/>
  <c r="D8" i="2"/>
  <c r="K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H14" i="2"/>
  <c r="H13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H12" i="2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H15" i="2"/>
  <c r="H4" i="2"/>
  <c r="H5" i="2"/>
  <c r="H3" i="2"/>
  <c r="G13" i="2"/>
  <c r="G14" i="2"/>
  <c r="G12" i="2"/>
  <c r="G15" i="2"/>
  <c r="O40" i="1"/>
  <c r="P40" i="1" s="1"/>
  <c r="O39" i="1"/>
  <c r="P39" i="1" s="1"/>
  <c r="G18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U11" i="2"/>
  <c r="T11" i="2"/>
  <c r="Q11" i="2"/>
  <c r="R11" i="2" s="1"/>
  <c r="S11" i="2" s="1"/>
  <c r="I11" i="2"/>
  <c r="J11" i="2" s="1"/>
  <c r="K11" i="2" s="1"/>
  <c r="L11" i="2" s="1"/>
  <c r="M11" i="2" s="1"/>
  <c r="N11" i="2" s="1"/>
  <c r="O11" i="2" s="1"/>
  <c r="P11" i="2" s="1"/>
  <c r="H11" i="2"/>
  <c r="G11" i="2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E6" i="2"/>
  <c r="E5" i="2"/>
  <c r="E8" i="2"/>
  <c r="I15" i="1"/>
  <c r="H15" i="1" s="1"/>
  <c r="I16" i="1"/>
  <c r="H16" i="1" s="1"/>
  <c r="I17" i="1"/>
  <c r="H17" i="1" s="1"/>
  <c r="I18" i="1"/>
  <c r="I19" i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14" i="1"/>
  <c r="H14" i="1" s="1"/>
  <c r="I13" i="1"/>
  <c r="H13" i="1" s="1"/>
  <c r="I11" i="1"/>
  <c r="H11" i="1" s="1"/>
  <c r="I12" i="1"/>
  <c r="H12" i="1" s="1"/>
  <c r="H18" i="1"/>
  <c r="I10" i="1"/>
  <c r="H10" i="1" s="1"/>
  <c r="H28" i="1"/>
  <c r="H27" i="1"/>
  <c r="H26" i="1"/>
  <c r="H19" i="1"/>
  <c r="G66" i="1" l="1"/>
  <c r="G65" i="1"/>
  <c r="G64" i="1"/>
  <c r="G63" i="1"/>
  <c r="G62" i="1"/>
  <c r="G61" i="1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/>
  <c r="D35" i="4" s="1"/>
  <c r="C18" i="4"/>
  <c r="C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<sst xmlns="http://schemas.openxmlformats.org/spreadsheetml/2006/main" count="516" uniqueCount="173">
  <si>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</si>
  <si>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</si>
  <si>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</si>
  <si>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</si>
  <si>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</si>
  <si>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</si>
  <si>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</si>
  <si>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</si>
  <si>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</si>
  <si>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</si>
  <si>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</si>
  <si>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</si>
  <si>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</si>
  <si>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</si>
  <si>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</si>
  <si>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</si>
  <si>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</si>
  <si>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</si>
  <si>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</si>
  <si>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</si>
  <si>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</si>
  <si>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</si>
  <si>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</si>
  <si>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</si>
  <si>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</si>
  <si>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</si>
  <si>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</si>
  <si>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</si>
  <si>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</si>
  <si>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</si>
  <si>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</si>
  <si>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</si>
  <si>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</si>
  <si>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</si>
  <si>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</si>
  <si>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</si>
  <si>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</si>
  <si>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</si>
  <si>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</si>
  <si>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</si>
  <si>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</si>
  <si>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</si>
  <si>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Diesel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</si>
  <si>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</si>
  <si>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</si>
  <si>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</si>
  <si>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</si>
  <si>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</si>
  <si>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</si>
  <si>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</si>
  <si>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</si>
  <si>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</si>
  <si>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</si>
  <si>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</si>
  <si>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</si>
  <si>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</si>
  <si>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</si>
  <si>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</si>
  <si>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</si>
  <si>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</si>
  <si>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</si>
  <si>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</si>
  <si>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</si>
  <si>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</si>
  <si>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</si>
  <si>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</si>
  <si>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</si>
  <si>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</si>
  <si>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</si>
  <si>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</si>
  <si>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</si>
  <si>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</si>
  <si>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</si>
  <si>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</si>
  <si>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</si>
  <si>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</si>
  <si>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</si>
  <si>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</si>
  <si>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</si>
  <si>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</si>
  <si>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</si>
  <si>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</si>
  <si>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</si>
  <si>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</si>
  <si>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</si>
  <si>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</si>
  <si>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</si>
  <si>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$/MBTU</t>
  </si>
  <si>
    <t>$/KW-neto</t>
  </si>
  <si>
    <t>gramos</t>
  </si>
  <si>
    <t>Mg (Megagramo)</t>
  </si>
  <si>
    <t>Centrales existentes</t>
  </si>
  <si>
    <t>Eolica 1</t>
  </si>
  <si>
    <t>Eolica 2</t>
  </si>
  <si>
    <t>Eolica 3</t>
  </si>
  <si>
    <t>Solar FV 2</t>
  </si>
  <si>
    <t>Solar FV 3</t>
  </si>
  <si>
    <t>Solar FV 1</t>
  </si>
  <si>
    <t>Hidroelectricidad convencional</t>
  </si>
  <si>
    <t>Tecnología</t>
  </si>
  <si>
    <t>Todos los valores en dólares de 2016</t>
  </si>
  <si>
    <t>Restricción de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</si>
  <si>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</si>
  <si>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</si>
  <si>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</si>
  <si>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</si>
  <si>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</si>
  <si>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</si>
  <si>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</si>
  <si>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</si>
  <si>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</si>
  <si>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</si>
  <si>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</si>
  <si>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</si>
  <si>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</si>
  <si>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</si>
  <si>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</si>
  <si>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</si>
  <si>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</si>
  <si>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</si>
  <si>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</si>
  <si>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</si>
  <si>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</si>
  <si>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</si>
  <si>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</si>
  <si>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</si>
  <si>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</si>
  <si>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</si>
  <si>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</si>
  <si>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</si>
  <si>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</si>
  <si>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</si>
  <si>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</si>
  <si>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comb</t>
  </si>
  <si>
    <t>Año</t>
  </si>
  <si>
    <t>Central (costos cosntrucción)</t>
  </si>
  <si>
    <t>n</t>
  </si>
  <si>
    <t>r</t>
  </si>
  <si>
    <t>Anualidad</t>
  </si>
  <si>
    <t>Cv</t>
  </si>
  <si>
    <t>fp</t>
  </si>
  <si>
    <t xml:space="preserve"> ($/kW-neto)</t>
  </si>
  <si>
    <t>DEMANDA EN GWh</t>
  </si>
  <si>
    <t>DEMANDA EN MW</t>
  </si>
  <si>
    <t>CASO ANUALIDAD MEJORA TECNOLÓGICA</t>
  </si>
  <si>
    <t>Costo</t>
  </si>
  <si>
    <t>Caso</t>
  </si>
  <si>
    <t>TOTAL</t>
  </si>
  <si>
    <t>Proporción GWh</t>
  </si>
  <si>
    <t>Proporción MW</t>
  </si>
  <si>
    <t>máxima instalación (MW)</t>
  </si>
  <si>
    <t>kgr/MWh</t>
  </si>
  <si>
    <t>sin eficiencia</t>
  </si>
  <si>
    <t>filtro 1</t>
  </si>
  <si>
    <t>filtro 2</t>
  </si>
  <si>
    <t>filtro 3</t>
  </si>
  <si>
    <t>anualidad 1</t>
  </si>
  <si>
    <t>anualidad 2</t>
  </si>
  <si>
    <t>anualidad 3</t>
  </si>
  <si>
    <t>CV total [$/MWh]</t>
  </si>
  <si>
    <t>Anualidad Total ($/kW)</t>
  </si>
  <si>
    <t>N° filtro</t>
  </si>
  <si>
    <t>MP (Eff)</t>
  </si>
  <si>
    <t>Nox (Eff)</t>
  </si>
  <si>
    <t>Sox (Eff)</t>
  </si>
  <si>
    <t>-</t>
  </si>
  <si>
    <t>Sox</t>
  </si>
  <si>
    <t>Nox</t>
  </si>
  <si>
    <t>NORMA</t>
  </si>
  <si>
    <t>Factor de Emisiones (FEMI)</t>
  </si>
  <si>
    <t>ton/MWh</t>
  </si>
  <si>
    <t>Factor de Emisiones (FEM_i)</t>
  </si>
  <si>
    <t>Costos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</si>
</sst>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;[Red]&quot;$&quot;\-#,##0.00"/>
    <numFmt numFmtId="41" formatCode="_ * #,##0_ ;_ * \-#,##0_ ;_ * &quot;-&quot;_ ;_ @_ "/>
    <numFmt numFmtId="43" formatCode="_ * #,##0.00_ ;_ * \-#,##0.00_ ;_ * &quot;-&quot;??_ ;_ @_ "/>
    <numFmt numFmtId="164" formatCode="0.0"/>
    <numFmt numFmtId="165" formatCode="0.0%"/>
    <numFmt numFmtId="166" formatCode="#,##0.000"/>
    <numFmt numFmtId="167" formatCode="0.000"/>
    <numFmt numFmtId="168" formatCode="_ * #,##0.00_ ;_ * \-#,##0.00_ ;_ * &quot;-&quot;_ ;_ @_ "/>
    <numFmt numFmtId="169" formatCode="_ * #,##0.0_ ;_ * \-#,##0.0_ ;_ * &quot;-&quot;_ ;_ @_ "/>
    <numFmt numFmtId="172" formatCode="_ * #,##0.0000_ ;_ * \-#,##0.0000_ ;_ * &quot;-&quot;_ ;_ @_ "/>
    <numFmt numFmtId="174" formatCode="0.00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9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8" borderId="2" xfId="0" applyFill="1" applyBorder="1"/>
    <xf numFmtId="1" fontId="0" fillId="8" borderId="2" xfId="0" applyNumberFormat="1" applyFill="1" applyBorder="1"/>
    <xf numFmtId="164" fontId="0" fillId="8" borderId="2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165" fontId="0" fillId="2" borderId="2" xfId="1" applyNumberFormat="1" applyFont="1" applyFill="1" applyBorder="1"/>
    <xf numFmtId="164" fontId="0" fillId="2" borderId="2" xfId="0" applyNumberFormat="1" applyFill="1" applyBorder="1"/>
    <xf numFmtId="2" fontId="0" fillId="2" borderId="2" xfId="0" applyNumberFormat="1" applyFill="1" applyBorder="1"/>
    <xf numFmtId="0" fontId="0" fillId="4" borderId="2" xfId="0" applyFill="1" applyBorder="1"/>
    <xf numFmtId="1" fontId="0" fillId="4" borderId="2" xfId="0" applyNumberFormat="1" applyFill="1" applyBorder="1"/>
    <xf numFmtId="165" fontId="0" fillId="4" borderId="2" xfId="1" applyNumberFormat="1" applyFont="1" applyFill="1" applyBorder="1"/>
    <xf numFmtId="164" fontId="0" fillId="4" borderId="2" xfId="0" applyNumberFormat="1" applyFill="1" applyBorder="1"/>
    <xf numFmtId="2" fontId="0" fillId="4" borderId="2" xfId="0" applyNumberFormat="1" applyFill="1" applyBorder="1"/>
    <xf numFmtId="0" fontId="0" fillId="3" borderId="2" xfId="0" applyFill="1" applyBorder="1"/>
    <xf numFmtId="1" fontId="0" fillId="3" borderId="2" xfId="0" applyNumberFormat="1" applyFill="1" applyBorder="1"/>
    <xf numFmtId="165" fontId="0" fillId="3" borderId="2" xfId="1" applyNumberFormat="1" applyFont="1" applyFill="1" applyBorder="1"/>
    <xf numFmtId="164" fontId="0" fillId="3" borderId="2" xfId="0" applyNumberFormat="1" applyFill="1" applyBorder="1"/>
    <xf numFmtId="2" fontId="0" fillId="3" borderId="2" xfId="0" applyNumberFormat="1" applyFill="1" applyBorder="1"/>
    <xf numFmtId="0" fontId="0" fillId="5" borderId="2" xfId="0" applyFill="1" applyBorder="1"/>
    <xf numFmtId="1" fontId="0" fillId="5" borderId="2" xfId="0" applyNumberFormat="1" applyFill="1" applyBorder="1"/>
    <xf numFmtId="2" fontId="0" fillId="5" borderId="2" xfId="0" applyNumberFormat="1" applyFill="1" applyBorder="1"/>
    <xf numFmtId="0" fontId="1" fillId="6" borderId="2" xfId="0" applyFont="1" applyFill="1" applyBorder="1"/>
    <xf numFmtId="0" fontId="0" fillId="6" borderId="2" xfId="0" applyFill="1" applyBorder="1"/>
    <xf numFmtId="1" fontId="0" fillId="6" borderId="2" xfId="0" applyNumberFormat="1" applyFill="1" applyBorder="1"/>
    <xf numFmtId="164" fontId="0" fillId="6" borderId="2" xfId="0" applyNumberFormat="1" applyFill="1" applyBorder="1"/>
    <xf numFmtId="2" fontId="0" fillId="6" borderId="2" xfId="0" applyNumberFormat="1" applyFill="1" applyBorder="1"/>
    <xf numFmtId="0" fontId="1" fillId="7" borderId="2" xfId="0" applyFont="1" applyFill="1" applyBorder="1"/>
    <xf numFmtId="0" fontId="0" fillId="7" borderId="2" xfId="0" applyFill="1" applyBorder="1"/>
    <xf numFmtId="1" fontId="0" fillId="7" borderId="2" xfId="0" applyNumberFormat="1" applyFill="1" applyBorder="1"/>
    <xf numFmtId="165" fontId="0" fillId="7" borderId="2" xfId="1" applyNumberFormat="1" applyFont="1" applyFill="1" applyBorder="1"/>
    <xf numFmtId="164" fontId="0" fillId="7" borderId="2" xfId="0" applyNumberFormat="1" applyFill="1" applyBorder="1"/>
    <xf numFmtId="2" fontId="0" fillId="7" borderId="2" xfId="0" applyNumberFormat="1" applyFill="1" applyBorder="1"/>
    <xf numFmtId="0" fontId="0" fillId="9" borderId="2" xfId="0" applyFill="1" applyBorder="1"/>
    <xf numFmtId="165" fontId="0" fillId="9" borderId="2" xfId="0" applyNumberFormat="1" applyFill="1" applyBorder="1"/>
    <xf numFmtId="164" fontId="0" fillId="9" borderId="2" xfId="0" applyNumberFormat="1" applyFill="1" applyBorder="1"/>
    <xf numFmtId="2" fontId="0" fillId="9" borderId="2" xfId="0" applyNumberFormat="1" applyFill="1" applyBorder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10" borderId="0" xfId="0" applyFont="1" applyFill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164" fontId="7" fillId="0" borderId="0" xfId="0" applyNumberFormat="1" applyFont="1" applyBorder="1" applyAlignment="1">
      <alignment horizontal="right" wrapText="1"/>
    </xf>
    <xf numFmtId="1" fontId="0" fillId="0" borderId="2" xfId="0" applyNumberFormat="1" applyBorder="1"/>
    <xf numFmtId="0" fontId="4" fillId="0" borderId="2" xfId="0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3" fontId="0" fillId="0" borderId="0" xfId="0" applyNumberFormat="1"/>
    <xf numFmtId="9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1" fillId="0" borderId="2" xfId="0" applyFont="1" applyBorder="1" applyAlignment="1">
      <alignment horizontal="right"/>
    </xf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8" fontId="0" fillId="0" borderId="2" xfId="0" applyNumberFormat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0" fillId="0" borderId="2" xfId="0" applyBorder="1" applyAlignment="1"/>
    <xf numFmtId="0" fontId="1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right"/>
    </xf>
    <xf numFmtId="0" fontId="2" fillId="0" borderId="2" xfId="0" applyFont="1" applyBorder="1" applyAlignment="1"/>
    <xf numFmtId="1" fontId="1" fillId="0" borderId="2" xfId="0" applyNumberFormat="1" applyFont="1" applyBorder="1"/>
    <xf numFmtId="0" fontId="0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 wrapText="1"/>
    </xf>
    <xf numFmtId="3" fontId="0" fillId="12" borderId="2" xfId="0" applyNumberFormat="1" applyFill="1" applyBorder="1"/>
    <xf numFmtId="41" fontId="0" fillId="0" borderId="0" xfId="2" applyFont="1"/>
    <xf numFmtId="0" fontId="1" fillId="13" borderId="6" xfId="0" applyFont="1" applyFill="1" applyBorder="1" applyAlignment="1">
      <alignment horizontal="right" wrapText="1"/>
    </xf>
    <xf numFmtId="0" fontId="1" fillId="13" borderId="7" xfId="0" applyFont="1" applyFill="1" applyBorder="1" applyAlignment="1">
      <alignment horizontal="right" wrapText="1"/>
    </xf>
    <xf numFmtId="41" fontId="0" fillId="12" borderId="2" xfId="2" applyFont="1" applyFill="1" applyBorder="1"/>
    <xf numFmtId="9" fontId="0" fillId="2" borderId="2" xfId="1" applyFont="1" applyFill="1" applyBorder="1"/>
    <xf numFmtId="9" fontId="0" fillId="4" borderId="2" xfId="1" applyFont="1" applyFill="1" applyBorder="1"/>
    <xf numFmtId="9" fontId="0" fillId="5" borderId="2" xfId="1" applyFont="1" applyFill="1" applyBorder="1"/>
    <xf numFmtId="9" fontId="1" fillId="6" borderId="2" xfId="1" applyFont="1" applyFill="1" applyBorder="1"/>
    <xf numFmtId="9" fontId="1" fillId="7" borderId="2" xfId="1" applyFont="1" applyFill="1" applyBorder="1"/>
    <xf numFmtId="9" fontId="0" fillId="3" borderId="2" xfId="1" applyFont="1" applyFill="1" applyBorder="1"/>
    <xf numFmtId="169" fontId="0" fillId="0" borderId="0" xfId="2" applyNumberFormat="1" applyFont="1"/>
    <xf numFmtId="0" fontId="1" fillId="0" borderId="0" xfId="0" applyFont="1" applyAlignment="1">
      <alignment horizontal="right"/>
    </xf>
    <xf numFmtId="8" fontId="0" fillId="0" borderId="0" xfId="0" applyNumberFormat="1" applyAlignment="1">
      <alignment horizontal="right"/>
    </xf>
    <xf numFmtId="0" fontId="1" fillId="10" borderId="0" xfId="0" applyFont="1" applyFill="1"/>
    <xf numFmtId="0" fontId="1" fillId="5" borderId="2" xfId="0" applyFont="1" applyFill="1" applyBorder="1"/>
    <xf numFmtId="0" fontId="1" fillId="0" borderId="0" xfId="0" quotePrefix="1" applyFont="1" applyAlignment="1">
      <alignment horizontal="right"/>
    </xf>
    <xf numFmtId="168" fontId="0" fillId="0" borderId="0" xfId="2" applyNumberFormat="1" applyFont="1"/>
    <xf numFmtId="0" fontId="0" fillId="0" borderId="0" xfId="0" applyAlignment="1">
      <alignment horizontal="center"/>
    </xf>
    <xf numFmtId="0" fontId="0" fillId="10" borderId="0" xfId="0" applyFill="1"/>
    <xf numFmtId="41" fontId="0" fillId="0" borderId="0" xfId="2" applyFont="1" applyAlignment="1">
      <alignment horizontal="right"/>
    </xf>
    <xf numFmtId="0" fontId="0" fillId="14" borderId="0" xfId="0" applyFill="1"/>
    <xf numFmtId="3" fontId="0" fillId="14" borderId="0" xfId="0" applyNumberFormat="1" applyFill="1"/>
    <xf numFmtId="0" fontId="10" fillId="0" borderId="0" xfId="0" applyFont="1" applyAlignment="1">
      <alignment horizontal="center" vertical="center"/>
    </xf>
    <xf numFmtId="0" fontId="11" fillId="10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2" fontId="0" fillId="2" borderId="2" xfId="1" applyNumberFormat="1" applyFont="1" applyFill="1" applyBorder="1"/>
    <xf numFmtId="2" fontId="0" fillId="8" borderId="2" xfId="0" applyNumberFormat="1" applyFill="1" applyBorder="1"/>
    <xf numFmtId="2" fontId="0" fillId="4" borderId="2" xfId="1" applyNumberFormat="1" applyFont="1" applyFill="1" applyBorder="1"/>
    <xf numFmtId="2" fontId="0" fillId="3" borderId="2" xfId="1" applyNumberFormat="1" applyFont="1" applyFill="1" applyBorder="1"/>
    <xf numFmtId="2" fontId="0" fillId="7" borderId="2" xfId="1" applyNumberFormat="1" applyFont="1" applyFill="1" applyBorder="1"/>
    <xf numFmtId="172" fontId="0" fillId="2" borderId="2" xfId="2" applyNumberFormat="1" applyFont="1" applyFill="1" applyBorder="1"/>
    <xf numFmtId="174" fontId="0" fillId="4" borderId="2" xfId="0" applyNumberFormat="1" applyFill="1" applyBorder="1"/>
    <xf numFmtId="174" fontId="0" fillId="3" borderId="2" xfId="0" applyNumberFormat="1" applyFill="1" applyBorder="1"/>
    <xf numFmtId="2" fontId="1" fillId="6" borderId="2" xfId="0" applyNumberFormat="1" applyFont="1" applyFill="1" applyBorder="1"/>
    <xf numFmtId="2" fontId="1" fillId="7" borderId="2" xfId="0" applyNumberFormat="1" applyFont="1" applyFill="1" applyBorder="1"/>
    <xf numFmtId="0" fontId="7" fillId="15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</cellXfs>
  <cellStyles count="3">
    <cellStyle name="Millares [0]" xfId="2" builtinId="6"/>
    <cellStyle name="Normal" xfId="0" builtinId="0"/>
    <cellStyle name="Porcentaj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459990</xdr:colOff>
      <xdr:row>0</xdr:row>
      <xdr:rowOff>0</xdr:rowOff>
    </xdr:from>
    <xdr:ext cx="2622385" cy="21554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3BF25F-150C-451E-9720-C06B4ECAFBF0}"/>
                </a:ext>
              </a:extLst>
            </xdr:cNvPr>
            <xdr:cNvSpPr txBox="1"/>
          </xdr:nvSpPr>
          <xdr:spPr>
            <a:xfrm>
              <a:off x="22810513" y="0"/>
              <a:ext cx="2622385" cy="2155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𝐶𝑉𝐶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𝑃𝑟𝑒𝑐𝑖𝑜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𝑐𝑜𝑚𝑏𝑢𝑠𝑡𝑖𝑏𝑙𝑒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𝐶𝐸</m:t>
                    </m:r>
                  </m:oMath>
                </m:oMathPara>
              </a14:m>
              <a:endParaRPr lang="es-ES" sz="1400" b="0"/>
            </a:p>
            <a:p>
              <a:endParaRPr lang="es-ES" sz="14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𝐶𝑉𝐶</m:t>
                  </m:r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$</m:t>
                          </m:r>
                        </m:num>
                        <m:den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𝑀𝐵𝑇𝑈</m:t>
                          </m:r>
                        </m:den>
                      </m:f>
                    </m:e>
                  </m:d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𝑀𝐵𝑇𝑈</m:t>
                          </m:r>
                        </m:num>
                        <m:den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𝑀𝑊h</m:t>
                          </m:r>
                        </m:den>
                      </m:f>
                    </m:e>
                  </m:d>
                </m:oMath>
              </a14:m>
              <a:r>
                <a:rPr lang="es-CL" sz="1400">
                  <a:effectLst/>
                </a:rPr>
                <a:t> en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$</m:t>
                          </m:r>
                        </m:num>
                        <m:den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𝑀𝑊h</m:t>
                          </m:r>
                        </m:den>
                      </m:f>
                    </m:e>
                  </m:d>
                </m:oMath>
              </a14:m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effectLst/>
                        <a:latin typeface="Cambria Math" panose="02040503050406030204" pitchFamily="18" charset="0"/>
                      </a:rPr>
                      <m:t>𝐶𝑉𝑇</m:t>
                    </m:r>
                    <m:r>
                      <a:rPr lang="es-ES" sz="1400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400" b="0" i="1">
                        <a:effectLst/>
                        <a:latin typeface="Cambria Math" panose="02040503050406030204" pitchFamily="18" charset="0"/>
                      </a:rPr>
                      <m:t>𝐶𝑉𝐶</m:t>
                    </m:r>
                    <m:r>
                      <a:rPr lang="es-ES" sz="1400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400" b="0" i="1">
                        <a:effectLst/>
                        <a:latin typeface="Cambria Math" panose="02040503050406030204" pitchFamily="18" charset="0"/>
                      </a:rPr>
                      <m:t>𝐶𝑉𝑁𝐶</m:t>
                    </m:r>
                  </m:oMath>
                </m:oMathPara>
              </a14:m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𝐶𝐸</m:t>
                  </m:r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860</m:t>
                          </m:r>
                        </m:num>
                        <m:den>
                          <m:sSub>
                            <m:sSub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𝜂</m:t>
                              </m:r>
                            </m:e>
                            <m:sub>
                              <m: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𝑛𝑒𝑡𝑎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E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0.252∗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s-E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en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E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𝑀𝐵𝑇𝑈</m:t>
                          </m:r>
                        </m:num>
                        <m:den>
                          <m:r>
                            <a:rPr lang="es-ES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𝑀𝑊h𝑒</m:t>
                          </m:r>
                        </m:den>
                      </m:f>
                    </m:e>
                  </m:d>
                </m:oMath>
              </a14:m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endParaRPr lang="es-C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3BF25F-150C-451E-9720-C06B4ECAFBF0}"/>
                </a:ext>
              </a:extLst>
            </xdr:cNvPr>
            <xdr:cNvSpPr txBox="1"/>
          </xdr:nvSpPr>
          <xdr:spPr>
            <a:xfrm>
              <a:off x="22810513" y="0"/>
              <a:ext cx="2622385" cy="2155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𝐶𝑉𝐶=〖𝑃𝑟𝑒𝑐𝑖𝑜〗_𝑐𝑜𝑚𝑏𝑢𝑠𝑡𝑖𝑏𝑙𝑒∗𝐶𝐸</a:t>
              </a:r>
              <a:endParaRPr lang="es-ES" sz="1400" b="0"/>
            </a:p>
            <a:p>
              <a:endParaRPr lang="es-ES" sz="14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𝐶𝑉𝐶=[$/𝑀𝐵𝑇𝑈]∗[𝑀𝐵𝑇𝑈/𝑀𝑊ℎ]</a:t>
              </a:r>
              <a:r>
                <a:rPr lang="es-CL" sz="1400">
                  <a:effectLst/>
                </a:rPr>
                <a:t> en 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[$/𝑀𝑊ℎ]</a:t>
              </a:r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b="0" i="0">
                  <a:effectLst/>
                  <a:latin typeface="Cambria Math" panose="02040503050406030204" pitchFamily="18" charset="0"/>
                </a:rPr>
                <a:t>𝐶𝑉𝑇=𝐶𝑉𝐶+𝐶𝑉𝑁𝐶</a:t>
              </a: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𝐶𝐸=[860/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𝜂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_𝑛𝑒𝑡𝑎 ]∗[1/(0.252∗10^3 )]</a:t>
              </a:r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en 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[𝑀𝐵𝑇𝑈/𝑀𝑊ℎ𝑒]</a:t>
              </a:r>
              <a:r>
                <a:rPr lang="es-CL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CL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effectLst/>
              </a:endParaRPr>
            </a:p>
            <a:p>
              <a:endParaRPr lang="es-CL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C2B5F-9F85-467A-8A4F-7963304B6132}" name="tbl_filtros" displayName="tbl_filtros" ref="M2:X66" totalsRowShown="0" headerRowDxfId="16" dataDxfId="14" headerRowBorderDxfId="15" tableBorderDxfId="13" totalsRowBorderDxfId="12">
  <autoFilter ref="M2:X66" xr:uid="{CF2C2B5F-9F85-467A-8A4F-7963304B6132}"/>
  <tableColumns count="12">
    <tableColumn id="1" xr3:uid="{18D954B1-ACA3-461E-B4E5-F8F3D536403B}" name="N° filtro" dataDxfId="11"/>
    <tableColumn id="2" xr3:uid="{5DF387C7-9B63-440D-8ABC-84209E8D6F9F}" name="filtro 1" dataDxfId="10"/>
    <tableColumn id="3" xr3:uid="{58710F3C-8484-44AE-A577-EB258E12533A}" name="filtro 2" dataDxfId="9"/>
    <tableColumn id="4" xr3:uid="{97D97F98-B408-4470-8493-9178EF9D2EDC}" name="filtro 3" dataDxfId="8"/>
    <tableColumn id="9" xr3:uid="{2F6E227E-F37E-4E91-9187-3427B362D91F}" name="MP (Eff)" dataDxfId="7"/>
    <tableColumn id="10" xr3:uid="{A419AEA4-B3E7-4645-9F21-8B9A74DFA5E7}" name="Nox (Eff)" dataDxfId="6"/>
    <tableColumn id="11" xr3:uid="{F5E5C6C4-F995-47A2-88FF-A349EC85261B}" name="Sox (Eff)" dataDxfId="5"/>
    <tableColumn id="12" xr3:uid="{0414F233-A815-42C2-888D-033F71446F76}" name="CV total [$/MWh]" dataDxfId="4"/>
    <tableColumn id="8" xr3:uid="{DA00149B-7EE6-4D15-B9BF-27D95F9FF2C1}" name="Anualidad Total ($/kW)" dataDxfId="3"/>
    <tableColumn id="5" xr3:uid="{6AC85D26-4A3D-4D01-9C0D-D7B846FE06C5}" name="anualidad 1" dataDxfId="2"/>
    <tableColumn id="6" xr3:uid="{0579DAA5-BB13-4803-8EA4-04FC382524F3}" name="anualidad 2" dataDxfId="1"/>
    <tableColumn id="7" xr3:uid="{E1336C94-122A-41AD-99B5-4D7FCA17CC39}" name="anualidad 3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Y65536"/>
  <sheetViews>
    <sheetView tabSelected="1" topLeftCell="A45" zoomScale="86" zoomScaleNormal="85" workbookViewId="0">
      <selection activeCell="S37" sqref="S37"/>
    </sheetView>
  </sheetViews>
  <sheetFormatPr baseColWidth="10" defaultRowHeight="12.75" x14ac:dyDescent="0.2"/>
  <cols>
    <col min="2" max="2" width="27.5703125" customWidth="1"/>
    <col min="3" max="3" width="17.140625" customWidth="1"/>
    <col min="4" max="4" width="15" customWidth="1"/>
    <col min="5" max="5" width="12.5703125" customWidth="1"/>
    <col min="7" max="7" width="14" customWidth="1"/>
    <col min="8" max="8" width="12.7109375" bestFit="1" customWidth="1"/>
    <col min="9" max="9" width="11.7109375" bestFit="1" customWidth="1"/>
    <col min="11" max="11" width="14.7109375" customWidth="1"/>
    <col min="13" max="13" width="14.7109375" customWidth="1"/>
    <col min="15" max="17" width="16.5703125" bestFit="1" customWidth="1"/>
    <col min="18" max="18" width="19" bestFit="1" customWidth="1"/>
  </cols>
  <sheetData>
    <row r="3" spans="2:20" x14ac:dyDescent="0.2">
      <c r="B3" s="77" t="s">
        <v>91</v>
      </c>
    </row>
    <row r="4" spans="2:20" ht="25.5" customHeight="1" x14ac:dyDescent="0.2">
      <c r="D4" s="75" t="s">
        <v>0</v>
      </c>
      <c r="E4" s="76" t="s">
        <v>1</v>
      </c>
      <c r="F4" s="76" t="s">
        <v>2</v>
      </c>
      <c r="G4" s="76" t="s">
        <v>3</v>
      </c>
      <c r="H4" s="76" t="s">
        <v>2</v>
      </c>
      <c r="I4" s="76" t="s">
        <v>2</v>
      </c>
      <c r="J4" s="166" t="s">
        <v>169</v>
      </c>
      <c r="K4" s="166"/>
      <c r="L4" s="166"/>
      <c r="M4" s="166"/>
      <c r="N4" s="167" t="s">
        <v>168</v>
      </c>
      <c r="O4" s="168"/>
      <c r="P4" s="169"/>
      <c r="Q4" s="170" t="s">
        <v>172</v>
      </c>
      <c r="R4" s="170"/>
      <c r="S4" s="170"/>
      <c r="T4" s="170"/>
    </row>
    <row r="5" spans="2:20" x14ac:dyDescent="0.2">
      <c r="D5" s="76" t="s">
        <v>4</v>
      </c>
      <c r="E5" s="76"/>
      <c r="F5" s="76" t="s">
        <v>5</v>
      </c>
      <c r="G5" s="76"/>
      <c r="H5" s="76" t="s">
        <v>6</v>
      </c>
      <c r="I5" s="76" t="s">
        <v>133</v>
      </c>
      <c r="J5" s="155" t="s">
        <v>50</v>
      </c>
      <c r="K5" s="155" t="s">
        <v>166</v>
      </c>
      <c r="L5" s="155" t="s">
        <v>167</v>
      </c>
      <c r="M5" s="155" t="s">
        <v>61</v>
      </c>
      <c r="N5" s="155" t="s">
        <v>50</v>
      </c>
      <c r="O5" s="155" t="s">
        <v>166</v>
      </c>
      <c r="P5" s="155" t="s">
        <v>167</v>
      </c>
      <c r="Q5" s="155" t="s">
        <v>50</v>
      </c>
      <c r="R5" s="155" t="s">
        <v>166</v>
      </c>
      <c r="S5" s="155" t="s">
        <v>167</v>
      </c>
      <c r="T5" s="155" t="s">
        <v>61</v>
      </c>
    </row>
    <row r="6" spans="2:20" x14ac:dyDescent="0.2">
      <c r="B6" s="72" t="s">
        <v>99</v>
      </c>
      <c r="C6" s="72" t="s">
        <v>7</v>
      </c>
      <c r="D6" s="73" t="s">
        <v>8</v>
      </c>
      <c r="E6" s="74" t="s">
        <v>9</v>
      </c>
      <c r="F6" s="74" t="s">
        <v>10</v>
      </c>
      <c r="G6" s="74" t="s">
        <v>11</v>
      </c>
      <c r="H6" s="74" t="s">
        <v>10</v>
      </c>
      <c r="I6" s="74" t="s">
        <v>10</v>
      </c>
      <c r="J6" s="74" t="s">
        <v>170</v>
      </c>
      <c r="K6" s="74" t="s">
        <v>170</v>
      </c>
      <c r="L6" s="74" t="s">
        <v>170</v>
      </c>
      <c r="M6" s="74" t="s">
        <v>170</v>
      </c>
      <c r="N6" s="79"/>
      <c r="O6" s="79"/>
      <c r="P6" s="79"/>
      <c r="Q6" s="74" t="s">
        <v>104</v>
      </c>
      <c r="R6" s="74" t="s">
        <v>104</v>
      </c>
      <c r="S6" s="74" t="s">
        <v>104</v>
      </c>
      <c r="T6" s="74" t="s">
        <v>104</v>
      </c>
    </row>
    <row r="8" spans="2:20" x14ac:dyDescent="0.2">
      <c r="B8" s="33" t="s">
        <v>12</v>
      </c>
      <c r="C8" s="33" t="s">
        <v>13</v>
      </c>
      <c r="D8" s="34">
        <v>60</v>
      </c>
      <c r="E8" s="35"/>
      <c r="F8" s="35"/>
      <c r="G8" s="35">
        <v>0.9</v>
      </c>
      <c r="H8" s="33">
        <v>48.7</v>
      </c>
      <c r="I8" s="33"/>
      <c r="J8" s="157">
        <v>0</v>
      </c>
      <c r="K8" s="157">
        <v>0</v>
      </c>
      <c r="L8" s="157">
        <v>0</v>
      </c>
      <c r="M8" s="157">
        <v>0</v>
      </c>
      <c r="N8" s="157">
        <v>0</v>
      </c>
      <c r="O8" s="157">
        <v>0</v>
      </c>
      <c r="P8" s="157">
        <v>0</v>
      </c>
      <c r="Q8" s="157">
        <v>0</v>
      </c>
      <c r="R8" s="157">
        <v>0</v>
      </c>
      <c r="S8" s="157">
        <v>0</v>
      </c>
      <c r="T8" s="157">
        <v>0</v>
      </c>
    </row>
    <row r="9" spans="2:20" x14ac:dyDescent="0.2">
      <c r="B9" s="33" t="s">
        <v>12</v>
      </c>
      <c r="C9" s="33" t="s">
        <v>14</v>
      </c>
      <c r="D9" s="34">
        <v>204</v>
      </c>
      <c r="E9" s="35"/>
      <c r="F9" s="35"/>
      <c r="G9" s="35">
        <v>0.9</v>
      </c>
      <c r="H9" s="33">
        <v>44.5</v>
      </c>
      <c r="I9" s="33"/>
      <c r="J9" s="157">
        <v>0</v>
      </c>
      <c r="K9" s="157">
        <v>0</v>
      </c>
      <c r="L9" s="157">
        <v>0</v>
      </c>
      <c r="M9" s="157">
        <v>0</v>
      </c>
      <c r="N9" s="157">
        <v>0</v>
      </c>
      <c r="O9" s="157">
        <v>0</v>
      </c>
      <c r="P9" s="157">
        <v>0</v>
      </c>
      <c r="Q9" s="157">
        <v>0</v>
      </c>
      <c r="R9" s="157">
        <v>0</v>
      </c>
      <c r="S9" s="157">
        <v>0</v>
      </c>
      <c r="T9" s="157">
        <v>0</v>
      </c>
    </row>
    <row r="10" spans="2:20" x14ac:dyDescent="0.2">
      <c r="B10" s="36" t="s">
        <v>15</v>
      </c>
      <c r="C10" s="36" t="s">
        <v>16</v>
      </c>
      <c r="D10" s="37">
        <v>575</v>
      </c>
      <c r="E10" s="38">
        <v>0.376</v>
      </c>
      <c r="F10" s="39">
        <v>1.9</v>
      </c>
      <c r="G10" s="40">
        <v>0.88</v>
      </c>
      <c r="H10" s="40">
        <f>I10+F10</f>
        <v>24.590813914218167</v>
      </c>
      <c r="I10" s="40">
        <f>Combustibles!$C$7*860/E10/(0.252*10^3)</f>
        <v>22.690813914218168</v>
      </c>
      <c r="J10" s="161">
        <f>('Factores emisión'!C$7*'Factores emisión'!$F$19/Centrales!$E10)/1000</f>
        <v>15.696522557425801</v>
      </c>
      <c r="K10" s="161">
        <f>('Factores emisión'!D$7*'Factores emisión'!$F$19/Centrales!$E10)/1000</f>
        <v>8.0227921966756721</v>
      </c>
      <c r="L10" s="161">
        <f>('Factores emisión'!E$7*'Factores emisión'!$F$19/Centrales!$E10)/1000</f>
        <v>5.8059680370679194</v>
      </c>
      <c r="M10" s="161">
        <f>('Factores emisión'!F$7*'Factores emisión'!$F$19/Centrales!$E10)/1000</f>
        <v>839.32978218575465</v>
      </c>
      <c r="N10" s="156">
        <v>0.99</v>
      </c>
      <c r="O10" s="156">
        <v>0.95</v>
      </c>
      <c r="P10" s="156">
        <v>0</v>
      </c>
      <c r="Q10" s="156">
        <f>'Daño ambiental'!C8</f>
        <v>526.84727859553038</v>
      </c>
      <c r="R10" s="156">
        <f>'Daño ambiental'!D8</f>
        <v>210.73891143821214</v>
      </c>
      <c r="S10" s="156">
        <f>'Daño ambiental'!E8</f>
        <v>105.36945571910607</v>
      </c>
      <c r="T10" s="156">
        <f>'Daño ambiental'!F8</f>
        <v>50</v>
      </c>
    </row>
    <row r="11" spans="2:20" x14ac:dyDescent="0.2">
      <c r="B11" s="36" t="s">
        <v>15</v>
      </c>
      <c r="C11" s="36" t="s">
        <v>17</v>
      </c>
      <c r="D11" s="37">
        <v>812</v>
      </c>
      <c r="E11" s="38">
        <v>0.35</v>
      </c>
      <c r="F11" s="39">
        <v>3.1</v>
      </c>
      <c r="G11" s="40">
        <v>0.88</v>
      </c>
      <c r="H11" s="40">
        <f t="shared" ref="H11:H28" si="0">I11+F11</f>
        <v>27.476417233560092</v>
      </c>
      <c r="I11" s="40">
        <f>Combustibles!$C$7*860/E11/(0.252*10^3)</f>
        <v>24.37641723356009</v>
      </c>
      <c r="J11" s="161">
        <f>('Factores emisión'!C$7*'Factores emisión'!$F$19/Centrales!$E11)/1000</f>
        <v>16.862549947406006</v>
      </c>
      <c r="K11" s="161">
        <f>('Factores emisión'!D$7*'Factores emisión'!$F$19/Centrales!$E11)/1000</f>
        <v>8.6187710455715791</v>
      </c>
      <c r="L11" s="161">
        <f>('Factores emisión'!E$7*'Factores emisión'!$F$19/Centrales!$E11)/1000</f>
        <v>6.2372685198215372</v>
      </c>
      <c r="M11" s="161">
        <f>('Factores emisión'!F$7*'Factores emisión'!$F$19/Centrales!$E11)/1000</f>
        <v>901.67999457669657</v>
      </c>
      <c r="N11" s="156">
        <v>0.99</v>
      </c>
      <c r="O11" s="156">
        <v>0.95</v>
      </c>
      <c r="P11" s="156">
        <v>0</v>
      </c>
      <c r="Q11" s="156">
        <f>'Daño ambiental'!C11</f>
        <v>3161.0836715731821</v>
      </c>
      <c r="R11" s="156">
        <f>'Daño ambiental'!D11</f>
        <v>1580.541835786591</v>
      </c>
      <c r="S11" s="156">
        <f>'Daño ambiental'!E11</f>
        <v>2107.3891143821215</v>
      </c>
      <c r="T11" s="156">
        <f>'Daño ambiental'!F11</f>
        <v>50</v>
      </c>
    </row>
    <row r="12" spans="2:20" x14ac:dyDescent="0.2">
      <c r="B12" s="36" t="s">
        <v>15</v>
      </c>
      <c r="C12" s="36" t="s">
        <v>18</v>
      </c>
      <c r="D12" s="37">
        <v>806</v>
      </c>
      <c r="E12" s="38">
        <v>0.38</v>
      </c>
      <c r="F12" s="39">
        <v>4.0999999999999996</v>
      </c>
      <c r="G12" s="40">
        <v>0.87</v>
      </c>
      <c r="H12" s="40">
        <f t="shared" si="0"/>
        <v>26.551963241436923</v>
      </c>
      <c r="I12" s="40">
        <f>Combustibles!$C$7*860/E12/(0.252*10^3)</f>
        <v>22.451963241436925</v>
      </c>
      <c r="J12" s="161">
        <f>('Factores emisión'!C$7*'Factores emisión'!$F$19/Centrales!$E12)/1000</f>
        <v>15.531296004189743</v>
      </c>
      <c r="K12" s="161">
        <f>('Factores emisión'!D$7*'Factores emisión'!$F$19/Centrales!$E12)/1000</f>
        <v>7.938341752500139</v>
      </c>
      <c r="L12" s="161">
        <f>('Factores emisión'!E$7*'Factores emisión'!$F$19/Centrales!$E12)/1000</f>
        <v>5.7448525840461526</v>
      </c>
      <c r="M12" s="161">
        <f>('Factores emisión'!F$7*'Factores emisión'!$F$19/Centrales!$E12)/1000</f>
        <v>830.49473184695728</v>
      </c>
      <c r="N12" s="156">
        <v>0.99</v>
      </c>
      <c r="O12" s="156">
        <v>0.95</v>
      </c>
      <c r="P12" s="156">
        <v>0</v>
      </c>
      <c r="Q12" s="156">
        <f>'Daño ambiental'!C15</f>
        <v>3161.0836715731821</v>
      </c>
      <c r="R12" s="156">
        <f>'Daño ambiental'!D15</f>
        <v>1580.541835786591</v>
      </c>
      <c r="S12" s="156">
        <f>'Daño ambiental'!E15</f>
        <v>2107.3891143821215</v>
      </c>
      <c r="T12" s="156">
        <f>'Daño ambiental'!F15</f>
        <v>50</v>
      </c>
    </row>
    <row r="13" spans="2:20" x14ac:dyDescent="0.2">
      <c r="B13" s="41" t="s">
        <v>19</v>
      </c>
      <c r="C13" s="41" t="s">
        <v>17</v>
      </c>
      <c r="D13" s="42">
        <v>731</v>
      </c>
      <c r="E13" s="43">
        <v>0.45400000000000001</v>
      </c>
      <c r="F13" s="44">
        <v>3.4</v>
      </c>
      <c r="G13" s="45">
        <v>0.93</v>
      </c>
      <c r="H13" s="45">
        <f t="shared" si="0"/>
        <v>63.535654849311236</v>
      </c>
      <c r="I13" s="45">
        <f>Combustibles!$C$9*860/E13/(0.252*10^3)</f>
        <v>60.135654849311237</v>
      </c>
      <c r="J13" s="162">
        <f>('Factores emisión'!C$11*'Factores emisión'!$F$20/Centrales!$E13)/1000</f>
        <v>2.4685861418007993E-2</v>
      </c>
      <c r="K13" s="162">
        <f>('Factores emisión'!D$11*'Factores emisión'!$F$20/Centrales!$E13)/1000</f>
        <v>1.9488837961585258E-3</v>
      </c>
      <c r="L13" s="162">
        <f>('Factores emisión'!E$11*'Factores emisión'!$F$20/Centrales!$E13)/1000</f>
        <v>0.76331282016208923</v>
      </c>
      <c r="M13" s="162">
        <f>('Factores emisión'!F$11*'Factores emisión'!$F$20/Centrales!$E13)/1000</f>
        <v>389.77675923170511</v>
      </c>
      <c r="N13" s="158">
        <v>0.95</v>
      </c>
      <c r="O13" s="158">
        <v>0</v>
      </c>
      <c r="P13" s="158">
        <v>0.9</v>
      </c>
      <c r="Q13" s="158">
        <f>'Daño ambiental'!C11</f>
        <v>3161.0836715731821</v>
      </c>
      <c r="R13" s="158">
        <f>'Daño ambiental'!D11</f>
        <v>1580.541835786591</v>
      </c>
      <c r="S13" s="158">
        <f>'Daño ambiental'!E11</f>
        <v>2107.3891143821215</v>
      </c>
      <c r="T13" s="158">
        <f>'Daño ambiental'!F11</f>
        <v>50</v>
      </c>
    </row>
    <row r="14" spans="2:20" x14ac:dyDescent="0.2">
      <c r="B14" s="46" t="s">
        <v>20</v>
      </c>
      <c r="C14" s="46" t="s">
        <v>21</v>
      </c>
      <c r="D14" s="47">
        <v>439</v>
      </c>
      <c r="E14" s="48">
        <v>0.28000000000000003</v>
      </c>
      <c r="F14" s="49">
        <v>11.5</v>
      </c>
      <c r="G14" s="50">
        <v>0.9</v>
      </c>
      <c r="H14" s="50">
        <f t="shared" si="0"/>
        <v>169.94671201814057</v>
      </c>
      <c r="I14" s="50">
        <f>Combustibles!$C$8*860/E14/(0.252*10^3)</f>
        <v>158.44671201814057</v>
      </c>
      <c r="J14" s="163">
        <f>('Factores emisión'!C$9*'Factores emisión'!$F$18/Centrales!$E14)/1000</f>
        <v>8.0731339830173249E-2</v>
      </c>
      <c r="K14" s="163">
        <f>('Factores emisión'!D$9*'Factores emisión'!$F$18/Centrales!$E14)/1000</f>
        <v>6.5674944951845937</v>
      </c>
      <c r="L14" s="163">
        <f>('Factores emisión'!E$9*'Factores emisión'!$F$18/Centrales!$E14)/1000</f>
        <v>0.40365669915086633</v>
      </c>
      <c r="M14" s="163">
        <f>('Factores emisión'!F$9*'Factores emisión'!$F$18/Centrales!$E14)/1000</f>
        <v>900.15443910643194</v>
      </c>
      <c r="N14" s="159">
        <v>0.95</v>
      </c>
      <c r="O14" s="159">
        <v>0</v>
      </c>
      <c r="P14" s="159">
        <v>0</v>
      </c>
      <c r="Q14" s="159">
        <f>'Daño ambiental'!C6</f>
        <v>526.84727859553038</v>
      </c>
      <c r="R14" s="159">
        <f>'Daño ambiental'!D6</f>
        <v>210.73891143821214</v>
      </c>
      <c r="S14" s="159">
        <f>'Daño ambiental'!E6</f>
        <v>105.36945571910607</v>
      </c>
      <c r="T14" s="159">
        <f>'Daño ambiental'!F6</f>
        <v>50</v>
      </c>
    </row>
    <row r="15" spans="2:20" x14ac:dyDescent="0.2">
      <c r="B15" s="46" t="s">
        <v>20</v>
      </c>
      <c r="C15" s="46" t="s">
        <v>22</v>
      </c>
      <c r="D15" s="47">
        <v>169</v>
      </c>
      <c r="E15" s="48">
        <v>0.33500000000000002</v>
      </c>
      <c r="F15" s="49">
        <v>16.5</v>
      </c>
      <c r="G15" s="50">
        <v>0.9</v>
      </c>
      <c r="H15" s="50">
        <f t="shared" si="0"/>
        <v>148.93307273158021</v>
      </c>
      <c r="I15" s="50">
        <f>Combustibles!$C$8*860/E15/(0.252*10^3)</f>
        <v>132.43307273158021</v>
      </c>
      <c r="J15" s="163">
        <f>('Factores emisión'!C$9*'Factores emisión'!$F$18/Centrales!$E15)/1000</f>
        <v>6.7476940753577658E-2</v>
      </c>
      <c r="K15" s="163">
        <f>('Factores emisión'!D$9*'Factores emisión'!$F$18/Centrales!$E15)/1000</f>
        <v>5.4892491303035413</v>
      </c>
      <c r="L15" s="163">
        <f>('Factores emisión'!E$9*'Factores emisión'!$F$18/Centrales!$E15)/1000</f>
        <v>0.33738470376788826</v>
      </c>
      <c r="M15" s="163">
        <f>('Factores emisión'!F$9*'Factores emisión'!$F$18/Centrales!$E15)/1000</f>
        <v>752.3678894023908</v>
      </c>
      <c r="N15" s="159">
        <v>0.95</v>
      </c>
      <c r="O15" s="159">
        <v>0</v>
      </c>
      <c r="P15" s="159">
        <v>0</v>
      </c>
      <c r="Q15" s="159">
        <f>'Daño ambiental'!C7</f>
        <v>526.84727859553038</v>
      </c>
      <c r="R15" s="159">
        <f>'Daño ambiental'!D7</f>
        <v>210.73891143821214</v>
      </c>
      <c r="S15" s="159">
        <f>'Daño ambiental'!E7</f>
        <v>105.36945571910607</v>
      </c>
      <c r="T15" s="159">
        <f>'Daño ambiental'!F7</f>
        <v>50</v>
      </c>
    </row>
    <row r="16" spans="2:20" x14ac:dyDescent="0.2">
      <c r="B16" s="46" t="s">
        <v>20</v>
      </c>
      <c r="C16" s="46" t="s">
        <v>23</v>
      </c>
      <c r="D16" s="47">
        <v>203</v>
      </c>
      <c r="E16" s="48">
        <v>0.35799999999999998</v>
      </c>
      <c r="F16" s="49">
        <v>12.5</v>
      </c>
      <c r="G16" s="50">
        <v>0.44</v>
      </c>
      <c r="H16" s="50">
        <f t="shared" si="0"/>
        <v>136.42480269575242</v>
      </c>
      <c r="I16" s="50">
        <f>Combustibles!$C$8*860/E16/(0.252*10^3)</f>
        <v>123.92480269575242</v>
      </c>
      <c r="J16" s="163">
        <f>('Factores emisión'!C$9*'Factores emisión'!$F$18/Centrales!$E16)/1000</f>
        <v>6.3141830034772389E-2</v>
      </c>
      <c r="K16" s="163">
        <f>('Factores emisión'!D$9*'Factores emisión'!$F$18/Centrales!$E16)/1000</f>
        <v>5.1365878733287333</v>
      </c>
      <c r="L16" s="163">
        <f>('Factores emisión'!E$9*'Factores emisión'!$F$18/Centrales!$E16)/1000</f>
        <v>0.31570915017386192</v>
      </c>
      <c r="M16" s="163">
        <f>('Factores emisión'!F$9*'Factores emisión'!$F$18/Centrales!$E16)/1000</f>
        <v>704.03140488771226</v>
      </c>
      <c r="N16" s="159">
        <v>0.95</v>
      </c>
      <c r="O16" s="159">
        <v>0</v>
      </c>
      <c r="P16" s="159">
        <v>0</v>
      </c>
      <c r="Q16" s="159">
        <f>'Daño ambiental'!C10</f>
        <v>3161.0836715731821</v>
      </c>
      <c r="R16" s="159">
        <f>'Daño ambiental'!D10</f>
        <v>1580.541835786591</v>
      </c>
      <c r="S16" s="159">
        <f>'Daño ambiental'!E10</f>
        <v>2107.3891143821215</v>
      </c>
      <c r="T16" s="159">
        <f>'Daño ambiental'!F10</f>
        <v>50</v>
      </c>
    </row>
    <row r="17" spans="2:20" x14ac:dyDescent="0.2">
      <c r="B17" s="46" t="s">
        <v>20</v>
      </c>
      <c r="C17" s="46" t="s">
        <v>16</v>
      </c>
      <c r="D17" s="47">
        <v>58</v>
      </c>
      <c r="E17" s="48">
        <v>0.221</v>
      </c>
      <c r="F17" s="49">
        <v>11.6</v>
      </c>
      <c r="G17" s="50">
        <v>0.61</v>
      </c>
      <c r="H17" s="50">
        <f t="shared" si="0"/>
        <v>212.3469654528478</v>
      </c>
      <c r="I17" s="50">
        <f>Combustibles!$C$8*860/E17/(0.252*10^3)</f>
        <v>200.7469654528478</v>
      </c>
      <c r="J17" s="163">
        <f>('Factores emisión'!C$9*'Factores emisión'!$F$18/Centrales!$E17)/1000</f>
        <v>0.10228405046356794</v>
      </c>
      <c r="K17" s="163">
        <f>('Factores emisión'!D$9*'Factores emisión'!$F$18/Centrales!$E17)/1000</f>
        <v>8.3208075052112509</v>
      </c>
      <c r="L17" s="163">
        <f>('Factores emisión'!E$9*'Factores emisión'!$F$18/Centrales!$E17)/1000</f>
        <v>0.51142025231783972</v>
      </c>
      <c r="M17" s="163">
        <f>('Factores emisión'!F$9*'Factores emisión'!$F$18/Centrales!$E17)/1000</f>
        <v>1140.4671626687825</v>
      </c>
      <c r="N17" s="159">
        <v>0.95</v>
      </c>
      <c r="O17" s="159">
        <v>0</v>
      </c>
      <c r="P17" s="159">
        <v>0</v>
      </c>
      <c r="Q17" s="159">
        <f>'Daño ambiental'!C8</f>
        <v>526.84727859553038</v>
      </c>
      <c r="R17" s="159">
        <f>'Daño ambiental'!D8</f>
        <v>210.73891143821214</v>
      </c>
      <c r="S17" s="159">
        <f>'Daño ambiental'!E8</f>
        <v>105.36945571910607</v>
      </c>
      <c r="T17" s="159">
        <f>'Daño ambiental'!F8</f>
        <v>50</v>
      </c>
    </row>
    <row r="18" spans="2:20" x14ac:dyDescent="0.2">
      <c r="B18" s="46" t="s">
        <v>20</v>
      </c>
      <c r="C18" s="46" t="s">
        <v>24</v>
      </c>
      <c r="D18" s="47">
        <v>97</v>
      </c>
      <c r="E18" s="48">
        <v>0.30599999999999999</v>
      </c>
      <c r="F18" s="49">
        <v>24</v>
      </c>
      <c r="G18" s="50">
        <v>0.9</v>
      </c>
      <c r="H18" s="50">
        <f t="shared" si="0"/>
        <v>168.98391949372342</v>
      </c>
      <c r="I18" s="50">
        <f>Combustibles!$C$8*860/E18/(0.252*10^3)</f>
        <v>144.98391949372342</v>
      </c>
      <c r="J18" s="163">
        <f>('Factores emisión'!C$9*'Factores emisión'!$F$18/Centrales!$E18)/1000</f>
        <v>7.3871814223687965E-2</v>
      </c>
      <c r="K18" s="163">
        <f>('Factores emisión'!D$9*'Factores emisión'!$F$18/Centrales!$E18)/1000</f>
        <v>6.0094720870970146</v>
      </c>
      <c r="L18" s="163">
        <f>('Factores emisión'!E$9*'Factores emisión'!$F$18/Centrales!$E18)/1000</f>
        <v>0.3693590711184398</v>
      </c>
      <c r="M18" s="163">
        <f>('Factores emisión'!F$9*'Factores emisión'!$F$18/Centrales!$E18)/1000</f>
        <v>823.67072859412076</v>
      </c>
      <c r="N18" s="159">
        <v>0.95</v>
      </c>
      <c r="O18" s="159">
        <v>0</v>
      </c>
      <c r="P18" s="159">
        <v>0</v>
      </c>
      <c r="Q18" s="159">
        <f>'Daño ambiental'!C9</f>
        <v>526.84727859553038</v>
      </c>
      <c r="R18" s="159">
        <f>'Daño ambiental'!D9</f>
        <v>210.73891143821214</v>
      </c>
      <c r="S18" s="159">
        <f>'Daño ambiental'!E9</f>
        <v>105.36945571910607</v>
      </c>
      <c r="T18" s="159">
        <f>'Daño ambiental'!F9</f>
        <v>50</v>
      </c>
    </row>
    <row r="19" spans="2:20" x14ac:dyDescent="0.2">
      <c r="B19" s="46" t="s">
        <v>20</v>
      </c>
      <c r="C19" s="46" t="s">
        <v>17</v>
      </c>
      <c r="D19" s="47">
        <v>700</v>
      </c>
      <c r="E19" s="48">
        <v>0.40699999999999997</v>
      </c>
      <c r="F19" s="49">
        <v>5.9</v>
      </c>
      <c r="G19" s="50">
        <v>0.92</v>
      </c>
      <c r="H19" s="50">
        <f t="shared" si="0"/>
        <v>114.90510900510903</v>
      </c>
      <c r="I19" s="50">
        <f>Combustibles!$C$8*860/E19/(0.252*10^3)</f>
        <v>109.00510900510902</v>
      </c>
      <c r="J19" s="163">
        <f>('Factores emisión'!C$9*'Factores emisión'!$F$18/Centrales!$E19)/1000</f>
        <v>5.5539988089554092E-2</v>
      </c>
      <c r="K19" s="163">
        <f>('Factores emisión'!D$9*'Factores emisión'!$F$18/Centrales!$E19)/1000</f>
        <v>4.5181780310852258</v>
      </c>
      <c r="L19" s="163">
        <f>('Factores emisión'!E$9*'Factores emisión'!$F$18/Centrales!$E19)/1000</f>
        <v>0.27769994044777047</v>
      </c>
      <c r="M19" s="163">
        <f>('Factores emisión'!F$9*'Factores emisión'!$F$18/Centrales!$E19)/1000</f>
        <v>619.27086719852809</v>
      </c>
      <c r="N19" s="159">
        <v>0.95</v>
      </c>
      <c r="O19" s="159">
        <v>0</v>
      </c>
      <c r="P19" s="159">
        <v>0</v>
      </c>
      <c r="Q19" s="159">
        <f>'Daño ambiental'!C11</f>
        <v>3161.0836715731821</v>
      </c>
      <c r="R19" s="159">
        <f>'Daño ambiental'!D11</f>
        <v>1580.541835786591</v>
      </c>
      <c r="S19" s="159">
        <f>'Daño ambiental'!E11</f>
        <v>2107.3891143821215</v>
      </c>
      <c r="T19" s="159">
        <f>'Daño ambiental'!F11</f>
        <v>50</v>
      </c>
    </row>
    <row r="20" spans="2:20" x14ac:dyDescent="0.2">
      <c r="B20" s="46" t="s">
        <v>20</v>
      </c>
      <c r="C20" s="46" t="s">
        <v>25</v>
      </c>
      <c r="D20" s="47">
        <v>71</v>
      </c>
      <c r="E20" s="48">
        <v>0.20399999999999999</v>
      </c>
      <c r="F20" s="49">
        <v>6.1</v>
      </c>
      <c r="G20" s="50">
        <v>0.57999999999999996</v>
      </c>
      <c r="H20" s="50">
        <f t="shared" si="0"/>
        <v>223.57587924058512</v>
      </c>
      <c r="I20" s="50">
        <f>Combustibles!$C$8*860/E20/(0.252*10^3)</f>
        <v>217.47587924058513</v>
      </c>
      <c r="J20" s="163">
        <f>('Factores emisión'!C$9*'Factores emisión'!$F$18/Centrales!$E20)/1000</f>
        <v>0.11080772133553193</v>
      </c>
      <c r="K20" s="163">
        <f>('Factores emisión'!D$9*'Factores emisión'!$F$18/Centrales!$E20)/1000</f>
        <v>9.0142081306455228</v>
      </c>
      <c r="L20" s="163">
        <f>('Factores emisión'!E$9*'Factores emisión'!$F$18/Centrales!$E20)/1000</f>
        <v>0.5540386066776597</v>
      </c>
      <c r="M20" s="163">
        <f>('Factores emisión'!F$9*'Factores emisión'!$F$18/Centrales!$E20)/1000</f>
        <v>1235.5060928911812</v>
      </c>
      <c r="N20" s="159">
        <v>0.95</v>
      </c>
      <c r="O20" s="159">
        <v>0</v>
      </c>
      <c r="P20" s="159">
        <v>0</v>
      </c>
      <c r="Q20" s="159">
        <f>'Daño ambiental'!C12</f>
        <v>3161.0836715731821</v>
      </c>
      <c r="R20" s="159">
        <f>'Daño ambiental'!D12</f>
        <v>1580.541835786591</v>
      </c>
      <c r="S20" s="159">
        <f>'Daño ambiental'!E12</f>
        <v>2107.3891143821215</v>
      </c>
      <c r="T20" s="159">
        <f>'Daño ambiental'!F12</f>
        <v>50</v>
      </c>
    </row>
    <row r="21" spans="2:20" x14ac:dyDescent="0.2">
      <c r="B21" s="46" t="s">
        <v>20</v>
      </c>
      <c r="C21" s="46" t="s">
        <v>26</v>
      </c>
      <c r="D21" s="47">
        <v>368</v>
      </c>
      <c r="E21" s="48">
        <v>0.28000000000000003</v>
      </c>
      <c r="F21" s="49">
        <v>3.7</v>
      </c>
      <c r="G21" s="50">
        <v>0.91</v>
      </c>
      <c r="H21" s="50">
        <f t="shared" si="0"/>
        <v>162.14671201814056</v>
      </c>
      <c r="I21" s="50">
        <f>Combustibles!$C$8*860/E21/(0.252*10^3)</f>
        <v>158.44671201814057</v>
      </c>
      <c r="J21" s="163">
        <f>('Factores emisión'!C$9*'Factores emisión'!$F$18/Centrales!$E21)/1000</f>
        <v>8.0731339830173249E-2</v>
      </c>
      <c r="K21" s="163">
        <f>('Factores emisión'!D$9*'Factores emisión'!$F$18/Centrales!$E21)/1000</f>
        <v>6.5674944951845937</v>
      </c>
      <c r="L21" s="163">
        <f>('Factores emisión'!E$9*'Factores emisión'!$F$18/Centrales!$E21)/1000</f>
        <v>0.40365669915086633</v>
      </c>
      <c r="M21" s="163">
        <f>('Factores emisión'!F$9*'Factores emisión'!$F$18/Centrales!$E21)/1000</f>
        <v>900.15443910643194</v>
      </c>
      <c r="N21" s="159">
        <v>0.95</v>
      </c>
      <c r="O21" s="159">
        <v>0</v>
      </c>
      <c r="P21" s="159">
        <v>0</v>
      </c>
      <c r="Q21" s="159">
        <f>'Daño ambiental'!C13</f>
        <v>3161.0836715731821</v>
      </c>
      <c r="R21" s="159">
        <f>'Daño ambiental'!D13</f>
        <v>1580.541835786591</v>
      </c>
      <c r="S21" s="159">
        <f>'Daño ambiental'!E13</f>
        <v>2107.3891143821215</v>
      </c>
      <c r="T21" s="159">
        <f>'Daño ambiental'!F13</f>
        <v>50</v>
      </c>
    </row>
    <row r="22" spans="2:20" x14ac:dyDescent="0.2">
      <c r="B22" s="46" t="s">
        <v>20</v>
      </c>
      <c r="C22" s="46" t="s">
        <v>13</v>
      </c>
      <c r="D22" s="47">
        <v>134</v>
      </c>
      <c r="E22" s="48">
        <v>0.27800000000000002</v>
      </c>
      <c r="F22" s="49">
        <v>14.6</v>
      </c>
      <c r="G22" s="50">
        <v>0.9</v>
      </c>
      <c r="H22" s="50">
        <f t="shared" si="0"/>
        <v>174.18661642114878</v>
      </c>
      <c r="I22" s="50">
        <f>Combustibles!$C$8*860/E22/(0.252*10^3)</f>
        <v>159.58661642114879</v>
      </c>
      <c r="J22" s="163">
        <f>('Factores emisión'!C$9*'Factores emisión'!$F$18/Centrales!$E22)/1000</f>
        <v>8.1312140836145727E-2</v>
      </c>
      <c r="K22" s="163">
        <f>('Factores emisión'!D$9*'Factores emisión'!$F$18/Centrales!$E22)/1000</f>
        <v>6.6147426570204546</v>
      </c>
      <c r="L22" s="163">
        <f>('Factores emisión'!E$9*'Factores emisión'!$F$18/Centrales!$E22)/1000</f>
        <v>0.40656070418072865</v>
      </c>
      <c r="M22" s="163">
        <f>('Factores emisión'!F$9*'Factores emisión'!$F$18/Centrales!$E22)/1000</f>
        <v>906.63037032302498</v>
      </c>
      <c r="N22" s="159">
        <v>0.95</v>
      </c>
      <c r="O22" s="159">
        <v>0</v>
      </c>
      <c r="P22" s="159">
        <v>0</v>
      </c>
      <c r="Q22" s="159">
        <f>'Daño ambiental'!C14</f>
        <v>526.84727859553038</v>
      </c>
      <c r="R22" s="159">
        <f>'Daño ambiental'!D14</f>
        <v>210.73891143821214</v>
      </c>
      <c r="S22" s="159">
        <f>'Daño ambiental'!E14</f>
        <v>105.36945571910607</v>
      </c>
      <c r="T22" s="159">
        <f>'Daño ambiental'!F14</f>
        <v>50</v>
      </c>
    </row>
    <row r="23" spans="2:20" x14ac:dyDescent="0.2">
      <c r="B23" s="46" t="s">
        <v>20</v>
      </c>
      <c r="C23" s="46" t="s">
        <v>14</v>
      </c>
      <c r="D23" s="47">
        <v>1043</v>
      </c>
      <c r="E23" s="48">
        <v>0.35899999999999999</v>
      </c>
      <c r="F23" s="49">
        <v>8.6</v>
      </c>
      <c r="G23" s="50">
        <v>0.92</v>
      </c>
      <c r="H23" s="50">
        <f t="shared" si="0"/>
        <v>132.179608259274</v>
      </c>
      <c r="I23" s="50">
        <f>Combustibles!$C$8*860/E23/(0.252*10^3)</f>
        <v>123.57960825927401</v>
      </c>
      <c r="J23" s="163">
        <f>('Factores emisión'!C$9*'Factores emisión'!$F$18/Centrales!$E23)/1000</f>
        <v>6.2965947499856595E-2</v>
      </c>
      <c r="K23" s="163">
        <f>('Factores emisión'!D$9*'Factores emisión'!$F$18/Centrales!$E23)/1000</f>
        <v>5.1222798291133333</v>
      </c>
      <c r="L23" s="163">
        <f>('Factores emisión'!E$9*'Factores emisión'!$F$18/Centrales!$E23)/1000</f>
        <v>0.31482973749928295</v>
      </c>
      <c r="M23" s="163">
        <f>('Factores emisión'!F$9*'Factores emisión'!$F$18/Centrales!$E23)/1000</f>
        <v>702.07031462340103</v>
      </c>
      <c r="N23" s="159">
        <v>0.95</v>
      </c>
      <c r="O23" s="159">
        <v>0</v>
      </c>
      <c r="P23" s="159">
        <v>0</v>
      </c>
      <c r="Q23" s="159">
        <f>'Daño ambiental'!C16</f>
        <v>526.84727859553038</v>
      </c>
      <c r="R23" s="159">
        <f>'Daño ambiental'!D16</f>
        <v>210.73891143821214</v>
      </c>
      <c r="S23" s="159">
        <f>'Daño ambiental'!E16</f>
        <v>105.36945571910607</v>
      </c>
      <c r="T23" s="159">
        <f>'Daño ambiental'!F16</f>
        <v>50</v>
      </c>
    </row>
    <row r="24" spans="2:20" x14ac:dyDescent="0.2">
      <c r="B24" s="46" t="s">
        <v>20</v>
      </c>
      <c r="C24" s="46" t="s">
        <v>27</v>
      </c>
      <c r="D24" s="47">
        <v>135</v>
      </c>
      <c r="E24" s="48">
        <v>0.29599999999999999</v>
      </c>
      <c r="F24" s="49">
        <v>3.6</v>
      </c>
      <c r="G24" s="50">
        <v>0.9</v>
      </c>
      <c r="H24" s="50">
        <f t="shared" si="0"/>
        <v>153.48202488202489</v>
      </c>
      <c r="I24" s="50">
        <f>Combustibles!$C$8*860/E24/(0.252*10^3)</f>
        <v>149.88202488202489</v>
      </c>
      <c r="J24" s="163">
        <f>('Factores emisión'!C$9*'Factores emisión'!$F$18/Centrales!$E24)/1000</f>
        <v>7.6367483623136875E-2</v>
      </c>
      <c r="K24" s="163">
        <f>('Factores emisión'!D$9*'Factores emisión'!$F$18/Centrales!$E24)/1000</f>
        <v>6.2124947927421843</v>
      </c>
      <c r="L24" s="163">
        <f>('Factores emisión'!E$9*'Factores emisión'!$F$18/Centrales!$E24)/1000</f>
        <v>0.38183741811568439</v>
      </c>
      <c r="M24" s="163">
        <f>('Factores emisión'!F$9*'Factores emisión'!$F$18/Centrales!$E24)/1000</f>
        <v>851.49744239797622</v>
      </c>
      <c r="N24" s="159">
        <v>0.95</v>
      </c>
      <c r="O24" s="159">
        <v>0</v>
      </c>
      <c r="P24" s="159">
        <v>0</v>
      </c>
      <c r="Q24" s="159">
        <f>'Daño ambiental'!C17</f>
        <v>526.84727859553038</v>
      </c>
      <c r="R24" s="159">
        <f>'Daño ambiental'!D17</f>
        <v>210.73891143821214</v>
      </c>
      <c r="S24" s="159">
        <f>'Daño ambiental'!E17</f>
        <v>105.36945571910607</v>
      </c>
      <c r="T24" s="159">
        <f>'Daño ambiental'!F17</f>
        <v>50</v>
      </c>
    </row>
    <row r="25" spans="2:20" x14ac:dyDescent="0.2">
      <c r="B25" s="46" t="s">
        <v>20</v>
      </c>
      <c r="C25" s="46" t="s">
        <v>28</v>
      </c>
      <c r="D25" s="47">
        <v>139</v>
      </c>
      <c r="E25" s="48">
        <v>0.36099999999999999</v>
      </c>
      <c r="F25" s="49">
        <v>21</v>
      </c>
      <c r="G25" s="50">
        <v>0.9</v>
      </c>
      <c r="H25" s="50">
        <f t="shared" si="0"/>
        <v>143.89495668997057</v>
      </c>
      <c r="I25" s="50">
        <f>Combustibles!$C$8*860/E25/(0.252*10^3)</f>
        <v>122.89495668997056</v>
      </c>
      <c r="J25" s="163">
        <f>('Factores emisión'!C$9*'Factores emisión'!$F$18/Centrales!$E25)/1000</f>
        <v>6.2617105685452951E-2</v>
      </c>
      <c r="K25" s="163">
        <f>('Factores emisión'!D$9*'Factores emisión'!$F$18/Centrales!$E25)/1000</f>
        <v>5.0939015475115976</v>
      </c>
      <c r="L25" s="163">
        <f>('Factores emisión'!E$9*'Factores emisión'!$F$18/Centrales!$E25)/1000</f>
        <v>0.31308552842726478</v>
      </c>
      <c r="M25" s="163">
        <f>('Factores emisión'!F$9*'Factores emisión'!$F$18/Centrales!$E25)/1000</f>
        <v>698.18072839280046</v>
      </c>
      <c r="N25" s="159">
        <v>0.95</v>
      </c>
      <c r="O25" s="159">
        <v>0</v>
      </c>
      <c r="P25" s="159">
        <v>0</v>
      </c>
      <c r="Q25" s="159">
        <f>'Daño ambiental'!C18</f>
        <v>526.84727859553038</v>
      </c>
      <c r="R25" s="159">
        <f>'Daño ambiental'!D18</f>
        <v>210.73891143821214</v>
      </c>
      <c r="S25" s="159">
        <f>'Daño ambiental'!E18</f>
        <v>105.36945571910607</v>
      </c>
      <c r="T25" s="159">
        <f>'Daño ambiental'!F18</f>
        <v>50</v>
      </c>
    </row>
    <row r="26" spans="2:20" x14ac:dyDescent="0.2">
      <c r="B26" s="51" t="s">
        <v>29</v>
      </c>
      <c r="C26" s="51" t="s">
        <v>14</v>
      </c>
      <c r="D26" s="52">
        <v>5571</v>
      </c>
      <c r="E26" s="51"/>
      <c r="F26" s="51"/>
      <c r="G26" s="53">
        <v>0.6</v>
      </c>
      <c r="H26" s="53">
        <f t="shared" si="0"/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</row>
    <row r="27" spans="2:20" x14ac:dyDescent="0.2">
      <c r="B27" s="54" t="s">
        <v>92</v>
      </c>
      <c r="C27" s="55" t="s">
        <v>23</v>
      </c>
      <c r="D27" s="56">
        <v>192</v>
      </c>
      <c r="E27" s="55"/>
      <c r="F27" s="57">
        <v>10</v>
      </c>
      <c r="G27" s="55">
        <v>0.25</v>
      </c>
      <c r="H27" s="58">
        <f t="shared" si="0"/>
        <v>10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</row>
    <row r="28" spans="2:20" x14ac:dyDescent="0.2">
      <c r="B28" s="59" t="s">
        <v>97</v>
      </c>
      <c r="C28" s="60" t="s">
        <v>16</v>
      </c>
      <c r="D28" s="61">
        <v>200</v>
      </c>
      <c r="E28" s="62"/>
      <c r="F28" s="63">
        <v>10</v>
      </c>
      <c r="G28" s="60">
        <v>0.25</v>
      </c>
      <c r="H28" s="64">
        <f t="shared" si="0"/>
        <v>10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T28" s="160">
        <v>0</v>
      </c>
    </row>
    <row r="29" spans="2:20" x14ac:dyDescent="0.2">
      <c r="B29" s="65" t="s">
        <v>63</v>
      </c>
      <c r="C29" s="65"/>
      <c r="D29" s="115">
        <v>0</v>
      </c>
      <c r="E29" s="66" t="s">
        <v>36</v>
      </c>
      <c r="F29" s="67" t="s">
        <v>36</v>
      </c>
      <c r="G29" s="68">
        <v>1</v>
      </c>
      <c r="H29" s="68">
        <v>500</v>
      </c>
      <c r="I29" s="68"/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</row>
    <row r="31" spans="2:20" x14ac:dyDescent="0.2">
      <c r="B31" s="77" t="s">
        <v>31</v>
      </c>
    </row>
    <row r="32" spans="2:20" x14ac:dyDescent="0.2">
      <c r="D32" s="2" t="s">
        <v>0</v>
      </c>
    </row>
    <row r="33" spans="2:25" x14ac:dyDescent="0.2">
      <c r="B33" s="79"/>
      <c r="C33" s="79"/>
      <c r="D33" s="104" t="s">
        <v>32</v>
      </c>
    </row>
    <row r="34" spans="2:25" x14ac:dyDescent="0.2">
      <c r="B34" s="79" t="s">
        <v>12</v>
      </c>
      <c r="C34" s="79"/>
      <c r="D34" s="83">
        <f>+D8+D9</f>
        <v>264</v>
      </c>
      <c r="G34" s="112"/>
      <c r="I34" s="122"/>
      <c r="J34" s="112"/>
      <c r="K34" s="112"/>
    </row>
    <row r="35" spans="2:25" x14ac:dyDescent="0.2">
      <c r="B35" s="79" t="s">
        <v>15</v>
      </c>
      <c r="C35" s="79"/>
      <c r="D35" s="83">
        <f>+SUM(D10:D12)</f>
        <v>2193</v>
      </c>
      <c r="G35" s="112"/>
    </row>
    <row r="36" spans="2:25" x14ac:dyDescent="0.2">
      <c r="B36" s="79" t="s">
        <v>19</v>
      </c>
      <c r="C36" s="79"/>
      <c r="D36" s="83">
        <f>+D13</f>
        <v>731</v>
      </c>
      <c r="G36" s="112"/>
      <c r="N36" s="147" t="s">
        <v>144</v>
      </c>
      <c r="O36" s="148"/>
      <c r="P36" s="149"/>
    </row>
    <row r="37" spans="2:25" x14ac:dyDescent="0.2">
      <c r="B37" s="79" t="s">
        <v>20</v>
      </c>
      <c r="C37" s="79"/>
      <c r="D37" s="83">
        <f>+SUM(D14:D25)</f>
        <v>3556</v>
      </c>
      <c r="N37" s="101" t="s">
        <v>146</v>
      </c>
      <c r="O37" s="101" t="s">
        <v>145</v>
      </c>
      <c r="P37" s="101" t="s">
        <v>138</v>
      </c>
    </row>
    <row r="38" spans="2:25" x14ac:dyDescent="0.2">
      <c r="B38" s="79" t="s">
        <v>29</v>
      </c>
      <c r="C38" s="79"/>
      <c r="D38" s="83">
        <f>+D26</f>
        <v>5571</v>
      </c>
      <c r="N38" s="86"/>
      <c r="O38" s="102" t="s">
        <v>88</v>
      </c>
      <c r="P38" s="102" t="s">
        <v>88</v>
      </c>
    </row>
    <row r="39" spans="2:25" x14ac:dyDescent="0.2">
      <c r="B39" s="79" t="s">
        <v>30</v>
      </c>
      <c r="C39" s="79"/>
      <c r="D39" s="83">
        <f>+D27</f>
        <v>192</v>
      </c>
      <c r="N39" s="102" t="s">
        <v>95</v>
      </c>
      <c r="O39" s="86">
        <f>700</f>
        <v>700</v>
      </c>
      <c r="P39" s="96">
        <f>-PMT(F57,E57,O39)</f>
        <v>82.221737340782056</v>
      </c>
    </row>
    <row r="40" spans="2:25" x14ac:dyDescent="0.2">
      <c r="B40" s="78" t="s">
        <v>38</v>
      </c>
      <c r="C40" s="79"/>
      <c r="D40" s="83">
        <f>+D28</f>
        <v>200</v>
      </c>
      <c r="N40" s="103" t="s">
        <v>96</v>
      </c>
      <c r="O40" s="86">
        <f>700</f>
        <v>700</v>
      </c>
      <c r="P40" s="96">
        <f>-PMT(F58,E58,O40)</f>
        <v>82.221737340782056</v>
      </c>
    </row>
    <row r="41" spans="2:25" x14ac:dyDescent="0.2">
      <c r="B41" s="78"/>
      <c r="C41" s="79"/>
      <c r="D41" s="83"/>
    </row>
    <row r="42" spans="2:25" x14ac:dyDescent="0.2">
      <c r="B42" s="79" t="s">
        <v>6</v>
      </c>
      <c r="C42" s="79"/>
      <c r="D42" s="83">
        <f>+SUM(D34:D40)</f>
        <v>12707</v>
      </c>
    </row>
    <row r="44" spans="2:25" ht="25.5" customHeight="1" x14ac:dyDescent="0.2">
      <c r="B44" s="77" t="s">
        <v>33</v>
      </c>
      <c r="D44" s="70"/>
      <c r="E44" s="95" t="s">
        <v>136</v>
      </c>
      <c r="F44" s="95" t="s">
        <v>137</v>
      </c>
      <c r="G44" s="95" t="s">
        <v>139</v>
      </c>
      <c r="H44" s="95"/>
      <c r="I44" s="95"/>
      <c r="J44" s="95" t="s">
        <v>140</v>
      </c>
      <c r="K44" s="69" t="s">
        <v>101</v>
      </c>
      <c r="M44" s="110" t="str">
        <f t="shared" ref="M44:N46" si="1">H4</f>
        <v>Costo Variable</v>
      </c>
      <c r="N44" s="110" t="str">
        <f t="shared" si="1"/>
        <v>Costo Variable</v>
      </c>
      <c r="O44" s="166" t="s">
        <v>171</v>
      </c>
      <c r="P44" s="166"/>
      <c r="Q44" s="166"/>
      <c r="R44" s="166"/>
      <c r="S44" s="167" t="s">
        <v>168</v>
      </c>
      <c r="T44" s="168"/>
      <c r="U44" s="169"/>
      <c r="V44" s="170" t="s">
        <v>172</v>
      </c>
      <c r="W44" s="170"/>
      <c r="X44" s="170"/>
      <c r="Y44" s="170"/>
    </row>
    <row r="45" spans="2:25" ht="38.25" x14ac:dyDescent="0.2">
      <c r="D45" s="81" t="s">
        <v>135</v>
      </c>
      <c r="E45" s="81" t="s">
        <v>64</v>
      </c>
      <c r="F45" s="81" t="s">
        <v>67</v>
      </c>
      <c r="G45" s="81" t="s">
        <v>68</v>
      </c>
      <c r="H45" s="81" t="s">
        <v>1</v>
      </c>
      <c r="I45" s="81" t="s">
        <v>34</v>
      </c>
      <c r="J45" s="81" t="s">
        <v>35</v>
      </c>
      <c r="K45" s="82" t="s">
        <v>150</v>
      </c>
      <c r="L45" s="71" t="s">
        <v>138</v>
      </c>
      <c r="M45" s="110" t="str">
        <f t="shared" si="1"/>
        <v>Total</v>
      </c>
      <c r="N45" s="110" t="str">
        <f t="shared" si="1"/>
        <v>comb</v>
      </c>
      <c r="O45" s="155" t="s">
        <v>50</v>
      </c>
      <c r="P45" s="155" t="s">
        <v>166</v>
      </c>
      <c r="Q45" s="155" t="s">
        <v>167</v>
      </c>
      <c r="R45" s="155" t="s">
        <v>61</v>
      </c>
      <c r="S45" s="155" t="s">
        <v>50</v>
      </c>
      <c r="T45" s="155" t="s">
        <v>166</v>
      </c>
      <c r="U45" s="155" t="s">
        <v>167</v>
      </c>
      <c r="V45" s="155" t="s">
        <v>50</v>
      </c>
      <c r="W45" s="155" t="s">
        <v>166</v>
      </c>
      <c r="X45" s="155" t="s">
        <v>167</v>
      </c>
      <c r="Y45" s="155" t="s">
        <v>61</v>
      </c>
    </row>
    <row r="46" spans="2:25" ht="13.5" thickBot="1" x14ac:dyDescent="0.25">
      <c r="B46" s="72" t="s">
        <v>99</v>
      </c>
      <c r="C46" s="72" t="s">
        <v>7</v>
      </c>
      <c r="D46" s="74" t="s">
        <v>88</v>
      </c>
      <c r="E46" s="74" t="s">
        <v>65</v>
      </c>
      <c r="F46" s="74" t="s">
        <v>66</v>
      </c>
      <c r="G46" s="74" t="s">
        <v>10</v>
      </c>
      <c r="H46" s="74" t="s">
        <v>11</v>
      </c>
      <c r="I46" s="74" t="s">
        <v>10</v>
      </c>
      <c r="J46" s="74" t="s">
        <v>11</v>
      </c>
      <c r="K46" s="74">
        <v>2030</v>
      </c>
      <c r="L46" s="108" t="s">
        <v>141</v>
      </c>
      <c r="M46" s="109" t="str">
        <f t="shared" si="1"/>
        <v>$/MWh</v>
      </c>
      <c r="N46" s="109" t="str">
        <f t="shared" si="1"/>
        <v>$/MWh</v>
      </c>
      <c r="O46" s="74" t="s">
        <v>170</v>
      </c>
      <c r="P46" s="74" t="s">
        <v>170</v>
      </c>
      <c r="Q46" s="74" t="s">
        <v>170</v>
      </c>
      <c r="R46" s="74" t="s">
        <v>170</v>
      </c>
      <c r="S46" s="79"/>
      <c r="T46" s="79"/>
      <c r="U46" s="79"/>
      <c r="V46" s="74" t="s">
        <v>104</v>
      </c>
      <c r="W46" s="74" t="s">
        <v>104</v>
      </c>
      <c r="X46" s="74" t="s">
        <v>104</v>
      </c>
      <c r="Y46" s="74" t="s">
        <v>104</v>
      </c>
    </row>
    <row r="47" spans="2:25" ht="13.5" thickBot="1" x14ac:dyDescent="0.25">
      <c r="B47" s="36" t="s">
        <v>15</v>
      </c>
      <c r="C47" s="36" t="s">
        <v>21</v>
      </c>
      <c r="D47" s="36">
        <v>2300</v>
      </c>
      <c r="E47" s="36">
        <v>30</v>
      </c>
      <c r="F47" s="116">
        <v>0.1</v>
      </c>
      <c r="G47" s="36">
        <v>10</v>
      </c>
      <c r="H47" s="36">
        <v>0.38</v>
      </c>
      <c r="I47" s="36">
        <v>2</v>
      </c>
      <c r="J47" s="36">
        <v>0.88</v>
      </c>
      <c r="K47" s="111">
        <v>1000000000</v>
      </c>
      <c r="L47" s="96">
        <f t="shared" ref="L47:L52" si="2">-PMT(F47,E47,D47)</f>
        <v>243.98227098105801</v>
      </c>
      <c r="M47" s="113">
        <v>34.451963239999998</v>
      </c>
      <c r="N47" s="113">
        <v>22.451963240000001</v>
      </c>
      <c r="O47" s="161">
        <f>('Factores emisión'!C$8*'Factores emisión'!$F$19/Centrales!$H47)/1000</f>
        <v>2.8550176478289968</v>
      </c>
      <c r="P47" s="161">
        <f>('Factores emisión'!D$8*'Factores emisión'!$F$19/Centrales!$H47)/1000</f>
        <v>6.4760156401974811</v>
      </c>
      <c r="Q47" s="161">
        <f>('Factores emisión'!E$8*'Factores emisión'!$F$19/Centrales!$H47)/1000</f>
        <v>1.253422381973706</v>
      </c>
      <c r="R47" s="161">
        <f>('Factores emisión'!F$8*'Factores emisión'!$F$19/Centrales!$H47)/1000</f>
        <v>753.69188981425452</v>
      </c>
      <c r="S47" s="36">
        <v>0.99</v>
      </c>
      <c r="T47" s="36">
        <v>0.95</v>
      </c>
      <c r="U47" s="36">
        <v>0</v>
      </c>
      <c r="V47" s="37">
        <f>'Daño ambiental'!C6</f>
        <v>526.84727859553038</v>
      </c>
      <c r="W47" s="37">
        <f>'Daño ambiental'!D6</f>
        <v>210.73891143821214</v>
      </c>
      <c r="X47" s="37">
        <f>'Daño ambiental'!E6</f>
        <v>105.36945571910607</v>
      </c>
      <c r="Y47" s="37">
        <f>'Daño ambiental'!F6</f>
        <v>50</v>
      </c>
    </row>
    <row r="48" spans="2:25" ht="13.5" thickBot="1" x14ac:dyDescent="0.25">
      <c r="B48" s="36" t="s">
        <v>15</v>
      </c>
      <c r="C48" s="36" t="s">
        <v>16</v>
      </c>
      <c r="D48" s="36">
        <v>2300</v>
      </c>
      <c r="E48" s="36">
        <v>30</v>
      </c>
      <c r="F48" s="116">
        <v>0.1</v>
      </c>
      <c r="G48" s="36">
        <v>5</v>
      </c>
      <c r="H48" s="36">
        <v>0.38</v>
      </c>
      <c r="I48" s="36">
        <v>2</v>
      </c>
      <c r="J48" s="36">
        <v>0.88</v>
      </c>
      <c r="K48" s="111">
        <v>1000000000</v>
      </c>
      <c r="L48" s="96">
        <f t="shared" si="2"/>
        <v>243.98227098105801</v>
      </c>
      <c r="M48" s="114">
        <v>29.451963240000001</v>
      </c>
      <c r="N48" s="114">
        <v>22.451963240000001</v>
      </c>
      <c r="O48" s="161">
        <f>('Factores emisión'!C$8*'Factores emisión'!$F$19/Centrales!$H48)/1000</f>
        <v>2.8550176478289968</v>
      </c>
      <c r="P48" s="161">
        <f>('Factores emisión'!D$8*'Factores emisión'!$F$19/Centrales!$H48)/1000</f>
        <v>6.4760156401974811</v>
      </c>
      <c r="Q48" s="161">
        <f>('Factores emisión'!E$8*'Factores emisión'!$F$19/Centrales!$H48)/1000</f>
        <v>1.253422381973706</v>
      </c>
      <c r="R48" s="161">
        <f>('Factores emisión'!F$8*'Factores emisión'!$F$19/Centrales!$H48)/1000</f>
        <v>753.69188981425452</v>
      </c>
      <c r="S48" s="36">
        <v>0.99</v>
      </c>
      <c r="T48" s="36">
        <v>0.95</v>
      </c>
      <c r="U48" s="36">
        <v>0</v>
      </c>
      <c r="V48" s="37">
        <f>'Daño ambiental'!C8</f>
        <v>526.84727859553038</v>
      </c>
      <c r="W48" s="37">
        <f>'Daño ambiental'!D8</f>
        <v>210.73891143821214</v>
      </c>
      <c r="X48" s="37">
        <f>'Daño ambiental'!E8</f>
        <v>105.36945571910607</v>
      </c>
      <c r="Y48" s="37">
        <f>'Daño ambiental'!F8</f>
        <v>50</v>
      </c>
    </row>
    <row r="49" spans="2:25" ht="13.5" thickBot="1" x14ac:dyDescent="0.25">
      <c r="B49" s="36" t="s">
        <v>15</v>
      </c>
      <c r="C49" s="36" t="s">
        <v>17</v>
      </c>
      <c r="D49" s="36">
        <v>2300</v>
      </c>
      <c r="E49" s="36">
        <v>30</v>
      </c>
      <c r="F49" s="116">
        <v>0.1</v>
      </c>
      <c r="G49" s="36">
        <v>0.3</v>
      </c>
      <c r="H49" s="36">
        <v>0.38</v>
      </c>
      <c r="I49" s="36">
        <v>2</v>
      </c>
      <c r="J49" s="36">
        <v>0.88</v>
      </c>
      <c r="K49" s="111">
        <v>1000000000</v>
      </c>
      <c r="L49" s="96">
        <f t="shared" si="2"/>
        <v>243.98227098105801</v>
      </c>
      <c r="M49" s="114">
        <v>24.751963239999998</v>
      </c>
      <c r="N49" s="114">
        <v>22.451963240000001</v>
      </c>
      <c r="O49" s="161">
        <f>('Factores emisión'!C$8*'Factores emisión'!$F$19/Centrales!$H49)/1000</f>
        <v>2.8550176478289968</v>
      </c>
      <c r="P49" s="161">
        <f>('Factores emisión'!D$8*'Factores emisión'!$F$19/Centrales!$H49)/1000</f>
        <v>6.4760156401974811</v>
      </c>
      <c r="Q49" s="161">
        <f>('Factores emisión'!E$8*'Factores emisión'!$F$19/Centrales!$H49)/1000</f>
        <v>1.253422381973706</v>
      </c>
      <c r="R49" s="161">
        <f>('Factores emisión'!F$8*'Factores emisión'!$F$19/Centrales!$H49)/1000</f>
        <v>753.69188981425452</v>
      </c>
      <c r="S49" s="36">
        <v>0.99</v>
      </c>
      <c r="T49" s="36">
        <v>0.95</v>
      </c>
      <c r="U49" s="36">
        <v>0</v>
      </c>
      <c r="V49" s="37">
        <f>'Daño ambiental'!C11</f>
        <v>3161.0836715731821</v>
      </c>
      <c r="W49" s="37">
        <f>'Daño ambiental'!D11</f>
        <v>1580.541835786591</v>
      </c>
      <c r="X49" s="37">
        <f>'Daño ambiental'!E11</f>
        <v>2107.3891143821215</v>
      </c>
      <c r="Y49" s="37">
        <f>'Daño ambiental'!F11</f>
        <v>50</v>
      </c>
    </row>
    <row r="50" spans="2:25" ht="13.5" thickBot="1" x14ac:dyDescent="0.25">
      <c r="B50" s="36" t="s">
        <v>15</v>
      </c>
      <c r="C50" s="36" t="s">
        <v>26</v>
      </c>
      <c r="D50" s="36">
        <v>2300</v>
      </c>
      <c r="E50" s="36">
        <v>30</v>
      </c>
      <c r="F50" s="116">
        <v>0.1</v>
      </c>
      <c r="G50" s="36">
        <v>0.3</v>
      </c>
      <c r="H50" s="36">
        <v>0.38</v>
      </c>
      <c r="I50" s="36">
        <v>2</v>
      </c>
      <c r="J50" s="36">
        <v>0.88</v>
      </c>
      <c r="K50" s="111">
        <v>1000000000</v>
      </c>
      <c r="L50" s="96">
        <f t="shared" si="2"/>
        <v>243.98227098105801</v>
      </c>
      <c r="M50" s="114">
        <v>24.751963239999998</v>
      </c>
      <c r="N50" s="114">
        <v>22.451963240000001</v>
      </c>
      <c r="O50" s="161">
        <f>('Factores emisión'!C$8*'Factores emisión'!$F$19/Centrales!$H50)/1000</f>
        <v>2.8550176478289968</v>
      </c>
      <c r="P50" s="161">
        <f>('Factores emisión'!D$8*'Factores emisión'!$F$19/Centrales!$H50)/1000</f>
        <v>6.4760156401974811</v>
      </c>
      <c r="Q50" s="161">
        <f>('Factores emisión'!E$8*'Factores emisión'!$F$19/Centrales!$H50)/1000</f>
        <v>1.253422381973706</v>
      </c>
      <c r="R50" s="161">
        <f>('Factores emisión'!F$8*'Factores emisión'!$F$19/Centrales!$H50)/1000</f>
        <v>753.69188981425452</v>
      </c>
      <c r="S50" s="36">
        <v>0.99</v>
      </c>
      <c r="T50" s="36">
        <v>0.95</v>
      </c>
      <c r="U50" s="36">
        <v>0</v>
      </c>
      <c r="V50" s="37">
        <f>'Daño ambiental'!C13</f>
        <v>3161.0836715731821</v>
      </c>
      <c r="W50" s="37">
        <f>'Daño ambiental'!D13</f>
        <v>1580.541835786591</v>
      </c>
      <c r="X50" s="37">
        <f>'Daño ambiental'!E13</f>
        <v>2107.3891143821215</v>
      </c>
      <c r="Y50" s="37">
        <f>'Daño ambiental'!F13</f>
        <v>50</v>
      </c>
    </row>
    <row r="51" spans="2:25" ht="13.5" thickBot="1" x14ac:dyDescent="0.25">
      <c r="B51" s="36" t="s">
        <v>15</v>
      </c>
      <c r="C51" s="36" t="s">
        <v>18</v>
      </c>
      <c r="D51" s="36">
        <v>2300</v>
      </c>
      <c r="E51" s="36">
        <v>30</v>
      </c>
      <c r="F51" s="116">
        <v>0.1</v>
      </c>
      <c r="G51" s="36">
        <v>3</v>
      </c>
      <c r="H51" s="36">
        <v>0.38</v>
      </c>
      <c r="I51" s="36">
        <v>2</v>
      </c>
      <c r="J51" s="36">
        <v>0.88</v>
      </c>
      <c r="K51" s="111">
        <v>1000000000</v>
      </c>
      <c r="L51" s="96">
        <f t="shared" si="2"/>
        <v>243.98227098105801</v>
      </c>
      <c r="M51" s="114">
        <v>27.451963240000001</v>
      </c>
      <c r="N51" s="114">
        <v>22.451963240000001</v>
      </c>
      <c r="O51" s="161">
        <f>('Factores emisión'!C$8*'Factores emisión'!$F$19/Centrales!$H51)/1000</f>
        <v>2.8550176478289968</v>
      </c>
      <c r="P51" s="161">
        <f>('Factores emisión'!D$8*'Factores emisión'!$F$19/Centrales!$H51)/1000</f>
        <v>6.4760156401974811</v>
      </c>
      <c r="Q51" s="161">
        <f>('Factores emisión'!E$8*'Factores emisión'!$F$19/Centrales!$H51)/1000</f>
        <v>1.253422381973706</v>
      </c>
      <c r="R51" s="161">
        <f>('Factores emisión'!F$8*'Factores emisión'!$F$19/Centrales!$H51)/1000</f>
        <v>753.69188981425452</v>
      </c>
      <c r="S51" s="36">
        <v>0.99</v>
      </c>
      <c r="T51" s="36">
        <v>0.95</v>
      </c>
      <c r="U51" s="36">
        <v>0</v>
      </c>
      <c r="V51" s="37">
        <f>'Daño ambiental'!C15</f>
        <v>3161.0836715731821</v>
      </c>
      <c r="W51" s="37">
        <f>'Daño ambiental'!D15</f>
        <v>1580.541835786591</v>
      </c>
      <c r="X51" s="37">
        <f>'Daño ambiental'!E15</f>
        <v>2107.3891143821215</v>
      </c>
      <c r="Y51" s="37">
        <f>'Daño ambiental'!F15</f>
        <v>50</v>
      </c>
    </row>
    <row r="52" spans="2:25" ht="13.5" thickBot="1" x14ac:dyDescent="0.25">
      <c r="B52" s="36" t="s">
        <v>15</v>
      </c>
      <c r="C52" s="36" t="s">
        <v>28</v>
      </c>
      <c r="D52" s="36">
        <v>2300</v>
      </c>
      <c r="E52" s="36">
        <v>30</v>
      </c>
      <c r="F52" s="116">
        <v>0.1</v>
      </c>
      <c r="G52" s="36">
        <v>5</v>
      </c>
      <c r="H52" s="36">
        <v>0.38</v>
      </c>
      <c r="I52" s="36">
        <v>2</v>
      </c>
      <c r="J52" s="36">
        <v>0.88</v>
      </c>
      <c r="K52" s="111">
        <v>1000000000</v>
      </c>
      <c r="L52" s="96">
        <f t="shared" si="2"/>
        <v>243.98227098105801</v>
      </c>
      <c r="M52" s="114">
        <v>29.451963240000001</v>
      </c>
      <c r="N52" s="114">
        <v>22.451963240000001</v>
      </c>
      <c r="O52" s="161">
        <f>('Factores emisión'!C$8*'Factores emisión'!$F$19/Centrales!$H52)/1000</f>
        <v>2.8550176478289968</v>
      </c>
      <c r="P52" s="161">
        <f>('Factores emisión'!D$8*'Factores emisión'!$F$19/Centrales!$H52)/1000</f>
        <v>6.4760156401974811</v>
      </c>
      <c r="Q52" s="161">
        <f>('Factores emisión'!E$8*'Factores emisión'!$F$19/Centrales!$H52)/1000</f>
        <v>1.253422381973706</v>
      </c>
      <c r="R52" s="161">
        <f>('Factores emisión'!F$8*'Factores emisión'!$F$19/Centrales!$H52)/1000</f>
        <v>753.69188981425452</v>
      </c>
      <c r="S52" s="36">
        <v>0.99</v>
      </c>
      <c r="T52" s="36">
        <v>0.95</v>
      </c>
      <c r="U52" s="36">
        <v>0</v>
      </c>
      <c r="V52" s="37">
        <f>'Daño ambiental'!C18</f>
        <v>526.84727859553038</v>
      </c>
      <c r="W52" s="37">
        <f>'Daño ambiental'!D18</f>
        <v>210.73891143821214</v>
      </c>
      <c r="X52" s="37">
        <f>'Daño ambiental'!E18</f>
        <v>105.36945571910607</v>
      </c>
      <c r="Y52" s="37">
        <f>'Daño ambiental'!F18</f>
        <v>50</v>
      </c>
    </row>
    <row r="53" spans="2:25" ht="13.5" thickBot="1" x14ac:dyDescent="0.25">
      <c r="B53" s="41" t="s">
        <v>19</v>
      </c>
      <c r="C53" s="41" t="s">
        <v>17</v>
      </c>
      <c r="D53" s="41">
        <v>1000</v>
      </c>
      <c r="E53" s="41">
        <v>25</v>
      </c>
      <c r="F53" s="117">
        <v>0.1</v>
      </c>
      <c r="G53" s="41">
        <v>0.3</v>
      </c>
      <c r="H53" s="41">
        <v>0.45</v>
      </c>
      <c r="I53" s="41">
        <v>3.4</v>
      </c>
      <c r="J53" s="41">
        <v>0.93</v>
      </c>
      <c r="K53" s="111">
        <v>1000000000</v>
      </c>
      <c r="L53" s="96">
        <f>-PMT(F53,E53,D53)</f>
        <v>110.16807219002085</v>
      </c>
      <c r="M53" s="114">
        <v>64.370193999999998</v>
      </c>
      <c r="N53" s="114">
        <v>60.670194000000002</v>
      </c>
      <c r="O53" s="162">
        <f>('Factores emisión'!C$12*'Factores emisión'!$F$20/Centrales!$H53)/1000</f>
        <v>2.4905291297279173E-2</v>
      </c>
      <c r="P53" s="162">
        <f>('Factores emisión'!D$12*'Factores emisión'!$F$20/Centrales!$H53)/1000</f>
        <v>1.9662072076799351E-3</v>
      </c>
      <c r="Q53" s="162">
        <f>('Factores emisión'!E$12*'Factores emisión'!$F$20/Centrales!$H53)/1000</f>
        <v>0.77009782300797436</v>
      </c>
      <c r="R53" s="162">
        <f>('Factores emisión'!F$12*'Factores emisión'!$F$20/Centrales!$H53)/1000</f>
        <v>393.24144153598695</v>
      </c>
      <c r="S53" s="41">
        <v>0.95</v>
      </c>
      <c r="T53" s="41">
        <v>0</v>
      </c>
      <c r="U53" s="41">
        <v>0.9</v>
      </c>
      <c r="V53" s="42">
        <f>'Daño ambiental'!C11</f>
        <v>3161.0836715731821</v>
      </c>
      <c r="W53" s="42">
        <f>'Daño ambiental'!D11</f>
        <v>1580.541835786591</v>
      </c>
      <c r="X53" s="42">
        <f>'Daño ambiental'!E11</f>
        <v>2107.3891143821215</v>
      </c>
      <c r="Y53" s="42">
        <f>'Daño ambiental'!F11</f>
        <v>50</v>
      </c>
    </row>
    <row r="54" spans="2:25" ht="13.5" thickBot="1" x14ac:dyDescent="0.25">
      <c r="B54" s="51" t="s">
        <v>98</v>
      </c>
      <c r="C54" s="51" t="s">
        <v>37</v>
      </c>
      <c r="D54" s="51">
        <v>3000</v>
      </c>
      <c r="E54" s="51">
        <v>40</v>
      </c>
      <c r="F54" s="118">
        <v>0.1</v>
      </c>
      <c r="G54" s="51">
        <v>10</v>
      </c>
      <c r="H54" s="51"/>
      <c r="I54" s="51"/>
      <c r="J54" s="51">
        <v>0.6</v>
      </c>
      <c r="K54" s="51">
        <v>1500</v>
      </c>
      <c r="L54" s="96">
        <f>-PMT(F54,E54,D54)</f>
        <v>306.77824324310848</v>
      </c>
      <c r="M54" s="114">
        <v>10</v>
      </c>
      <c r="N54" s="114">
        <v>0</v>
      </c>
      <c r="O54" s="53">
        <v>0</v>
      </c>
      <c r="P54" s="53">
        <v>0</v>
      </c>
      <c r="Q54" s="53">
        <v>0</v>
      </c>
      <c r="R54" s="53">
        <v>0</v>
      </c>
      <c r="S54" s="53">
        <v>0</v>
      </c>
      <c r="T54" s="53">
        <v>0</v>
      </c>
      <c r="U54" s="53">
        <v>0</v>
      </c>
      <c r="V54" s="53">
        <v>0</v>
      </c>
      <c r="W54" s="53">
        <v>0</v>
      </c>
      <c r="X54" s="53">
        <v>0</v>
      </c>
      <c r="Y54" s="53">
        <v>0</v>
      </c>
    </row>
    <row r="55" spans="2:25" ht="13.5" thickBot="1" x14ac:dyDescent="0.25">
      <c r="B55" s="54" t="s">
        <v>93</v>
      </c>
      <c r="C55" s="54" t="s">
        <v>16</v>
      </c>
      <c r="D55" s="54">
        <v>1800</v>
      </c>
      <c r="E55" s="54">
        <v>20</v>
      </c>
      <c r="F55" s="119">
        <v>0.1</v>
      </c>
      <c r="G55" s="54">
        <v>5</v>
      </c>
      <c r="H55" s="54"/>
      <c r="I55" s="54">
        <v>8</v>
      </c>
      <c r="J55" s="54">
        <v>0.35</v>
      </c>
      <c r="K55" s="54">
        <v>500</v>
      </c>
      <c r="L55" s="96">
        <f t="shared" ref="L55:L60" si="3">-PMT(F55,E55,D55)</f>
        <v>211.42732459058243</v>
      </c>
      <c r="M55" s="114">
        <v>13</v>
      </c>
      <c r="N55" s="114">
        <v>0</v>
      </c>
      <c r="O55" s="164">
        <v>0</v>
      </c>
      <c r="P55" s="164">
        <v>0</v>
      </c>
      <c r="Q55" s="164">
        <v>0</v>
      </c>
      <c r="R55" s="164">
        <v>0</v>
      </c>
      <c r="S55" s="164">
        <v>0</v>
      </c>
      <c r="T55" s="164">
        <v>0</v>
      </c>
      <c r="U55" s="164">
        <v>0</v>
      </c>
      <c r="V55" s="164">
        <v>0</v>
      </c>
      <c r="W55" s="164">
        <v>0</v>
      </c>
      <c r="X55" s="164">
        <v>0</v>
      </c>
      <c r="Y55" s="164">
        <v>0</v>
      </c>
    </row>
    <row r="56" spans="2:25" ht="13.5" thickBot="1" x14ac:dyDescent="0.25">
      <c r="B56" s="54" t="s">
        <v>94</v>
      </c>
      <c r="C56" s="54" t="s">
        <v>16</v>
      </c>
      <c r="D56" s="54">
        <v>1800</v>
      </c>
      <c r="E56" s="54">
        <v>20</v>
      </c>
      <c r="F56" s="119">
        <v>0.1</v>
      </c>
      <c r="G56" s="54">
        <v>5</v>
      </c>
      <c r="H56" s="54"/>
      <c r="I56" s="54">
        <v>8</v>
      </c>
      <c r="J56" s="54">
        <v>0.3</v>
      </c>
      <c r="K56" s="111">
        <v>1000000000</v>
      </c>
      <c r="L56" s="96">
        <f t="shared" si="3"/>
        <v>211.42732459058243</v>
      </c>
      <c r="M56" s="114">
        <v>13</v>
      </c>
      <c r="N56" s="114">
        <v>0</v>
      </c>
      <c r="O56" s="164">
        <v>0</v>
      </c>
      <c r="P56" s="164">
        <v>0</v>
      </c>
      <c r="Q56" s="164">
        <v>0</v>
      </c>
      <c r="R56" s="164">
        <v>0</v>
      </c>
      <c r="S56" s="164">
        <v>0</v>
      </c>
      <c r="T56" s="164">
        <v>0</v>
      </c>
      <c r="U56" s="164">
        <v>0</v>
      </c>
      <c r="V56" s="164">
        <v>0</v>
      </c>
      <c r="W56" s="164">
        <v>0</v>
      </c>
      <c r="X56" s="164">
        <v>0</v>
      </c>
      <c r="Y56" s="164">
        <v>0</v>
      </c>
    </row>
    <row r="57" spans="2:25" ht="13.5" thickBot="1" x14ac:dyDescent="0.25">
      <c r="B57" s="59" t="s">
        <v>95</v>
      </c>
      <c r="C57" s="59" t="s">
        <v>16</v>
      </c>
      <c r="D57" s="59">
        <v>1500</v>
      </c>
      <c r="E57" s="59">
        <v>20</v>
      </c>
      <c r="F57" s="120">
        <v>0.1</v>
      </c>
      <c r="G57" s="59">
        <v>5</v>
      </c>
      <c r="H57" s="59"/>
      <c r="I57" s="59">
        <v>10</v>
      </c>
      <c r="J57" s="59">
        <v>0.35</v>
      </c>
      <c r="K57" s="59">
        <v>500</v>
      </c>
      <c r="L57" s="96">
        <f t="shared" si="3"/>
        <v>176.18943715881869</v>
      </c>
      <c r="M57" s="114">
        <v>15</v>
      </c>
      <c r="N57" s="114">
        <v>0</v>
      </c>
      <c r="O57" s="165">
        <v>0</v>
      </c>
      <c r="P57" s="165">
        <v>0</v>
      </c>
      <c r="Q57" s="165">
        <v>0</v>
      </c>
      <c r="R57" s="165">
        <v>0</v>
      </c>
      <c r="S57" s="165">
        <v>0</v>
      </c>
      <c r="T57" s="165">
        <v>0</v>
      </c>
      <c r="U57" s="165">
        <v>0</v>
      </c>
      <c r="V57" s="165">
        <v>0</v>
      </c>
      <c r="W57" s="165">
        <v>0</v>
      </c>
      <c r="X57" s="165">
        <v>0</v>
      </c>
      <c r="Y57" s="165">
        <v>0</v>
      </c>
    </row>
    <row r="58" spans="2:25" ht="13.5" thickBot="1" x14ac:dyDescent="0.25">
      <c r="B58" s="59" t="s">
        <v>96</v>
      </c>
      <c r="C58" s="59" t="s">
        <v>16</v>
      </c>
      <c r="D58" s="59">
        <v>1500</v>
      </c>
      <c r="E58" s="59">
        <v>20</v>
      </c>
      <c r="F58" s="120">
        <v>0.1</v>
      </c>
      <c r="G58" s="59">
        <v>5</v>
      </c>
      <c r="H58" s="59"/>
      <c r="I58" s="59">
        <v>10</v>
      </c>
      <c r="J58" s="59">
        <v>0.3</v>
      </c>
      <c r="K58" s="111">
        <v>1000000000</v>
      </c>
      <c r="L58" s="96">
        <f t="shared" si="3"/>
        <v>176.18943715881869</v>
      </c>
      <c r="M58" s="114">
        <v>15</v>
      </c>
      <c r="N58" s="114">
        <v>0</v>
      </c>
      <c r="O58" s="165">
        <v>0</v>
      </c>
      <c r="P58" s="165">
        <v>0</v>
      </c>
      <c r="Q58" s="165">
        <v>0</v>
      </c>
      <c r="R58" s="165">
        <v>0</v>
      </c>
      <c r="S58" s="165">
        <v>0</v>
      </c>
      <c r="T58" s="165">
        <v>0</v>
      </c>
      <c r="U58" s="165">
        <v>0</v>
      </c>
      <c r="V58" s="165">
        <v>0</v>
      </c>
      <c r="W58" s="165">
        <v>0</v>
      </c>
      <c r="X58" s="165">
        <v>0</v>
      </c>
      <c r="Y58" s="165">
        <v>0</v>
      </c>
    </row>
    <row r="59" spans="2:25" ht="13.5" thickBot="1" x14ac:dyDescent="0.25">
      <c r="B59" s="79" t="s">
        <v>39</v>
      </c>
      <c r="C59" s="79" t="s">
        <v>21</v>
      </c>
      <c r="D59" s="79">
        <v>4000</v>
      </c>
      <c r="E59" s="79">
        <v>20</v>
      </c>
      <c r="F59" s="89">
        <v>0.1</v>
      </c>
      <c r="G59" s="90">
        <v>20</v>
      </c>
      <c r="H59" s="79"/>
      <c r="I59" s="79">
        <v>20</v>
      </c>
      <c r="J59" s="91">
        <v>0.8</v>
      </c>
      <c r="K59" s="92">
        <v>200</v>
      </c>
      <c r="L59" s="96">
        <f t="shared" si="3"/>
        <v>469.83849909018318</v>
      </c>
      <c r="M59" s="114">
        <v>40</v>
      </c>
      <c r="N59" s="114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</row>
    <row r="60" spans="2:25" ht="13.5" thickBot="1" x14ac:dyDescent="0.25">
      <c r="B60" s="126" t="s">
        <v>40</v>
      </c>
      <c r="C60" s="51" t="s">
        <v>37</v>
      </c>
      <c r="D60" s="51">
        <v>3000</v>
      </c>
      <c r="E60" s="51">
        <v>40</v>
      </c>
      <c r="F60" s="118">
        <v>0.1</v>
      </c>
      <c r="G60" s="51">
        <v>20</v>
      </c>
      <c r="H60" s="51"/>
      <c r="I60" s="51">
        <v>0</v>
      </c>
      <c r="J60" s="51">
        <v>0.6</v>
      </c>
      <c r="K60" s="51">
        <v>500</v>
      </c>
      <c r="L60" s="96">
        <f t="shared" si="3"/>
        <v>306.77824324310848</v>
      </c>
      <c r="M60" s="114">
        <v>20</v>
      </c>
      <c r="N60" s="114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</row>
    <row r="61" spans="2:25" ht="13.5" thickBot="1" x14ac:dyDescent="0.25">
      <c r="B61" s="46" t="s">
        <v>20</v>
      </c>
      <c r="C61" s="46" t="s">
        <v>21</v>
      </c>
      <c r="D61" s="46">
        <v>700</v>
      </c>
      <c r="E61" s="46">
        <v>20</v>
      </c>
      <c r="F61" s="121">
        <v>0.1</v>
      </c>
      <c r="G61" s="46">
        <f t="shared" ref="G61:G66" si="4">+G47</f>
        <v>10</v>
      </c>
      <c r="H61" s="46">
        <v>0.3</v>
      </c>
      <c r="I61" s="46">
        <v>12</v>
      </c>
      <c r="J61" s="46">
        <v>0.8</v>
      </c>
      <c r="K61" s="111">
        <v>1000000000</v>
      </c>
      <c r="L61" s="96">
        <f t="shared" ref="L61:L66" si="5">-PMT(F61,E61,D61)</f>
        <v>82.221737340782056</v>
      </c>
      <c r="M61" s="114">
        <v>169.88359790000001</v>
      </c>
      <c r="N61" s="114">
        <v>147.88359790000001</v>
      </c>
      <c r="O61" s="163">
        <f>('Factores emisión'!C$10*'Factores emisión'!$F$18/Centrales!$H61)/1000</f>
        <v>7.5349250508161714E-2</v>
      </c>
      <c r="P61" s="163">
        <f>('Factores emisión'!D$10*'Factores emisión'!$F$18/Centrales!$H61)/1000</f>
        <v>6.1296615288389544</v>
      </c>
      <c r="Q61" s="163">
        <f>('Factores emisión'!E$10*'Factores emisión'!$F$18/Centrales!$H61)/1000</f>
        <v>0.37674625254080862</v>
      </c>
      <c r="R61" s="163">
        <f>('Factores emisión'!F$10*'Factores emisión'!$F$18/Centrales!$H61)/1000</f>
        <v>840.14414316600312</v>
      </c>
      <c r="S61" s="46">
        <v>0.95</v>
      </c>
      <c r="T61" s="46">
        <v>0</v>
      </c>
      <c r="U61" s="46">
        <v>0</v>
      </c>
      <c r="V61" s="47">
        <f>'Daño ambiental'!C6</f>
        <v>526.84727859553038</v>
      </c>
      <c r="W61" s="47">
        <f>'Daño ambiental'!D6</f>
        <v>210.73891143821214</v>
      </c>
      <c r="X61" s="47">
        <f>'Daño ambiental'!E6</f>
        <v>105.36945571910607</v>
      </c>
      <c r="Y61" s="47">
        <f>'Daño ambiental'!F6</f>
        <v>50</v>
      </c>
    </row>
    <row r="62" spans="2:25" ht="13.5" thickBot="1" x14ac:dyDescent="0.25">
      <c r="B62" s="46" t="s">
        <v>20</v>
      </c>
      <c r="C62" s="46" t="s">
        <v>16</v>
      </c>
      <c r="D62" s="46">
        <v>700</v>
      </c>
      <c r="E62" s="46">
        <v>20</v>
      </c>
      <c r="F62" s="121">
        <v>0.1</v>
      </c>
      <c r="G62" s="46">
        <f t="shared" si="4"/>
        <v>5</v>
      </c>
      <c r="H62" s="46">
        <v>0.3</v>
      </c>
      <c r="I62" s="46">
        <v>12</v>
      </c>
      <c r="J62" s="46">
        <v>0.8</v>
      </c>
      <c r="K62" s="111">
        <v>1000000000</v>
      </c>
      <c r="L62" s="96">
        <f t="shared" si="5"/>
        <v>82.221737340782056</v>
      </c>
      <c r="M62" s="114">
        <v>164.88359790000001</v>
      </c>
      <c r="N62" s="114">
        <v>147.88359790000001</v>
      </c>
      <c r="O62" s="163">
        <f>('Factores emisión'!C$10*'Factores emisión'!$F$18/Centrales!$H62)/1000</f>
        <v>7.5349250508161714E-2</v>
      </c>
      <c r="P62" s="163">
        <f>('Factores emisión'!D$10*'Factores emisión'!$F$18/Centrales!$H62)/1000</f>
        <v>6.1296615288389544</v>
      </c>
      <c r="Q62" s="163">
        <f>('Factores emisión'!E$10*'Factores emisión'!$F$18/Centrales!$H62)/1000</f>
        <v>0.37674625254080862</v>
      </c>
      <c r="R62" s="163">
        <f>('Factores emisión'!F$10*'Factores emisión'!$F$18/Centrales!$H62)/1000</f>
        <v>840.14414316600312</v>
      </c>
      <c r="S62" s="46">
        <v>0.95</v>
      </c>
      <c r="T62" s="46">
        <v>0</v>
      </c>
      <c r="U62" s="46">
        <v>0</v>
      </c>
      <c r="V62" s="47">
        <f>'Daño ambiental'!C8</f>
        <v>526.84727859553038</v>
      </c>
      <c r="W62" s="47">
        <f>'Daño ambiental'!D8</f>
        <v>210.73891143821214</v>
      </c>
      <c r="X62" s="47">
        <f>'Daño ambiental'!E8</f>
        <v>105.36945571910607</v>
      </c>
      <c r="Y62" s="47">
        <f>'Daño ambiental'!F8</f>
        <v>50</v>
      </c>
    </row>
    <row r="63" spans="2:25" ht="13.5" thickBot="1" x14ac:dyDescent="0.25">
      <c r="B63" s="46" t="s">
        <v>20</v>
      </c>
      <c r="C63" s="46" t="s">
        <v>17</v>
      </c>
      <c r="D63" s="46">
        <v>700</v>
      </c>
      <c r="E63" s="46">
        <v>20</v>
      </c>
      <c r="F63" s="121">
        <v>0.1</v>
      </c>
      <c r="G63" s="46">
        <f t="shared" si="4"/>
        <v>0.3</v>
      </c>
      <c r="H63" s="46">
        <v>0.3</v>
      </c>
      <c r="I63" s="46">
        <v>12</v>
      </c>
      <c r="J63" s="46">
        <v>0.8</v>
      </c>
      <c r="K63" s="111">
        <v>1000000000</v>
      </c>
      <c r="L63" s="96">
        <f t="shared" si="5"/>
        <v>82.221737340782056</v>
      </c>
      <c r="M63" s="114">
        <v>160.1835979</v>
      </c>
      <c r="N63" s="114">
        <v>147.88359790000001</v>
      </c>
      <c r="O63" s="163">
        <f>('Factores emisión'!C$10*'Factores emisión'!$F$18/Centrales!$H63)/1000</f>
        <v>7.5349250508161714E-2</v>
      </c>
      <c r="P63" s="163">
        <f>('Factores emisión'!D$10*'Factores emisión'!$F$18/Centrales!$H63)/1000</f>
        <v>6.1296615288389544</v>
      </c>
      <c r="Q63" s="163">
        <f>('Factores emisión'!E$10*'Factores emisión'!$F$18/Centrales!$H63)/1000</f>
        <v>0.37674625254080862</v>
      </c>
      <c r="R63" s="163">
        <f>('Factores emisión'!F$10*'Factores emisión'!$F$18/Centrales!$H63)/1000</f>
        <v>840.14414316600312</v>
      </c>
      <c r="S63" s="46">
        <v>0.95</v>
      </c>
      <c r="T63" s="46">
        <v>0</v>
      </c>
      <c r="U63" s="46">
        <v>0</v>
      </c>
      <c r="V63" s="47">
        <f>'Daño ambiental'!C11</f>
        <v>3161.0836715731821</v>
      </c>
      <c r="W63" s="47">
        <f>'Daño ambiental'!D11</f>
        <v>1580.541835786591</v>
      </c>
      <c r="X63" s="47">
        <f>'Daño ambiental'!E11</f>
        <v>2107.3891143821215</v>
      </c>
      <c r="Y63" s="47">
        <f>'Daño ambiental'!F11</f>
        <v>50</v>
      </c>
    </row>
    <row r="64" spans="2:25" ht="13.5" thickBot="1" x14ac:dyDescent="0.25">
      <c r="B64" s="46" t="s">
        <v>20</v>
      </c>
      <c r="C64" s="46" t="s">
        <v>26</v>
      </c>
      <c r="D64" s="46">
        <v>700</v>
      </c>
      <c r="E64" s="46">
        <v>20</v>
      </c>
      <c r="F64" s="121">
        <v>0.1</v>
      </c>
      <c r="G64" s="46">
        <f t="shared" si="4"/>
        <v>0.3</v>
      </c>
      <c r="H64" s="46">
        <v>0.3</v>
      </c>
      <c r="I64" s="46">
        <v>12</v>
      </c>
      <c r="J64" s="46">
        <v>0.8</v>
      </c>
      <c r="K64" s="111">
        <v>1000000000</v>
      </c>
      <c r="L64" s="96">
        <f t="shared" si="5"/>
        <v>82.221737340782056</v>
      </c>
      <c r="M64" s="114">
        <v>160.1835979</v>
      </c>
      <c r="N64" s="114">
        <v>147.88359790000001</v>
      </c>
      <c r="O64" s="163">
        <f>('Factores emisión'!C$10*'Factores emisión'!$F$18/Centrales!$H64)/1000</f>
        <v>7.5349250508161714E-2</v>
      </c>
      <c r="P64" s="163">
        <f>('Factores emisión'!D$10*'Factores emisión'!$F$18/Centrales!$H64)/1000</f>
        <v>6.1296615288389544</v>
      </c>
      <c r="Q64" s="163">
        <f>('Factores emisión'!E$10*'Factores emisión'!$F$18/Centrales!$H64)/1000</f>
        <v>0.37674625254080862</v>
      </c>
      <c r="R64" s="163">
        <f>('Factores emisión'!F$10*'Factores emisión'!$F$18/Centrales!$H64)/1000</f>
        <v>840.14414316600312</v>
      </c>
      <c r="S64" s="46">
        <v>0.95</v>
      </c>
      <c r="T64" s="46">
        <v>0</v>
      </c>
      <c r="U64" s="46">
        <v>0</v>
      </c>
      <c r="V64" s="47">
        <f>'Daño ambiental'!C13</f>
        <v>3161.0836715731821</v>
      </c>
      <c r="W64" s="47">
        <f>'Daño ambiental'!D13</f>
        <v>1580.541835786591</v>
      </c>
      <c r="X64" s="47">
        <f>'Daño ambiental'!E13</f>
        <v>2107.3891143821215</v>
      </c>
      <c r="Y64" s="47">
        <f>'Daño ambiental'!F13</f>
        <v>50</v>
      </c>
    </row>
    <row r="65" spans="1:25" ht="13.5" thickBot="1" x14ac:dyDescent="0.25">
      <c r="B65" s="46" t="s">
        <v>20</v>
      </c>
      <c r="C65" s="46" t="s">
        <v>18</v>
      </c>
      <c r="D65" s="46">
        <v>700</v>
      </c>
      <c r="E65" s="46">
        <v>20</v>
      </c>
      <c r="F65" s="121">
        <v>0.1</v>
      </c>
      <c r="G65" s="46">
        <f t="shared" si="4"/>
        <v>3</v>
      </c>
      <c r="H65" s="46">
        <v>0.3</v>
      </c>
      <c r="I65" s="46">
        <v>12</v>
      </c>
      <c r="J65" s="46">
        <v>0.8</v>
      </c>
      <c r="K65" s="111">
        <v>1000000000</v>
      </c>
      <c r="L65" s="96">
        <f t="shared" si="5"/>
        <v>82.221737340782056</v>
      </c>
      <c r="M65" s="114">
        <v>162.88359790000001</v>
      </c>
      <c r="N65" s="114">
        <v>147.88359790000001</v>
      </c>
      <c r="O65" s="163">
        <f>('Factores emisión'!C$10*'Factores emisión'!$F$18/Centrales!$H65)/1000</f>
        <v>7.5349250508161714E-2</v>
      </c>
      <c r="P65" s="163">
        <f>('Factores emisión'!D$10*'Factores emisión'!$F$18/Centrales!$H65)/1000</f>
        <v>6.1296615288389544</v>
      </c>
      <c r="Q65" s="163">
        <f>('Factores emisión'!E$10*'Factores emisión'!$F$18/Centrales!$H65)/1000</f>
        <v>0.37674625254080862</v>
      </c>
      <c r="R65" s="163">
        <f>('Factores emisión'!F$10*'Factores emisión'!$F$18/Centrales!$H65)/1000</f>
        <v>840.14414316600312</v>
      </c>
      <c r="S65" s="46">
        <v>0.95</v>
      </c>
      <c r="T65" s="46">
        <v>0</v>
      </c>
      <c r="U65" s="46">
        <v>0</v>
      </c>
      <c r="V65" s="47">
        <f>'Daño ambiental'!C15</f>
        <v>3161.0836715731821</v>
      </c>
      <c r="W65" s="47">
        <f>'Daño ambiental'!D15</f>
        <v>1580.541835786591</v>
      </c>
      <c r="X65" s="47">
        <f>'Daño ambiental'!E15</f>
        <v>2107.3891143821215</v>
      </c>
      <c r="Y65" s="47">
        <f>'Daño ambiental'!F15</f>
        <v>50</v>
      </c>
    </row>
    <row r="66" spans="1:25" ht="13.5" thickBot="1" x14ac:dyDescent="0.25">
      <c r="B66" s="46" t="s">
        <v>20</v>
      </c>
      <c r="C66" s="46" t="s">
        <v>28</v>
      </c>
      <c r="D66" s="46">
        <v>700</v>
      </c>
      <c r="E66" s="46">
        <v>20</v>
      </c>
      <c r="F66" s="121">
        <v>0.1</v>
      </c>
      <c r="G66" s="46">
        <f t="shared" si="4"/>
        <v>5</v>
      </c>
      <c r="H66" s="46">
        <v>0.3</v>
      </c>
      <c r="I66" s="46">
        <v>12</v>
      </c>
      <c r="J66" s="46">
        <v>0.8</v>
      </c>
      <c r="K66" s="111">
        <v>1000000000</v>
      </c>
      <c r="L66" s="96">
        <f t="shared" si="5"/>
        <v>82.221737340782056</v>
      </c>
      <c r="M66" s="114">
        <v>164.88359790000001</v>
      </c>
      <c r="N66" s="114">
        <v>147.88359790000001</v>
      </c>
      <c r="O66" s="163">
        <f>('Factores emisión'!C$10*'Factores emisión'!$F$18/Centrales!$H66)/1000</f>
        <v>7.5349250508161714E-2</v>
      </c>
      <c r="P66" s="163">
        <f>('Factores emisión'!D$10*'Factores emisión'!$F$18/Centrales!$H66)/1000</f>
        <v>6.1296615288389544</v>
      </c>
      <c r="Q66" s="163">
        <f>('Factores emisión'!E$10*'Factores emisión'!$F$18/Centrales!$H66)/1000</f>
        <v>0.37674625254080862</v>
      </c>
      <c r="R66" s="163">
        <f>('Factores emisión'!F$10*'Factores emisión'!$F$18/Centrales!$H66)/1000</f>
        <v>840.14414316600312</v>
      </c>
      <c r="S66" s="46">
        <v>0.95</v>
      </c>
      <c r="T66" s="46">
        <v>0</v>
      </c>
      <c r="U66" s="46">
        <v>0</v>
      </c>
      <c r="V66" s="47">
        <f>'Daño ambiental'!C18</f>
        <v>526.84727859553038</v>
      </c>
      <c r="W66" s="47">
        <f>'Daño ambiental'!D18</f>
        <v>210.73891143821214</v>
      </c>
      <c r="X66" s="47">
        <f>'Daño ambiental'!E18</f>
        <v>105.36945571910607</v>
      </c>
      <c r="Y66" s="47">
        <f>'Daño ambiental'!F18</f>
        <v>50</v>
      </c>
    </row>
    <row r="67" spans="1:25" x14ac:dyDescent="0.2">
      <c r="E67" s="7" t="s">
        <v>36</v>
      </c>
    </row>
    <row r="68" spans="1:25" x14ac:dyDescent="0.2">
      <c r="D68" t="s">
        <v>36</v>
      </c>
    </row>
    <row r="69" spans="1:25" x14ac:dyDescent="0.2">
      <c r="B69" s="24" t="s">
        <v>100</v>
      </c>
    </row>
    <row r="71" spans="1:25" x14ac:dyDescent="0.2">
      <c r="A71" s="9" t="s">
        <v>36</v>
      </c>
    </row>
    <row r="65536" spans="11:11" x14ac:dyDescent="0.2">
      <c r="K65536" s="10" t="s">
        <v>36</v>
      </c>
    </row>
  </sheetData>
  <mergeCells count="7">
    <mergeCell ref="O44:R44"/>
    <mergeCell ref="S44:U44"/>
    <mergeCell ref="Q4:T4"/>
    <mergeCell ref="V44:Y44"/>
    <mergeCell ref="N36:P36"/>
    <mergeCell ref="N4:P4"/>
    <mergeCell ref="J4:M4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P57"/>
  <sheetViews>
    <sheetView workbookViewId="0">
      <selection activeCell="E9" sqref="E9"/>
    </sheetView>
  </sheetViews>
  <sheetFormatPr baseColWidth="10" defaultRowHeight="12.75" x14ac:dyDescent="0.2"/>
  <cols>
    <col min="2" max="2" width="16.85546875" style="11" customWidth="1"/>
    <col min="8" max="8" width="20.140625" bestFit="1" customWidth="1"/>
    <col min="9" max="9" width="15.85546875" customWidth="1"/>
    <col min="10" max="10" width="17.28515625" customWidth="1"/>
    <col min="11" max="11" width="16.5703125" bestFit="1" customWidth="1"/>
    <col min="12" max="12" width="17.140625" customWidth="1"/>
    <col min="13" max="14" width="20.140625" bestFit="1" customWidth="1"/>
    <col min="15" max="15" width="15" bestFit="1" customWidth="1"/>
    <col min="16" max="16" width="17.5703125" customWidth="1"/>
  </cols>
  <sheetData>
    <row r="2" spans="2:16" x14ac:dyDescent="0.2">
      <c r="B2" s="14" t="s">
        <v>60</v>
      </c>
    </row>
    <row r="4" spans="2:16" x14ac:dyDescent="0.2">
      <c r="B4" s="11" t="s">
        <v>59</v>
      </c>
      <c r="C4" s="3" t="s">
        <v>50</v>
      </c>
      <c r="D4" s="3" t="s">
        <v>51</v>
      </c>
      <c r="E4" s="3" t="s">
        <v>69</v>
      </c>
      <c r="F4" s="3" t="s">
        <v>61</v>
      </c>
      <c r="H4" s="11"/>
      <c r="I4" s="3"/>
      <c r="J4" s="3"/>
      <c r="K4" s="3"/>
      <c r="L4" s="3"/>
    </row>
    <row r="5" spans="2:16" x14ac:dyDescent="0.2">
      <c r="B5" s="12"/>
      <c r="C5" s="5" t="s">
        <v>52</v>
      </c>
      <c r="D5" s="5" t="s">
        <v>52</v>
      </c>
      <c r="E5" s="5" t="s">
        <v>52</v>
      </c>
      <c r="F5" s="5" t="s">
        <v>52</v>
      </c>
      <c r="H5" s="12"/>
    </row>
    <row r="7" spans="2:16" x14ac:dyDescent="0.2">
      <c r="B7" s="11" t="s">
        <v>53</v>
      </c>
      <c r="C7" s="13">
        <v>44.607999999999997</v>
      </c>
      <c r="D7" s="13">
        <v>22.8</v>
      </c>
      <c r="E7" s="13">
        <v>16.5</v>
      </c>
      <c r="F7" s="13">
        <v>2385.294117647059</v>
      </c>
      <c r="H7" s="11"/>
      <c r="I7" s="128"/>
      <c r="J7" s="128"/>
      <c r="K7" s="88"/>
      <c r="L7" s="131"/>
      <c r="M7" s="88"/>
      <c r="N7" s="88"/>
      <c r="O7" s="88"/>
      <c r="P7" s="88"/>
    </row>
    <row r="8" spans="2:16" x14ac:dyDescent="0.2">
      <c r="B8" s="11" t="s">
        <v>54</v>
      </c>
      <c r="C8" s="13">
        <v>8.1999999999999993</v>
      </c>
      <c r="D8" s="13">
        <v>18.600000000000001</v>
      </c>
      <c r="E8" s="13">
        <v>3.6</v>
      </c>
      <c r="F8" s="13">
        <v>2164.705882352941</v>
      </c>
      <c r="H8" s="11"/>
      <c r="I8" s="128"/>
      <c r="J8" s="128"/>
      <c r="K8" s="88"/>
      <c r="L8" s="131"/>
      <c r="M8" s="88"/>
      <c r="N8" s="88"/>
      <c r="O8" s="88"/>
      <c r="P8" s="88"/>
    </row>
    <row r="9" spans="2:16" x14ac:dyDescent="0.2">
      <c r="B9" s="11" t="s">
        <v>55</v>
      </c>
      <c r="C9" s="13">
        <v>0.28369156485987873</v>
      </c>
      <c r="D9" s="13">
        <v>23.078308801351135</v>
      </c>
      <c r="E9" s="13">
        <v>1.4184578242993937</v>
      </c>
      <c r="F9" s="13">
        <v>3163.160948187648</v>
      </c>
      <c r="H9" s="11"/>
      <c r="I9" s="128"/>
      <c r="J9" s="128"/>
      <c r="K9" s="88"/>
      <c r="L9" s="131"/>
      <c r="M9" s="88"/>
      <c r="N9" s="88"/>
      <c r="O9" s="88"/>
      <c r="P9" s="88"/>
    </row>
    <row r="10" spans="2:16" x14ac:dyDescent="0.2">
      <c r="B10" s="11" t="s">
        <v>56</v>
      </c>
      <c r="C10" s="13">
        <v>0.28369156485987873</v>
      </c>
      <c r="D10" s="13">
        <v>23.078308801351135</v>
      </c>
      <c r="E10" s="13">
        <v>1.4184578242993937</v>
      </c>
      <c r="F10" s="13">
        <v>3163.160948187648</v>
      </c>
      <c r="H10" s="11"/>
      <c r="I10" s="128"/>
      <c r="J10" s="128"/>
      <c r="K10" s="88"/>
      <c r="L10" s="131"/>
      <c r="M10" s="88"/>
      <c r="N10" s="88"/>
      <c r="O10" s="88"/>
      <c r="P10" s="88"/>
    </row>
    <row r="11" spans="2:16" x14ac:dyDescent="0.2">
      <c r="B11" s="11" t="s">
        <v>57</v>
      </c>
      <c r="C11" s="23">
        <v>0.18087999999999999</v>
      </c>
      <c r="D11" s="23">
        <v>1.4280000000000001E-2</v>
      </c>
      <c r="E11" s="13">
        <v>5.593</v>
      </c>
      <c r="F11" s="13">
        <v>2856</v>
      </c>
      <c r="H11" s="11"/>
      <c r="I11" s="128"/>
      <c r="J11" s="128"/>
      <c r="K11" s="88"/>
      <c r="L11" s="131"/>
      <c r="M11" s="88"/>
      <c r="N11" s="88"/>
      <c r="O11" s="88"/>
      <c r="P11" s="88"/>
    </row>
    <row r="12" spans="2:16" x14ac:dyDescent="0.2">
      <c r="B12" s="11" t="s">
        <v>58</v>
      </c>
      <c r="C12" s="23">
        <v>0.18087999999999999</v>
      </c>
      <c r="D12" s="23">
        <v>1.4280000000000001E-2</v>
      </c>
      <c r="E12" s="13">
        <v>5.593</v>
      </c>
      <c r="F12" s="13">
        <v>2856</v>
      </c>
      <c r="H12" s="11"/>
      <c r="I12" s="128"/>
      <c r="J12" s="128"/>
      <c r="K12" s="88"/>
      <c r="L12" s="131"/>
      <c r="M12" s="88"/>
      <c r="N12" s="88"/>
      <c r="O12" s="88"/>
      <c r="P12" s="88"/>
    </row>
    <row r="13" spans="2:16" x14ac:dyDescent="0.2">
      <c r="C13" s="3"/>
      <c r="D13" s="3"/>
      <c r="E13" s="13"/>
      <c r="F13" s="13"/>
    </row>
    <row r="14" spans="2:16" x14ac:dyDescent="0.2">
      <c r="C14" s="3"/>
      <c r="D14" s="3"/>
      <c r="E14" s="3"/>
      <c r="M14" s="88"/>
      <c r="N14" s="88"/>
      <c r="O14" s="88"/>
      <c r="P14" s="88"/>
    </row>
    <row r="15" spans="2:16" x14ac:dyDescent="0.2">
      <c r="B15" s="14" t="s">
        <v>70</v>
      </c>
      <c r="M15" s="88"/>
      <c r="N15" s="88"/>
      <c r="O15" s="88"/>
      <c r="P15" s="88"/>
    </row>
    <row r="16" spans="2:16" x14ac:dyDescent="0.2">
      <c r="C16" s="16"/>
      <c r="D16" s="16"/>
      <c r="E16" s="16"/>
      <c r="F16" s="133" t="s">
        <v>152</v>
      </c>
    </row>
    <row r="17" spans="2:16" x14ac:dyDescent="0.2">
      <c r="B17" s="12"/>
      <c r="C17" s="19" t="s">
        <v>72</v>
      </c>
      <c r="D17" s="19" t="s">
        <v>74</v>
      </c>
      <c r="E17" s="5" t="s">
        <v>62</v>
      </c>
      <c r="F17" s="132" t="s">
        <v>151</v>
      </c>
      <c r="N17" s="129"/>
      <c r="P17" s="129"/>
    </row>
    <row r="18" spans="2:16" x14ac:dyDescent="0.2">
      <c r="B18" s="11" t="s">
        <v>71</v>
      </c>
      <c r="C18" s="17">
        <f>9.12*1000000</f>
        <v>9120000</v>
      </c>
      <c r="D18" s="17">
        <f>C18/C26</f>
        <v>10792.899408284024</v>
      </c>
      <c r="E18">
        <f>(1/$D$34)/D18</f>
        <v>7.968081519665024E-2</v>
      </c>
      <c r="F18" s="132">
        <f>E18*1000</f>
        <v>79.680815196650244</v>
      </c>
      <c r="H18" s="93"/>
      <c r="I18" s="88"/>
      <c r="J18" s="88"/>
      <c r="M18" s="88"/>
      <c r="N18" s="88"/>
    </row>
    <row r="19" spans="2:16" x14ac:dyDescent="0.2">
      <c r="B19" s="11" t="s">
        <v>73</v>
      </c>
      <c r="C19" s="3"/>
      <c r="D19" s="17">
        <v>6500</v>
      </c>
      <c r="E19">
        <f t="shared" ref="E19:E20" si="0">(1/$D$34)/D19</f>
        <v>0.13230569587500229</v>
      </c>
      <c r="F19" s="132">
        <f t="shared" ref="F19:F20" si="1">E19*1000</f>
        <v>132.3056958750023</v>
      </c>
      <c r="H19" s="93"/>
      <c r="I19" s="88"/>
      <c r="J19" s="88"/>
      <c r="M19" s="88"/>
      <c r="N19" s="88"/>
    </row>
    <row r="20" spans="2:16" x14ac:dyDescent="0.2">
      <c r="B20" s="11" t="s">
        <v>43</v>
      </c>
      <c r="C20" s="17">
        <v>9341</v>
      </c>
      <c r="D20" s="17">
        <f>C20/C27</f>
        <v>13879.64338781575</v>
      </c>
      <c r="E20">
        <f t="shared" si="0"/>
        <v>6.19603111663845E-2</v>
      </c>
      <c r="F20" s="132">
        <f t="shared" si="1"/>
        <v>61.9603111663845</v>
      </c>
      <c r="H20" s="93"/>
      <c r="I20" s="88"/>
      <c r="J20" s="88"/>
      <c r="M20" s="88"/>
      <c r="N20" s="88"/>
    </row>
    <row r="21" spans="2:16" x14ac:dyDescent="0.2">
      <c r="C21" s="17"/>
      <c r="D21" s="17"/>
      <c r="M21" s="88"/>
      <c r="N21" s="88"/>
    </row>
    <row r="22" spans="2:16" x14ac:dyDescent="0.2">
      <c r="C22" s="16"/>
      <c r="D22" s="16"/>
      <c r="E22" s="16"/>
      <c r="F22" s="16"/>
      <c r="M22" s="88"/>
      <c r="N22" s="88"/>
    </row>
    <row r="23" spans="2:16" x14ac:dyDescent="0.2">
      <c r="B23" s="14" t="s">
        <v>80</v>
      </c>
      <c r="F23" s="16"/>
      <c r="M23" s="88"/>
      <c r="N23" s="88"/>
    </row>
    <row r="24" spans="2:16" x14ac:dyDescent="0.2">
      <c r="C24" s="16"/>
      <c r="D24" s="16"/>
      <c r="E24" s="16"/>
      <c r="F24" s="16"/>
    </row>
    <row r="25" spans="2:16" x14ac:dyDescent="0.2">
      <c r="B25" s="12"/>
      <c r="C25" s="19" t="s">
        <v>77</v>
      </c>
      <c r="D25" s="16"/>
      <c r="E25" s="16"/>
      <c r="F25" s="16"/>
      <c r="M25" s="88"/>
      <c r="N25" s="88"/>
    </row>
    <row r="26" spans="2:16" x14ac:dyDescent="0.2">
      <c r="B26" s="11" t="s">
        <v>71</v>
      </c>
      <c r="C26" s="16">
        <v>845</v>
      </c>
      <c r="D26" s="16"/>
      <c r="E26" s="16"/>
      <c r="F26" s="16"/>
    </row>
    <row r="27" spans="2:16" x14ac:dyDescent="0.2">
      <c r="B27" s="11" t="s">
        <v>43</v>
      </c>
      <c r="C27" s="18">
        <v>0.67300000000000004</v>
      </c>
      <c r="D27" s="16"/>
      <c r="E27" s="16"/>
    </row>
    <row r="30" spans="2:16" x14ac:dyDescent="0.2">
      <c r="B30" s="14" t="s">
        <v>81</v>
      </c>
    </row>
    <row r="32" spans="2:16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s="130" t="s">
        <v>84</v>
      </c>
      <c r="C34" s="130" t="s">
        <v>76</v>
      </c>
      <c r="D34" s="130">
        <f>+D33/0.25183</f>
        <v>1.1628082436564349E-3</v>
      </c>
      <c r="E34" s="130" t="s">
        <v>82</v>
      </c>
    </row>
    <row r="35" spans="1:5" x14ac:dyDescent="0.2">
      <c r="B35" t="s">
        <v>85</v>
      </c>
      <c r="C35" t="s">
        <v>76</v>
      </c>
      <c r="D35" s="6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2" t="s">
        <v>90</v>
      </c>
      <c r="D37">
        <v>1000000</v>
      </c>
      <c r="E37" s="20" t="s">
        <v>89</v>
      </c>
    </row>
    <row r="45" spans="1:5" x14ac:dyDescent="0.2">
      <c r="A45" s="11"/>
    </row>
    <row r="46" spans="1:5" x14ac:dyDescent="0.2">
      <c r="A46" s="11"/>
    </row>
    <row r="47" spans="1:5" x14ac:dyDescent="0.2">
      <c r="A47" s="11"/>
    </row>
    <row r="48" spans="1:5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U27"/>
  <sheetViews>
    <sheetView workbookViewId="0">
      <selection activeCell="W15" sqref="W15"/>
    </sheetView>
  </sheetViews>
  <sheetFormatPr baseColWidth="10" defaultRowHeight="12.75" x14ac:dyDescent="0.2"/>
  <cols>
    <col min="5" max="5" width="12.5703125" bestFit="1" customWidth="1"/>
  </cols>
  <sheetData>
    <row r="2" spans="2:21" x14ac:dyDescent="0.2">
      <c r="B2" s="72" t="s">
        <v>47</v>
      </c>
      <c r="C2" s="79"/>
      <c r="D2" s="72">
        <v>2016</v>
      </c>
      <c r="E2" s="72">
        <v>2016</v>
      </c>
      <c r="G2" s="153" t="s">
        <v>148</v>
      </c>
      <c r="H2" s="154"/>
      <c r="J2" s="153" t="s">
        <v>149</v>
      </c>
      <c r="K2" s="154"/>
    </row>
    <row r="3" spans="2:21" x14ac:dyDescent="0.2">
      <c r="B3" s="79"/>
      <c r="C3" s="80" t="s">
        <v>48</v>
      </c>
      <c r="D3" s="80" t="s">
        <v>8</v>
      </c>
      <c r="E3" s="80" t="s">
        <v>49</v>
      </c>
      <c r="G3" s="107" t="s">
        <v>44</v>
      </c>
      <c r="H3" s="86">
        <f>E4/$E$8</f>
        <v>0.18487055247596876</v>
      </c>
      <c r="J3" s="107" t="s">
        <v>44</v>
      </c>
      <c r="K3" s="86">
        <f>D4/$D$8</f>
        <v>0.41935658286023247</v>
      </c>
    </row>
    <row r="4" spans="2:21" x14ac:dyDescent="0.2">
      <c r="B4" s="79" t="s">
        <v>44</v>
      </c>
      <c r="C4" s="79">
        <v>1200</v>
      </c>
      <c r="D4" s="83">
        <v>7756</v>
      </c>
      <c r="E4" s="83">
        <f>+C4*D4/1000</f>
        <v>9307.2000000000007</v>
      </c>
      <c r="G4" s="102" t="s">
        <v>45</v>
      </c>
      <c r="H4" s="86">
        <f t="shared" ref="H4:H5" si="0">E5/$E$8</f>
        <v>0.49202739783494559</v>
      </c>
      <c r="J4" s="102" t="s">
        <v>45</v>
      </c>
      <c r="K4" s="86">
        <f t="shared" ref="K4:K5" si="1">D5/$D$8</f>
        <v>0.32257366855906999</v>
      </c>
    </row>
    <row r="5" spans="2:21" x14ac:dyDescent="0.2">
      <c r="B5" s="79" t="s">
        <v>45</v>
      </c>
      <c r="C5" s="79">
        <v>4152</v>
      </c>
      <c r="D5" s="83">
        <v>5966</v>
      </c>
      <c r="E5" s="83">
        <f>+C5*D5/1000</f>
        <v>24770.831999999999</v>
      </c>
      <c r="G5" s="103" t="s">
        <v>46</v>
      </c>
      <c r="H5" s="86">
        <f t="shared" si="0"/>
        <v>0.32310204968908568</v>
      </c>
      <c r="J5" s="103" t="s">
        <v>46</v>
      </c>
      <c r="K5" s="86">
        <f t="shared" si="1"/>
        <v>0.25806974858069748</v>
      </c>
    </row>
    <row r="6" spans="2:21" x14ac:dyDescent="0.2">
      <c r="B6" s="79" t="s">
        <v>46</v>
      </c>
      <c r="C6" s="79">
        <v>3408</v>
      </c>
      <c r="D6" s="83">
        <v>4773</v>
      </c>
      <c r="E6" s="83">
        <f>+C6*D6/1000</f>
        <v>16266.384</v>
      </c>
    </row>
    <row r="7" spans="2:21" x14ac:dyDescent="0.2">
      <c r="E7" s="6"/>
    </row>
    <row r="8" spans="2:21" x14ac:dyDescent="0.2">
      <c r="C8">
        <f>+SUM(C4:C6)</f>
        <v>8760</v>
      </c>
      <c r="D8" s="6">
        <f>SUM(D4:D6)</f>
        <v>18495</v>
      </c>
      <c r="E8" s="6">
        <f>+SUM(E4:E6)</f>
        <v>50344.415999999997</v>
      </c>
    </row>
    <row r="9" spans="2:21" x14ac:dyDescent="0.2">
      <c r="G9" s="88"/>
    </row>
    <row r="10" spans="2:21" x14ac:dyDescent="0.2">
      <c r="F10" s="150" t="s">
        <v>142</v>
      </c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2"/>
    </row>
    <row r="11" spans="2:21" x14ac:dyDescent="0.2">
      <c r="D11" s="97"/>
      <c r="E11" s="98"/>
      <c r="F11" s="99"/>
      <c r="G11" s="105">
        <f>E2</f>
        <v>2016</v>
      </c>
      <c r="H11" s="105">
        <f>G11+1</f>
        <v>2017</v>
      </c>
      <c r="I11" s="105">
        <f t="shared" ref="I11:S11" si="2">H11+1</f>
        <v>2018</v>
      </c>
      <c r="J11" s="105">
        <f t="shared" si="2"/>
        <v>2019</v>
      </c>
      <c r="K11" s="105">
        <f t="shared" si="2"/>
        <v>2020</v>
      </c>
      <c r="L11" s="105">
        <f t="shared" si="2"/>
        <v>2021</v>
      </c>
      <c r="M11" s="105">
        <f t="shared" si="2"/>
        <v>2022</v>
      </c>
      <c r="N11" s="105">
        <f t="shared" si="2"/>
        <v>2023</v>
      </c>
      <c r="O11" s="105">
        <f t="shared" si="2"/>
        <v>2024</v>
      </c>
      <c r="P11" s="105">
        <f t="shared" si="2"/>
        <v>2025</v>
      </c>
      <c r="Q11" s="105">
        <f>P11+1</f>
        <v>2026</v>
      </c>
      <c r="R11" s="105">
        <f t="shared" si="2"/>
        <v>2027</v>
      </c>
      <c r="S11" s="105">
        <f t="shared" si="2"/>
        <v>2028</v>
      </c>
      <c r="T11" s="105">
        <f>S11+1</f>
        <v>2029</v>
      </c>
      <c r="U11" s="105">
        <f>T11+1</f>
        <v>2030</v>
      </c>
    </row>
    <row r="12" spans="2:21" ht="38.25" x14ac:dyDescent="0.2">
      <c r="B12" s="87" t="s">
        <v>134</v>
      </c>
      <c r="C12" s="87" t="s">
        <v>86</v>
      </c>
      <c r="D12" s="24"/>
      <c r="E12" s="24"/>
      <c r="F12" s="78" t="s">
        <v>44</v>
      </c>
      <c r="G12" s="106">
        <f>E4</f>
        <v>9307.2000000000007</v>
      </c>
      <c r="H12" s="78">
        <f>$H$3*H15</f>
        <v>9493.344000000001</v>
      </c>
      <c r="I12" s="78">
        <f t="shared" ref="I12:U12" si="3">$H$3*I15</f>
        <v>9683.2108800000005</v>
      </c>
      <c r="J12" s="78">
        <f t="shared" si="3"/>
        <v>9876.875097600001</v>
      </c>
      <c r="K12" s="78">
        <f t="shared" si="3"/>
        <v>10074.412599552001</v>
      </c>
      <c r="L12" s="78">
        <f t="shared" si="3"/>
        <v>10275.900851543041</v>
      </c>
      <c r="M12" s="78">
        <f t="shared" si="3"/>
        <v>10481.418868573901</v>
      </c>
      <c r="N12" s="78">
        <f t="shared" si="3"/>
        <v>10691.047245945379</v>
      </c>
      <c r="O12" s="78">
        <f t="shared" si="3"/>
        <v>10904.868190864287</v>
      </c>
      <c r="P12" s="78">
        <f t="shared" si="3"/>
        <v>11122.965554681572</v>
      </c>
      <c r="Q12" s="78">
        <f t="shared" si="3"/>
        <v>11345.424865775205</v>
      </c>
      <c r="R12" s="78">
        <f t="shared" si="3"/>
        <v>11572.333363090709</v>
      </c>
      <c r="S12" s="78">
        <f t="shared" si="3"/>
        <v>11803.780030352524</v>
      </c>
      <c r="T12" s="78">
        <f t="shared" si="3"/>
        <v>12039.855630959573</v>
      </c>
      <c r="U12" s="78">
        <f t="shared" si="3"/>
        <v>12280.652743578767</v>
      </c>
    </row>
    <row r="13" spans="2:21" x14ac:dyDescent="0.2">
      <c r="B13" s="84">
        <v>2017</v>
      </c>
      <c r="C13" s="85">
        <v>0.02</v>
      </c>
      <c r="D13" s="24"/>
      <c r="E13" s="24"/>
      <c r="F13" s="78" t="s">
        <v>45</v>
      </c>
      <c r="G13" s="106">
        <f t="shared" ref="G13:G14" si="4">E5</f>
        <v>24770.831999999999</v>
      </c>
      <c r="H13" s="79">
        <f>$H$4*H15</f>
        <v>25266.248639999998</v>
      </c>
      <c r="I13" s="79">
        <f t="shared" ref="I13:U13" si="5">$H$4*I15</f>
        <v>25771.573612799999</v>
      </c>
      <c r="J13" s="79">
        <f t="shared" si="5"/>
        <v>26287.005085056</v>
      </c>
      <c r="K13" s="79">
        <f t="shared" si="5"/>
        <v>26812.745186757122</v>
      </c>
      <c r="L13" s="79">
        <f t="shared" si="5"/>
        <v>27349.00009049226</v>
      </c>
      <c r="M13" s="79">
        <f t="shared" si="5"/>
        <v>27895.980092302107</v>
      </c>
      <c r="N13" s="79">
        <f t="shared" si="5"/>
        <v>28453.899694148145</v>
      </c>
      <c r="O13" s="79">
        <f t="shared" si="5"/>
        <v>29022.977688031107</v>
      </c>
      <c r="P13" s="79">
        <f t="shared" si="5"/>
        <v>29603.437241791733</v>
      </c>
      <c r="Q13" s="79">
        <f t="shared" si="5"/>
        <v>30195.50598662757</v>
      </c>
      <c r="R13" s="79">
        <f t="shared" si="5"/>
        <v>30799.41610636012</v>
      </c>
      <c r="S13" s="79">
        <f t="shared" si="5"/>
        <v>31415.404428487323</v>
      </c>
      <c r="T13" s="79">
        <f t="shared" si="5"/>
        <v>32043.712517057073</v>
      </c>
      <c r="U13" s="79">
        <f t="shared" si="5"/>
        <v>32684.586767398217</v>
      </c>
    </row>
    <row r="14" spans="2:21" x14ac:dyDescent="0.2">
      <c r="B14" s="84">
        <v>2018</v>
      </c>
      <c r="C14" s="85">
        <f>+C13</f>
        <v>0.02</v>
      </c>
      <c r="D14" s="24"/>
      <c r="E14" s="24"/>
      <c r="F14" s="78" t="s">
        <v>46</v>
      </c>
      <c r="G14" s="106">
        <f t="shared" si="4"/>
        <v>16266.384</v>
      </c>
      <c r="H14" s="79">
        <f>$H$5*H15</f>
        <v>16591.71168</v>
      </c>
      <c r="I14" s="79">
        <f t="shared" ref="I14:U14" si="6">$H$5*I15</f>
        <v>16923.545913599999</v>
      </c>
      <c r="J14" s="79">
        <f t="shared" si="6"/>
        <v>17262.016831871999</v>
      </c>
      <c r="K14" s="79">
        <f t="shared" si="6"/>
        <v>17607.257168509441</v>
      </c>
      <c r="L14" s="79">
        <f t="shared" si="6"/>
        <v>17959.402311879629</v>
      </c>
      <c r="M14" s="79">
        <f t="shared" si="6"/>
        <v>18318.590358117221</v>
      </c>
      <c r="N14" s="79">
        <f t="shared" si="6"/>
        <v>18684.962165279565</v>
      </c>
      <c r="O14" s="79">
        <f t="shared" si="6"/>
        <v>19058.661408585154</v>
      </c>
      <c r="P14" s="79">
        <f t="shared" si="6"/>
        <v>19439.834636756859</v>
      </c>
      <c r="Q14" s="79">
        <f t="shared" si="6"/>
        <v>19828.631329491996</v>
      </c>
      <c r="R14" s="79">
        <f t="shared" si="6"/>
        <v>20225.203956081838</v>
      </c>
      <c r="S14" s="79">
        <f t="shared" si="6"/>
        <v>20629.708035203475</v>
      </c>
      <c r="T14" s="79">
        <f t="shared" si="6"/>
        <v>21042.302195907545</v>
      </c>
      <c r="U14" s="79">
        <f t="shared" si="6"/>
        <v>21463.148239825696</v>
      </c>
    </row>
    <row r="15" spans="2:21" x14ac:dyDescent="0.2">
      <c r="B15" s="84">
        <v>2019</v>
      </c>
      <c r="C15" s="85">
        <f t="shared" ref="C15:C25" si="7">+C14</f>
        <v>0.02</v>
      </c>
      <c r="D15" s="24"/>
      <c r="E15" s="24"/>
      <c r="F15" s="100" t="s">
        <v>147</v>
      </c>
      <c r="G15" s="83">
        <f>E8</f>
        <v>50344.415999999997</v>
      </c>
      <c r="H15" s="79">
        <f>G15 +(G15*$C$13)</f>
        <v>51351.304319999996</v>
      </c>
      <c r="I15" s="79">
        <f t="shared" ref="I15:U15" si="8">H15 +(H15*$C$13)</f>
        <v>52378.330406399997</v>
      </c>
      <c r="J15" s="79">
        <f t="shared" si="8"/>
        <v>53425.897014527996</v>
      </c>
      <c r="K15" s="79">
        <f t="shared" si="8"/>
        <v>54494.41495481856</v>
      </c>
      <c r="L15" s="79">
        <f t="shared" si="8"/>
        <v>55584.303253914928</v>
      </c>
      <c r="M15" s="79">
        <f t="shared" si="8"/>
        <v>56695.989318993226</v>
      </c>
      <c r="N15" s="79">
        <f t="shared" si="8"/>
        <v>57829.909105373088</v>
      </c>
      <c r="O15" s="79">
        <f t="shared" si="8"/>
        <v>58986.507287480548</v>
      </c>
      <c r="P15" s="79">
        <f t="shared" si="8"/>
        <v>60166.237433230162</v>
      </c>
      <c r="Q15" s="79">
        <f t="shared" si="8"/>
        <v>61369.562181894769</v>
      </c>
      <c r="R15" s="79">
        <f t="shared" si="8"/>
        <v>62596.953425532665</v>
      </c>
      <c r="S15" s="79">
        <f t="shared" si="8"/>
        <v>63848.892494043321</v>
      </c>
      <c r="T15" s="79">
        <f t="shared" si="8"/>
        <v>65125.870343924187</v>
      </c>
      <c r="U15" s="79">
        <f t="shared" si="8"/>
        <v>66428.387750802678</v>
      </c>
    </row>
    <row r="16" spans="2:21" x14ac:dyDescent="0.2">
      <c r="B16" s="84">
        <v>2020</v>
      </c>
      <c r="C16" s="85">
        <f t="shared" si="7"/>
        <v>0.02</v>
      </c>
      <c r="D16" s="24"/>
      <c r="E16" s="24"/>
    </row>
    <row r="17" spans="2:21" x14ac:dyDescent="0.2">
      <c r="B17" s="84">
        <v>2021</v>
      </c>
      <c r="C17" s="85">
        <f t="shared" si="7"/>
        <v>0.02</v>
      </c>
      <c r="D17" s="24"/>
      <c r="E17" s="24"/>
      <c r="F17" s="150" t="s">
        <v>143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2"/>
    </row>
    <row r="18" spans="2:21" x14ac:dyDescent="0.2">
      <c r="B18" s="84">
        <v>2022</v>
      </c>
      <c r="C18" s="85">
        <f t="shared" si="7"/>
        <v>0.02</v>
      </c>
      <c r="D18" s="24"/>
      <c r="E18" s="24"/>
      <c r="F18" s="99"/>
      <c r="G18" s="105">
        <f>D2</f>
        <v>2016</v>
      </c>
      <c r="H18" s="105">
        <f>G18+1</f>
        <v>2017</v>
      </c>
      <c r="I18" s="105">
        <f t="shared" ref="I18:P18" si="9">H18+1</f>
        <v>2018</v>
      </c>
      <c r="J18" s="105">
        <f t="shared" si="9"/>
        <v>2019</v>
      </c>
      <c r="K18" s="105">
        <f t="shared" si="9"/>
        <v>2020</v>
      </c>
      <c r="L18" s="105">
        <f t="shared" si="9"/>
        <v>2021</v>
      </c>
      <c r="M18" s="105">
        <f t="shared" si="9"/>
        <v>2022</v>
      </c>
      <c r="N18" s="105">
        <f t="shared" si="9"/>
        <v>2023</v>
      </c>
      <c r="O18" s="105">
        <f t="shared" si="9"/>
        <v>2024</v>
      </c>
      <c r="P18" s="105">
        <f t="shared" si="9"/>
        <v>2025</v>
      </c>
      <c r="Q18" s="105">
        <f>P18+1</f>
        <v>2026</v>
      </c>
      <c r="R18" s="105">
        <f t="shared" ref="R18:S18" si="10">Q18+1</f>
        <v>2027</v>
      </c>
      <c r="S18" s="105">
        <f t="shared" si="10"/>
        <v>2028</v>
      </c>
      <c r="T18" s="105">
        <f>S18+1</f>
        <v>2029</v>
      </c>
      <c r="U18" s="105">
        <f>T18+1</f>
        <v>2030</v>
      </c>
    </row>
    <row r="19" spans="2:21" x14ac:dyDescent="0.2">
      <c r="B19" s="84">
        <v>2023</v>
      </c>
      <c r="C19" s="85">
        <f t="shared" si="7"/>
        <v>0.02</v>
      </c>
      <c r="D19" s="24"/>
      <c r="E19" s="24"/>
      <c r="F19" s="78" t="s">
        <v>44</v>
      </c>
      <c r="G19" s="78">
        <f t="shared" ref="G19:U19" si="11">(G12/horas_b1)*1000</f>
        <v>7756</v>
      </c>
      <c r="H19" s="78">
        <f t="shared" si="11"/>
        <v>7911.1200000000008</v>
      </c>
      <c r="I19" s="78">
        <f t="shared" si="11"/>
        <v>8069.3424000000005</v>
      </c>
      <c r="J19" s="78">
        <f t="shared" si="11"/>
        <v>8230.7292480000015</v>
      </c>
      <c r="K19" s="78">
        <f t="shared" si="11"/>
        <v>8395.3438329599994</v>
      </c>
      <c r="L19" s="78">
        <f t="shared" si="11"/>
        <v>8563.2507096192003</v>
      </c>
      <c r="M19" s="78">
        <f t="shared" si="11"/>
        <v>8734.5157238115844</v>
      </c>
      <c r="N19" s="78">
        <f t="shared" si="11"/>
        <v>8909.2060382878171</v>
      </c>
      <c r="O19" s="78">
        <f t="shared" si="11"/>
        <v>9087.3901590535716</v>
      </c>
      <c r="P19" s="78">
        <f t="shared" si="11"/>
        <v>9269.1379622346431</v>
      </c>
      <c r="Q19" s="78">
        <f t="shared" si="11"/>
        <v>9454.5207214793372</v>
      </c>
      <c r="R19" s="78">
        <f t="shared" si="11"/>
        <v>9643.6111359089246</v>
      </c>
      <c r="S19" s="78">
        <f t="shared" si="11"/>
        <v>9836.4833586271034</v>
      </c>
      <c r="T19" s="78">
        <f t="shared" si="11"/>
        <v>10033.213025799645</v>
      </c>
      <c r="U19" s="78">
        <f t="shared" si="11"/>
        <v>10233.877286315639</v>
      </c>
    </row>
    <row r="20" spans="2:21" x14ac:dyDescent="0.2">
      <c r="B20" s="84">
        <v>2024</v>
      </c>
      <c r="C20" s="85">
        <f t="shared" si="7"/>
        <v>0.02</v>
      </c>
      <c r="D20" s="24"/>
      <c r="E20" s="24"/>
      <c r="F20" s="78" t="s">
        <v>45</v>
      </c>
      <c r="G20" s="78">
        <f>(G13/$C$5*1000)</f>
        <v>5965.9999999999991</v>
      </c>
      <c r="H20" s="78">
        <f t="shared" ref="H20:U20" si="12">(H13/$C$5*1000)</f>
        <v>6085.32</v>
      </c>
      <c r="I20" s="78">
        <f t="shared" si="12"/>
        <v>6207.0263999999997</v>
      </c>
      <c r="J20" s="78">
        <f t="shared" si="12"/>
        <v>6331.1669279999996</v>
      </c>
      <c r="K20" s="78">
        <f t="shared" si="12"/>
        <v>6457.7902665600004</v>
      </c>
      <c r="L20" s="78">
        <f t="shared" si="12"/>
        <v>6586.9460718911987</v>
      </c>
      <c r="M20" s="78">
        <f t="shared" si="12"/>
        <v>6718.6849933290241</v>
      </c>
      <c r="N20" s="78">
        <f t="shared" si="12"/>
        <v>6853.0586931956032</v>
      </c>
      <c r="O20" s="78">
        <f t="shared" si="12"/>
        <v>6990.1198670595149</v>
      </c>
      <c r="P20" s="78">
        <f t="shared" si="12"/>
        <v>7129.9222644007059</v>
      </c>
      <c r="Q20" s="78">
        <f t="shared" si="12"/>
        <v>7272.5207096887216</v>
      </c>
      <c r="R20" s="78">
        <f t="shared" si="12"/>
        <v>7417.9711238824948</v>
      </c>
      <c r="S20" s="78">
        <f t="shared" si="12"/>
        <v>7566.3305463601455</v>
      </c>
      <c r="T20" s="78">
        <f t="shared" si="12"/>
        <v>7717.6571572873481</v>
      </c>
      <c r="U20" s="78">
        <f t="shared" si="12"/>
        <v>7872.0103004330967</v>
      </c>
    </row>
    <row r="21" spans="2:21" x14ac:dyDescent="0.2">
      <c r="B21" s="84">
        <v>2025</v>
      </c>
      <c r="C21" s="85">
        <f t="shared" si="7"/>
        <v>0.02</v>
      </c>
      <c r="D21" s="24"/>
      <c r="E21" s="24"/>
      <c r="F21" s="78" t="s">
        <v>46</v>
      </c>
      <c r="G21" s="78">
        <f>(G14/$C$6)*1000</f>
        <v>4773</v>
      </c>
      <c r="H21" s="78">
        <f t="shared" ref="H21:U21" si="13">(H14/$C$6)*1000</f>
        <v>4868.46</v>
      </c>
      <c r="I21" s="78">
        <f t="shared" si="13"/>
        <v>4965.8292000000001</v>
      </c>
      <c r="J21" s="78">
        <f t="shared" si="13"/>
        <v>5065.1457839999994</v>
      </c>
      <c r="K21" s="78">
        <f t="shared" si="13"/>
        <v>5166.4486996799997</v>
      </c>
      <c r="L21" s="78">
        <f t="shared" si="13"/>
        <v>5269.7776736735996</v>
      </c>
      <c r="M21" s="78">
        <f t="shared" si="13"/>
        <v>5375.1732271470719</v>
      </c>
      <c r="N21" s="78">
        <f t="shared" si="13"/>
        <v>5482.6766916900133</v>
      </c>
      <c r="O21" s="78">
        <f t="shared" si="13"/>
        <v>5592.3302255238123</v>
      </c>
      <c r="P21" s="78">
        <f t="shared" si="13"/>
        <v>5704.1768300342901</v>
      </c>
      <c r="Q21" s="78">
        <f t="shared" si="13"/>
        <v>5818.2603666349751</v>
      </c>
      <c r="R21" s="78">
        <f t="shared" si="13"/>
        <v>5934.6255739676753</v>
      </c>
      <c r="S21" s="78">
        <f t="shared" si="13"/>
        <v>6053.3180854470293</v>
      </c>
      <c r="T21" s="78">
        <f t="shared" si="13"/>
        <v>6174.3844471559696</v>
      </c>
      <c r="U21" s="78">
        <f t="shared" si="13"/>
        <v>6297.8721360990894</v>
      </c>
    </row>
    <row r="22" spans="2:21" x14ac:dyDescent="0.2">
      <c r="B22" s="84">
        <v>2026</v>
      </c>
      <c r="C22" s="85">
        <f t="shared" si="7"/>
        <v>0.02</v>
      </c>
      <c r="D22" s="24"/>
      <c r="E22" s="24"/>
      <c r="F22" s="100" t="s">
        <v>147</v>
      </c>
      <c r="G22" s="83">
        <f>SUM(G19:G21)</f>
        <v>18495</v>
      </c>
      <c r="H22" s="83">
        <f t="shared" ref="H22:U22" si="14">SUM(H19:H21)</f>
        <v>18864.900000000001</v>
      </c>
      <c r="I22" s="83">
        <f t="shared" si="14"/>
        <v>19242.198</v>
      </c>
      <c r="J22" s="83">
        <f t="shared" si="14"/>
        <v>19627.041960000002</v>
      </c>
      <c r="K22" s="83">
        <f t="shared" si="14"/>
        <v>20019.582799200001</v>
      </c>
      <c r="L22" s="83">
        <f t="shared" si="14"/>
        <v>20419.974455183998</v>
      </c>
      <c r="M22" s="83">
        <f t="shared" si="14"/>
        <v>20828.373944287679</v>
      </c>
      <c r="N22" s="83">
        <f t="shared" si="14"/>
        <v>21244.941423173434</v>
      </c>
      <c r="O22" s="83">
        <f t="shared" si="14"/>
        <v>21669.840251636899</v>
      </c>
      <c r="P22" s="83">
        <f t="shared" si="14"/>
        <v>22103.237056669641</v>
      </c>
      <c r="Q22" s="83">
        <f t="shared" si="14"/>
        <v>22545.301797803033</v>
      </c>
      <c r="R22" s="83">
        <f t="shared" si="14"/>
        <v>22996.207833759094</v>
      </c>
      <c r="S22" s="83">
        <f t="shared" si="14"/>
        <v>23456.131990434278</v>
      </c>
      <c r="T22" s="83">
        <f t="shared" si="14"/>
        <v>23925.254630242962</v>
      </c>
      <c r="U22" s="83">
        <f t="shared" si="14"/>
        <v>24403.759722847826</v>
      </c>
    </row>
    <row r="23" spans="2:21" x14ac:dyDescent="0.2">
      <c r="B23" s="84">
        <v>2027</v>
      </c>
      <c r="C23" s="85">
        <f t="shared" si="7"/>
        <v>0.02</v>
      </c>
      <c r="D23" s="24"/>
      <c r="E23" s="24"/>
    </row>
    <row r="24" spans="2:21" x14ac:dyDescent="0.2">
      <c r="B24" s="84">
        <v>2028</v>
      </c>
      <c r="C24" s="85">
        <f t="shared" si="7"/>
        <v>0.02</v>
      </c>
      <c r="D24" s="24"/>
      <c r="E24" s="24"/>
    </row>
    <row r="25" spans="2:21" x14ac:dyDescent="0.2">
      <c r="B25" s="84">
        <v>2029</v>
      </c>
      <c r="C25" s="85">
        <f t="shared" si="7"/>
        <v>0.02</v>
      </c>
      <c r="D25" s="24"/>
      <c r="E25" s="24"/>
    </row>
    <row r="26" spans="2:21" x14ac:dyDescent="0.2">
      <c r="B26" s="84">
        <v>2030</v>
      </c>
      <c r="C26" s="86"/>
      <c r="D26" s="24"/>
      <c r="E26" s="24"/>
    </row>
    <row r="27" spans="2:21" x14ac:dyDescent="0.2">
      <c r="B27" s="94"/>
      <c r="E27" s="93"/>
    </row>
  </sheetData>
  <mergeCells count="4">
    <mergeCell ref="F10:U10"/>
    <mergeCell ref="F17:U17"/>
    <mergeCell ref="G2:H2"/>
    <mergeCell ref="J2:K2"/>
  </mergeCells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workbookViewId="0">
      <selection activeCell="E26" sqref="E26"/>
    </sheetView>
  </sheetViews>
  <sheetFormatPr baseColWidth="10" defaultRowHeight="12.75" x14ac:dyDescent="0.2"/>
  <sheetData>
    <row r="4" spans="2:3" x14ac:dyDescent="0.2">
      <c r="B4" s="1" t="s">
        <v>41</v>
      </c>
    </row>
    <row r="6" spans="2:3" x14ac:dyDescent="0.2">
      <c r="C6" s="21" t="s">
        <v>87</v>
      </c>
    </row>
    <row r="7" spans="2:3" x14ac:dyDescent="0.2">
      <c r="B7" t="s">
        <v>15</v>
      </c>
      <c r="C7" s="7">
        <v>2.5</v>
      </c>
    </row>
    <row r="8" spans="2:3" x14ac:dyDescent="0.2">
      <c r="B8" t="s">
        <v>42</v>
      </c>
      <c r="C8" s="7">
        <v>13</v>
      </c>
    </row>
    <row r="9" spans="2:3" x14ac:dyDescent="0.2">
      <c r="B9" t="s">
        <v>43</v>
      </c>
      <c r="C9" s="7">
        <v>8</v>
      </c>
    </row>
    <row r="11" spans="2:3" x14ac:dyDescent="0.2">
      <c r="B11" s="24" t="s">
        <v>100</v>
      </c>
    </row>
  </sheetData>
  <phoneticPr fontId="3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topLeftCell="B1" zoomScale="96" workbookViewId="0">
      <selection activeCell="C6" sqref="C6"/>
    </sheetView>
  </sheetViews>
  <sheetFormatPr baseColWidth="10" defaultRowHeight="12.75" x14ac:dyDescent="0.2"/>
  <cols>
    <col min="2" max="2" width="63.28515625" bestFit="1" customWidth="1"/>
  </cols>
  <sheetData>
    <row r="2" spans="2:11" x14ac:dyDescent="0.2">
      <c r="B2" s="14" t="s">
        <v>102</v>
      </c>
    </row>
    <row r="3" spans="2:11" x14ac:dyDescent="0.2">
      <c r="B3" s="14" t="s">
        <v>103</v>
      </c>
    </row>
    <row r="4" spans="2:11" ht="15.75" x14ac:dyDescent="0.3">
      <c r="B4" s="11"/>
      <c r="C4" s="15" t="s">
        <v>50</v>
      </c>
      <c r="D4" s="15" t="s">
        <v>51</v>
      </c>
      <c r="E4" s="15" t="s">
        <v>69</v>
      </c>
      <c r="F4" s="32" t="s">
        <v>132</v>
      </c>
    </row>
    <row r="5" spans="2:11" x14ac:dyDescent="0.2">
      <c r="B5" s="12"/>
      <c r="C5" s="25" t="s">
        <v>104</v>
      </c>
      <c r="D5" s="25" t="s">
        <v>104</v>
      </c>
      <c r="E5" s="25" t="s">
        <v>104</v>
      </c>
      <c r="F5" s="25" t="s">
        <v>104</v>
      </c>
    </row>
    <row r="6" spans="2:11" x14ac:dyDescent="0.2">
      <c r="B6" t="s">
        <v>21</v>
      </c>
      <c r="C6" s="29">
        <v>526.84727859553038</v>
      </c>
      <c r="D6" s="29">
        <v>210.73891143821214</v>
      </c>
      <c r="E6" s="29">
        <v>105.36945571910607</v>
      </c>
      <c r="F6" s="29">
        <v>50</v>
      </c>
      <c r="I6" s="29"/>
      <c r="J6" s="29"/>
      <c r="K6" s="29"/>
    </row>
    <row r="7" spans="2:11" x14ac:dyDescent="0.2">
      <c r="B7" t="s">
        <v>22</v>
      </c>
      <c r="C7" s="29">
        <v>526.84727859553038</v>
      </c>
      <c r="D7" s="29">
        <v>210.73891143821214</v>
      </c>
      <c r="E7" s="29">
        <v>105.36945571910607</v>
      </c>
      <c r="F7" s="29">
        <v>50</v>
      </c>
      <c r="I7" s="29"/>
      <c r="J7" s="29"/>
      <c r="K7" s="29"/>
    </row>
    <row r="8" spans="2:11" x14ac:dyDescent="0.2">
      <c r="B8" t="s">
        <v>16</v>
      </c>
      <c r="C8" s="29">
        <v>526.84727859553038</v>
      </c>
      <c r="D8" s="29">
        <v>210.73891143821214</v>
      </c>
      <c r="E8" s="29">
        <v>105.36945571910607</v>
      </c>
      <c r="F8" s="29">
        <v>50</v>
      </c>
      <c r="I8" s="29"/>
      <c r="J8" s="29"/>
      <c r="K8" s="29"/>
    </row>
    <row r="9" spans="2:11" x14ac:dyDescent="0.2">
      <c r="B9" t="s">
        <v>24</v>
      </c>
      <c r="C9" s="29">
        <v>526.84727859553038</v>
      </c>
      <c r="D9" s="29">
        <v>210.73891143821214</v>
      </c>
      <c r="E9" s="29">
        <v>105.36945571910607</v>
      </c>
      <c r="F9" s="29">
        <v>50</v>
      </c>
      <c r="I9" s="29"/>
      <c r="J9" s="29"/>
      <c r="K9" s="29"/>
    </row>
    <row r="10" spans="2:11" x14ac:dyDescent="0.2">
      <c r="B10" t="s">
        <v>23</v>
      </c>
      <c r="C10" s="6">
        <v>3161.0836715731821</v>
      </c>
      <c r="D10" s="29">
        <v>1580.541835786591</v>
      </c>
      <c r="E10" s="29">
        <v>2107.3891143821215</v>
      </c>
      <c r="F10" s="29">
        <v>50</v>
      </c>
      <c r="I10" s="6"/>
      <c r="J10" s="29"/>
      <c r="K10" s="29"/>
    </row>
    <row r="11" spans="2:11" x14ac:dyDescent="0.2">
      <c r="B11" t="s">
        <v>17</v>
      </c>
      <c r="C11" s="6">
        <v>3161.0836715731821</v>
      </c>
      <c r="D11" s="29">
        <v>1580.541835786591</v>
      </c>
      <c r="E11" s="29">
        <v>2107.3891143821215</v>
      </c>
      <c r="F11" s="29">
        <v>50</v>
      </c>
      <c r="I11" s="6"/>
      <c r="J11" s="29"/>
      <c r="K11" s="29"/>
    </row>
    <row r="12" spans="2:11" x14ac:dyDescent="0.2">
      <c r="B12" t="s">
        <v>25</v>
      </c>
      <c r="C12" s="6">
        <v>3161.0836715731821</v>
      </c>
      <c r="D12" s="29">
        <v>1580.541835786591</v>
      </c>
      <c r="E12" s="29">
        <v>2107.3891143821215</v>
      </c>
      <c r="F12" s="29">
        <v>50</v>
      </c>
      <c r="I12" s="6"/>
      <c r="J12" s="29"/>
      <c r="K12" s="29"/>
    </row>
    <row r="13" spans="2:11" x14ac:dyDescent="0.2">
      <c r="B13" t="s">
        <v>26</v>
      </c>
      <c r="C13" s="6">
        <v>3161.0836715731821</v>
      </c>
      <c r="D13" s="29">
        <v>1580.541835786591</v>
      </c>
      <c r="E13" s="29">
        <v>2107.3891143821215</v>
      </c>
      <c r="F13" s="29">
        <v>50</v>
      </c>
      <c r="I13" s="6"/>
      <c r="J13" s="29"/>
      <c r="K13" s="29"/>
    </row>
    <row r="14" spans="2:11" x14ac:dyDescent="0.2">
      <c r="B14" t="s">
        <v>13</v>
      </c>
      <c r="C14" s="29">
        <v>526.84727859553038</v>
      </c>
      <c r="D14" s="29">
        <v>210.73891143821214</v>
      </c>
      <c r="E14" s="29">
        <v>105.36945571910607</v>
      </c>
      <c r="F14" s="29">
        <v>50</v>
      </c>
      <c r="I14" s="29"/>
      <c r="J14" s="29"/>
      <c r="K14" s="29"/>
    </row>
    <row r="15" spans="2:11" x14ac:dyDescent="0.2">
      <c r="B15" t="s">
        <v>18</v>
      </c>
      <c r="C15" s="6">
        <v>3161.0836715731821</v>
      </c>
      <c r="D15" s="29">
        <v>1580.541835786591</v>
      </c>
      <c r="E15" s="29">
        <v>2107.3891143821215</v>
      </c>
      <c r="F15" s="29">
        <v>50</v>
      </c>
      <c r="I15" s="6"/>
      <c r="J15" s="29"/>
      <c r="K15" s="29"/>
    </row>
    <row r="16" spans="2:11" x14ac:dyDescent="0.2">
      <c r="B16" t="s">
        <v>14</v>
      </c>
      <c r="C16" s="29">
        <v>526.84727859553038</v>
      </c>
      <c r="D16" s="29">
        <v>210.73891143821214</v>
      </c>
      <c r="E16" s="29">
        <v>105.36945571910607</v>
      </c>
      <c r="F16" s="29">
        <v>50</v>
      </c>
      <c r="I16" s="29"/>
      <c r="J16" s="29"/>
      <c r="K16" s="29"/>
    </row>
    <row r="17" spans="2:11" x14ac:dyDescent="0.2">
      <c r="B17" t="s">
        <v>27</v>
      </c>
      <c r="C17" s="29">
        <v>526.84727859553038</v>
      </c>
      <c r="D17" s="29">
        <v>210.73891143821214</v>
      </c>
      <c r="E17" s="29">
        <v>105.36945571910607</v>
      </c>
      <c r="F17" s="29">
        <v>50</v>
      </c>
      <c r="I17" s="29"/>
      <c r="J17" s="29"/>
      <c r="K17" s="29"/>
    </row>
    <row r="18" spans="2:11" x14ac:dyDescent="0.2">
      <c r="B18" t="s">
        <v>28</v>
      </c>
      <c r="C18" s="29">
        <v>526.84727859553038</v>
      </c>
      <c r="D18" s="29">
        <v>210.73891143821214</v>
      </c>
      <c r="E18" s="29">
        <v>105.36945571910607</v>
      </c>
      <c r="F18" s="29">
        <v>50</v>
      </c>
      <c r="I18" s="29"/>
      <c r="J18" s="29"/>
      <c r="K18" s="29"/>
    </row>
    <row r="19" spans="2:11" x14ac:dyDescent="0.2">
      <c r="B19" s="11"/>
    </row>
    <row r="20" spans="2:11" x14ac:dyDescent="0.2">
      <c r="B20" s="11"/>
    </row>
    <row r="21" spans="2:11" x14ac:dyDescent="0.2">
      <c r="B21" s="26" t="s">
        <v>105</v>
      </c>
    </row>
    <row r="22" spans="2:11" x14ac:dyDescent="0.2">
      <c r="B22" s="26" t="s">
        <v>106</v>
      </c>
    </row>
    <row r="23" spans="2:11" x14ac:dyDescent="0.2">
      <c r="B23" s="11"/>
    </row>
    <row r="24" spans="2:11" x14ac:dyDescent="0.2">
      <c r="B24" s="11"/>
    </row>
    <row r="25" spans="2:11" x14ac:dyDescent="0.2">
      <c r="B25" s="24" t="s">
        <v>100</v>
      </c>
    </row>
    <row r="26" spans="2:11" x14ac:dyDescent="0.2">
      <c r="B26" s="11"/>
    </row>
    <row r="27" spans="2:11" x14ac:dyDescent="0.2">
      <c r="B27" s="11"/>
    </row>
    <row r="28" spans="2:11" x14ac:dyDescent="0.2">
      <c r="B28" s="11"/>
    </row>
    <row r="29" spans="2:11" x14ac:dyDescent="0.2">
      <c r="B29" s="11"/>
    </row>
    <row r="30" spans="2:11" x14ac:dyDescent="0.2">
      <c r="B30" s="11"/>
    </row>
    <row r="31" spans="2:11" x14ac:dyDescent="0.2">
      <c r="B31" s="11"/>
    </row>
    <row r="32" spans="2:11" x14ac:dyDescent="0.2">
      <c r="B32" s="11"/>
    </row>
    <row r="33" spans="2:2" x14ac:dyDescent="0.2">
      <c r="B33" s="11"/>
    </row>
    <row r="34" spans="2:2" x14ac:dyDescent="0.2">
      <c r="B34" s="11"/>
    </row>
    <row r="35" spans="2:2" x14ac:dyDescent="0.2">
      <c r="B35" s="11"/>
    </row>
    <row r="36" spans="2:2" x14ac:dyDescent="0.2">
      <c r="B36" s="11"/>
    </row>
    <row r="37" spans="2:2" x14ac:dyDescent="0.2">
      <c r="B37" s="11"/>
    </row>
    <row r="38" spans="2:2" x14ac:dyDescent="0.2">
      <c r="B38" s="11"/>
    </row>
    <row r="39" spans="2:2" x14ac:dyDescent="0.2">
      <c r="B39" s="11"/>
    </row>
    <row r="40" spans="2:2" x14ac:dyDescent="0.2">
      <c r="B40" s="11"/>
    </row>
    <row r="41" spans="2:2" x14ac:dyDescent="0.2">
      <c r="B41" s="11"/>
    </row>
    <row r="42" spans="2:2" x14ac:dyDescent="0.2">
      <c r="B42" s="11"/>
    </row>
    <row r="43" spans="2:2" x14ac:dyDescent="0.2">
      <c r="B43" s="11"/>
    </row>
    <row r="44" spans="2:2" x14ac:dyDescent="0.2">
      <c r="B44" s="11"/>
    </row>
    <row r="45" spans="2:2" x14ac:dyDescent="0.2">
      <c r="B45" s="11"/>
    </row>
    <row r="46" spans="2:2" x14ac:dyDescent="0.2">
      <c r="B46" s="11"/>
    </row>
    <row r="47" spans="2:2" x14ac:dyDescent="0.2">
      <c r="B47" s="11"/>
    </row>
    <row r="48" spans="2:2" x14ac:dyDescent="0.2">
      <c r="B48" s="11"/>
    </row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54" spans="2:2" x14ac:dyDescent="0.2">
      <c r="B54" s="11"/>
    </row>
    <row r="55" spans="2:2" x14ac:dyDescent="0.2">
      <c r="B55" s="11"/>
    </row>
    <row r="56" spans="2:2" x14ac:dyDescent="0.2">
      <c r="B56" s="11"/>
    </row>
    <row r="57" spans="2:2" x14ac:dyDescent="0.2">
      <c r="B57" s="11"/>
    </row>
    <row r="58" spans="2:2" x14ac:dyDescent="0.2">
      <c r="B58" s="11"/>
    </row>
    <row r="59" spans="2:2" x14ac:dyDescent="0.2">
      <c r="B59" s="11"/>
    </row>
    <row r="60" spans="2:2" x14ac:dyDescent="0.2">
      <c r="B60" s="11"/>
    </row>
    <row r="61" spans="2:2" x14ac:dyDescent="0.2">
      <c r="B61" s="11"/>
    </row>
    <row r="62" spans="2:2" x14ac:dyDescent="0.2">
      <c r="B62" s="11"/>
    </row>
    <row r="63" spans="2:2" x14ac:dyDescent="0.2">
      <c r="B63" s="11"/>
    </row>
    <row r="64" spans="2:2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66"/>
  <sheetViews>
    <sheetView topLeftCell="A13" zoomScale="94" zoomScaleNormal="85" workbookViewId="0">
      <selection activeCell="C34" sqref="C34:E34"/>
    </sheetView>
  </sheetViews>
  <sheetFormatPr baseColWidth="10" defaultRowHeight="12.75" x14ac:dyDescent="0.2"/>
  <cols>
    <col min="3" max="4" width="11" bestFit="1" customWidth="1"/>
    <col min="5" max="5" width="15.42578125" bestFit="1" customWidth="1"/>
    <col min="13" max="16" width="11.42578125" style="134"/>
    <col min="17" max="19" width="12.5703125" style="134" customWidth="1"/>
    <col min="20" max="20" width="22.28515625" style="134" customWidth="1"/>
    <col min="21" max="23" width="11.42578125" style="134"/>
    <col min="24" max="24" width="18.140625" style="134" customWidth="1"/>
  </cols>
  <sheetData>
    <row r="2" spans="2:24" ht="25.5" x14ac:dyDescent="0.2">
      <c r="B2" s="1" t="s">
        <v>107</v>
      </c>
      <c r="L2" s="24"/>
      <c r="M2" s="135" t="s">
        <v>161</v>
      </c>
      <c r="N2" s="137" t="s">
        <v>153</v>
      </c>
      <c r="O2" s="137" t="s">
        <v>154</v>
      </c>
      <c r="P2" s="137" t="s">
        <v>155</v>
      </c>
      <c r="Q2" s="137" t="s">
        <v>162</v>
      </c>
      <c r="R2" s="137" t="s">
        <v>163</v>
      </c>
      <c r="S2" s="137" t="s">
        <v>164</v>
      </c>
      <c r="T2" s="138" t="s">
        <v>159</v>
      </c>
      <c r="U2" s="137" t="s">
        <v>160</v>
      </c>
      <c r="V2" s="136" t="s">
        <v>156</v>
      </c>
      <c r="W2" s="136" t="s">
        <v>157</v>
      </c>
      <c r="X2" s="136" t="s">
        <v>158</v>
      </c>
    </row>
    <row r="3" spans="2:24" ht="14.25" x14ac:dyDescent="0.2">
      <c r="C3" s="3" t="s">
        <v>108</v>
      </c>
      <c r="D3" s="30" t="s">
        <v>128</v>
      </c>
      <c r="E3" s="24" t="s">
        <v>129</v>
      </c>
      <c r="F3" s="125" t="s">
        <v>138</v>
      </c>
      <c r="M3" s="139">
        <v>1</v>
      </c>
      <c r="N3" s="140" t="s">
        <v>109</v>
      </c>
      <c r="O3" s="140"/>
      <c r="P3" s="140"/>
      <c r="Q3" s="140">
        <v>0</v>
      </c>
      <c r="R3" s="140">
        <v>0.7</v>
      </c>
      <c r="S3" s="140">
        <v>0</v>
      </c>
      <c r="T3" s="141">
        <v>1.5</v>
      </c>
      <c r="U3" s="140">
        <v>4.3592299299999997</v>
      </c>
      <c r="V3" s="140">
        <v>4.359229934</v>
      </c>
      <c r="W3" s="140"/>
      <c r="X3" s="140"/>
    </row>
    <row r="4" spans="2:24" x14ac:dyDescent="0.2">
      <c r="B4" s="4"/>
      <c r="C4" s="5" t="s">
        <v>11</v>
      </c>
      <c r="D4" s="27" t="s">
        <v>127</v>
      </c>
      <c r="E4" s="25" t="s">
        <v>10</v>
      </c>
      <c r="F4" s="25" t="s">
        <v>127</v>
      </c>
      <c r="G4" s="3"/>
      <c r="H4" s="3"/>
      <c r="I4" s="3"/>
      <c r="J4" s="3"/>
      <c r="M4" s="139">
        <v>2</v>
      </c>
      <c r="N4" s="140" t="s">
        <v>110</v>
      </c>
      <c r="O4" s="140"/>
      <c r="P4" s="140"/>
      <c r="Q4" s="140">
        <v>0</v>
      </c>
      <c r="R4" s="140">
        <v>0.9</v>
      </c>
      <c r="S4" s="140">
        <v>0</v>
      </c>
      <c r="T4" s="141">
        <v>2</v>
      </c>
      <c r="U4" s="140">
        <v>4.4710050600000004</v>
      </c>
      <c r="V4" s="140">
        <v>4.4710050609999996</v>
      </c>
      <c r="W4" s="140"/>
      <c r="X4" s="140"/>
    </row>
    <row r="5" spans="2:24" x14ac:dyDescent="0.2">
      <c r="B5" t="s">
        <v>109</v>
      </c>
      <c r="C5" s="8">
        <v>0.7</v>
      </c>
      <c r="D5" s="29">
        <v>41.094087730451371</v>
      </c>
      <c r="E5" s="2">
        <v>1.5</v>
      </c>
      <c r="F5" s="124">
        <f>-PMT(10%,30,D5)</f>
        <v>4.3592299340740688</v>
      </c>
      <c r="G5" s="3"/>
      <c r="H5" s="3"/>
      <c r="I5" s="146"/>
      <c r="J5" s="29"/>
      <c r="K5" s="6"/>
      <c r="L5" s="6"/>
      <c r="M5" s="139">
        <v>3</v>
      </c>
      <c r="N5" s="140" t="s">
        <v>111</v>
      </c>
      <c r="O5" s="140"/>
      <c r="P5" s="140"/>
      <c r="Q5" s="140">
        <v>0</v>
      </c>
      <c r="R5" s="140">
        <v>0.95</v>
      </c>
      <c r="S5" s="140">
        <v>0</v>
      </c>
      <c r="T5" s="141">
        <v>2</v>
      </c>
      <c r="U5" s="140">
        <v>6.7065075900000002</v>
      </c>
      <c r="V5" s="140">
        <v>6.7065075910000003</v>
      </c>
      <c r="W5" s="140"/>
      <c r="X5" s="140"/>
    </row>
    <row r="6" spans="2:24" x14ac:dyDescent="0.2">
      <c r="B6" t="s">
        <v>110</v>
      </c>
      <c r="C6" s="8">
        <v>0.9</v>
      </c>
      <c r="D6" s="29">
        <v>42.147782287642428</v>
      </c>
      <c r="E6" s="2">
        <v>2</v>
      </c>
      <c r="F6" s="124">
        <f t="shared" ref="F6:F7" si="0">-PMT(10%,30,D6)</f>
        <v>4.4710050605887881</v>
      </c>
      <c r="G6" s="3"/>
      <c r="H6" s="123"/>
      <c r="I6" s="3"/>
      <c r="J6" s="3"/>
      <c r="M6" s="139">
        <v>4</v>
      </c>
      <c r="N6" s="140" t="s">
        <v>113</v>
      </c>
      <c r="O6" s="140"/>
      <c r="P6" s="140"/>
      <c r="Q6" s="140">
        <v>0.9</v>
      </c>
      <c r="R6" s="140">
        <v>0</v>
      </c>
      <c r="S6" s="140">
        <v>0</v>
      </c>
      <c r="T6" s="141">
        <v>1.5</v>
      </c>
      <c r="U6" s="140">
        <v>12.29526392</v>
      </c>
      <c r="V6" s="140">
        <v>12.29526392</v>
      </c>
      <c r="W6" s="140"/>
      <c r="X6" s="140"/>
    </row>
    <row r="7" spans="2:24" x14ac:dyDescent="0.2">
      <c r="B7" t="s">
        <v>111</v>
      </c>
      <c r="C7" s="8">
        <v>0.95</v>
      </c>
      <c r="D7" s="29">
        <v>63.221673431463643</v>
      </c>
      <c r="E7" s="2">
        <v>2</v>
      </c>
      <c r="F7" s="124">
        <f t="shared" si="0"/>
        <v>6.7065075908831817</v>
      </c>
      <c r="G7" s="3"/>
      <c r="H7" s="3"/>
      <c r="I7" s="3"/>
      <c r="J7" s="3"/>
      <c r="M7" s="139">
        <v>5</v>
      </c>
      <c r="N7" s="140" t="s">
        <v>114</v>
      </c>
      <c r="O7" s="140"/>
      <c r="P7" s="140"/>
      <c r="Q7" s="140">
        <v>0.98</v>
      </c>
      <c r="R7" s="140">
        <v>0</v>
      </c>
      <c r="S7" s="140">
        <v>0</v>
      </c>
      <c r="T7" s="141">
        <v>2</v>
      </c>
      <c r="U7" s="140">
        <v>16.76626898</v>
      </c>
      <c r="V7" s="140">
        <v>16.76626898</v>
      </c>
      <c r="W7" s="140"/>
      <c r="X7" s="140"/>
    </row>
    <row r="8" spans="2:24" x14ac:dyDescent="0.2">
      <c r="D8" s="6"/>
      <c r="E8" s="3"/>
      <c r="F8" s="3"/>
      <c r="G8" s="3"/>
      <c r="H8" s="123"/>
      <c r="I8" s="3"/>
      <c r="J8" s="24"/>
      <c r="M8" s="139">
        <v>6</v>
      </c>
      <c r="N8" s="140" t="s">
        <v>115</v>
      </c>
      <c r="O8" s="140"/>
      <c r="P8" s="140"/>
      <c r="Q8" s="140">
        <v>0.99</v>
      </c>
      <c r="R8" s="140">
        <v>0</v>
      </c>
      <c r="S8" s="140">
        <v>0</v>
      </c>
      <c r="T8" s="141">
        <v>2</v>
      </c>
      <c r="U8" s="140">
        <v>29.061532889999999</v>
      </c>
      <c r="V8" s="140">
        <v>29.061532889999999</v>
      </c>
      <c r="W8" s="140"/>
      <c r="X8" s="140"/>
    </row>
    <row r="9" spans="2:24" x14ac:dyDescent="0.2">
      <c r="B9" s="1" t="s">
        <v>112</v>
      </c>
      <c r="D9" s="6"/>
      <c r="E9" s="3"/>
      <c r="F9" s="3"/>
      <c r="G9" s="3"/>
      <c r="H9" s="123"/>
      <c r="I9" s="127"/>
      <c r="J9" s="24"/>
      <c r="M9" s="139">
        <v>7</v>
      </c>
      <c r="N9" s="140" t="s">
        <v>117</v>
      </c>
      <c r="O9" s="140"/>
      <c r="P9" s="140"/>
      <c r="Q9" s="140">
        <v>0</v>
      </c>
      <c r="R9" s="140">
        <v>0</v>
      </c>
      <c r="S9" s="140">
        <v>0.6</v>
      </c>
      <c r="T9" s="141">
        <v>1.5</v>
      </c>
      <c r="U9" s="140">
        <v>22.355025300000001</v>
      </c>
      <c r="V9" s="140">
        <v>22.355025300000001</v>
      </c>
      <c r="W9" s="140"/>
      <c r="X9" s="140"/>
    </row>
    <row r="10" spans="2:24" ht="14.25" x14ac:dyDescent="0.2">
      <c r="C10" s="3" t="s">
        <v>108</v>
      </c>
      <c r="D10" s="30" t="s">
        <v>128</v>
      </c>
      <c r="E10" s="24" t="s">
        <v>129</v>
      </c>
      <c r="F10" s="125" t="s">
        <v>138</v>
      </c>
      <c r="G10" s="3"/>
      <c r="H10" s="123"/>
      <c r="I10" s="123"/>
      <c r="M10" s="139">
        <v>8</v>
      </c>
      <c r="N10" s="140" t="s">
        <v>118</v>
      </c>
      <c r="O10" s="140"/>
      <c r="P10" s="140"/>
      <c r="Q10" s="140">
        <v>0</v>
      </c>
      <c r="R10" s="140">
        <v>0</v>
      </c>
      <c r="S10" s="140">
        <v>0.9</v>
      </c>
      <c r="T10" s="141">
        <v>2</v>
      </c>
      <c r="U10" s="140">
        <v>27.94378163</v>
      </c>
      <c r="V10" s="140">
        <v>27.94378163</v>
      </c>
      <c r="W10" s="140"/>
      <c r="X10" s="140"/>
    </row>
    <row r="11" spans="2:24" x14ac:dyDescent="0.2">
      <c r="B11" s="4"/>
      <c r="C11" s="5" t="s">
        <v>11</v>
      </c>
      <c r="D11" s="31" t="s">
        <v>127</v>
      </c>
      <c r="E11" s="25" t="s">
        <v>10</v>
      </c>
      <c r="F11" s="25" t="s">
        <v>127</v>
      </c>
      <c r="G11" s="3"/>
      <c r="H11" s="3"/>
      <c r="I11" s="123"/>
      <c r="M11" s="139">
        <v>9</v>
      </c>
      <c r="N11" s="140" t="s">
        <v>119</v>
      </c>
      <c r="O11" s="140"/>
      <c r="P11" s="140"/>
      <c r="Q11" s="140">
        <v>0</v>
      </c>
      <c r="R11" s="140">
        <v>0</v>
      </c>
      <c r="S11" s="140">
        <v>0.95</v>
      </c>
      <c r="T11" s="141">
        <v>2</v>
      </c>
      <c r="U11" s="140">
        <v>33.532537949999998</v>
      </c>
      <c r="V11" s="140">
        <v>33.532537949999998</v>
      </c>
      <c r="W11" s="140"/>
      <c r="X11" s="140"/>
    </row>
    <row r="12" spans="2:24" x14ac:dyDescent="0.2">
      <c r="B12" t="s">
        <v>113</v>
      </c>
      <c r="C12" s="8">
        <v>0.9</v>
      </c>
      <c r="D12" s="29">
        <v>115.90640129101668</v>
      </c>
      <c r="E12" s="2">
        <v>1.5</v>
      </c>
      <c r="F12" s="124">
        <f>-PMT(10%,30,D12)</f>
        <v>12.295263916619167</v>
      </c>
      <c r="G12" s="3"/>
      <c r="H12" s="123"/>
      <c r="I12" s="24"/>
      <c r="J12" s="3"/>
      <c r="M12" s="139">
        <v>10</v>
      </c>
      <c r="N12" s="140" t="s">
        <v>109</v>
      </c>
      <c r="O12" s="140" t="s">
        <v>113</v>
      </c>
      <c r="P12" s="140"/>
      <c r="Q12" s="140">
        <v>0.9</v>
      </c>
      <c r="R12" s="140">
        <v>0.7</v>
      </c>
      <c r="S12" s="140">
        <v>0</v>
      </c>
      <c r="T12" s="141">
        <v>3</v>
      </c>
      <c r="U12" s="140">
        <v>16.654493850000001</v>
      </c>
      <c r="V12" s="140">
        <v>4.359229934</v>
      </c>
      <c r="W12" s="140">
        <v>12.29526392</v>
      </c>
      <c r="X12" s="140"/>
    </row>
    <row r="13" spans="2:24" x14ac:dyDescent="0.2">
      <c r="B13" t="s">
        <v>114</v>
      </c>
      <c r="C13" s="8">
        <v>0.98</v>
      </c>
      <c r="D13" s="29">
        <v>158.05418357865912</v>
      </c>
      <c r="E13" s="2">
        <v>2</v>
      </c>
      <c r="F13" s="124">
        <f t="shared" ref="F13:F14" si="1">-PMT(10%,30,D13)</f>
        <v>16.766268977207954</v>
      </c>
      <c r="G13" s="3"/>
      <c r="H13" s="123"/>
      <c r="I13" s="24"/>
      <c r="J13" s="3"/>
      <c r="M13" s="139">
        <v>11</v>
      </c>
      <c r="N13" s="140" t="s">
        <v>109</v>
      </c>
      <c r="O13" s="140" t="s">
        <v>114</v>
      </c>
      <c r="P13" s="140"/>
      <c r="Q13" s="140">
        <v>0.98</v>
      </c>
      <c r="R13" s="140">
        <v>0.7</v>
      </c>
      <c r="S13" s="140">
        <v>0</v>
      </c>
      <c r="T13" s="141">
        <v>3.5</v>
      </c>
      <c r="U13" s="140">
        <v>21.125498910000001</v>
      </c>
      <c r="V13" s="140">
        <v>4.359229934</v>
      </c>
      <c r="W13" s="140">
        <v>16.76626898</v>
      </c>
      <c r="X13" s="140"/>
    </row>
    <row r="14" spans="2:24" x14ac:dyDescent="0.2">
      <c r="B14" t="s">
        <v>115</v>
      </c>
      <c r="C14" s="8">
        <v>0.99</v>
      </c>
      <c r="D14" s="29">
        <v>273.96058486967581</v>
      </c>
      <c r="E14" s="2">
        <v>2</v>
      </c>
      <c r="F14" s="124">
        <f t="shared" si="1"/>
        <v>29.061532893827128</v>
      </c>
      <c r="G14" s="3"/>
      <c r="H14" s="3"/>
      <c r="J14" s="3"/>
      <c r="M14" s="139">
        <v>12</v>
      </c>
      <c r="N14" s="140" t="s">
        <v>109</v>
      </c>
      <c r="O14" s="140" t="s">
        <v>115</v>
      </c>
      <c r="P14" s="140"/>
      <c r="Q14" s="140">
        <v>0.99</v>
      </c>
      <c r="R14" s="140">
        <v>0.7</v>
      </c>
      <c r="S14" s="140">
        <v>0</v>
      </c>
      <c r="T14" s="141">
        <v>3.5</v>
      </c>
      <c r="U14" s="140">
        <v>33.420762830000001</v>
      </c>
      <c r="V14" s="140">
        <v>4.359229934</v>
      </c>
      <c r="W14" s="140">
        <v>29.061532889999999</v>
      </c>
      <c r="X14" s="140"/>
    </row>
    <row r="15" spans="2:24" x14ac:dyDescent="0.2">
      <c r="D15" s="6"/>
      <c r="E15" s="3"/>
      <c r="F15" s="3"/>
      <c r="G15" s="3"/>
      <c r="H15" s="3"/>
      <c r="M15" s="139">
        <v>13</v>
      </c>
      <c r="N15" s="140" t="s">
        <v>110</v>
      </c>
      <c r="O15" s="140" t="s">
        <v>113</v>
      </c>
      <c r="P15" s="140"/>
      <c r="Q15" s="140">
        <v>0.9</v>
      </c>
      <c r="R15" s="140">
        <v>0.9</v>
      </c>
      <c r="S15" s="140">
        <v>0</v>
      </c>
      <c r="T15" s="141">
        <v>3.5</v>
      </c>
      <c r="U15" s="140">
        <v>16.76626898</v>
      </c>
      <c r="V15" s="140">
        <v>4.4710050609999996</v>
      </c>
      <c r="W15" s="140">
        <v>12.29526392</v>
      </c>
      <c r="X15" s="140"/>
    </row>
    <row r="16" spans="2:24" x14ac:dyDescent="0.2">
      <c r="B16" s="1" t="s">
        <v>116</v>
      </c>
      <c r="D16" s="6"/>
      <c r="E16" s="3"/>
      <c r="F16" s="3"/>
      <c r="G16" s="3"/>
      <c r="H16" s="3"/>
      <c r="M16" s="139">
        <v>14</v>
      </c>
      <c r="N16" s="140" t="s">
        <v>110</v>
      </c>
      <c r="O16" s="140" t="s">
        <v>114</v>
      </c>
      <c r="P16" s="140"/>
      <c r="Q16" s="140">
        <v>0.98</v>
      </c>
      <c r="R16" s="140">
        <v>0.9</v>
      </c>
      <c r="S16" s="140">
        <v>0</v>
      </c>
      <c r="T16" s="141">
        <v>4</v>
      </c>
      <c r="U16" s="140">
        <v>21.237274039999999</v>
      </c>
      <c r="V16" s="140">
        <v>4.4710050609999996</v>
      </c>
      <c r="W16" s="140">
        <v>16.76626898</v>
      </c>
      <c r="X16" s="140"/>
    </row>
    <row r="17" spans="2:24" ht="14.25" x14ac:dyDescent="0.2">
      <c r="C17" s="3" t="s">
        <v>108</v>
      </c>
      <c r="D17" s="30" t="s">
        <v>128</v>
      </c>
      <c r="E17" s="24" t="s">
        <v>129</v>
      </c>
      <c r="F17" s="125" t="s">
        <v>138</v>
      </c>
      <c r="G17" s="3"/>
      <c r="H17" s="3"/>
      <c r="M17" s="139">
        <v>15</v>
      </c>
      <c r="N17" s="140" t="s">
        <v>110</v>
      </c>
      <c r="O17" s="140" t="s">
        <v>115</v>
      </c>
      <c r="P17" s="140"/>
      <c r="Q17" s="140">
        <v>0.99</v>
      </c>
      <c r="R17" s="140">
        <v>0.9</v>
      </c>
      <c r="S17" s="140">
        <v>0</v>
      </c>
      <c r="T17" s="141">
        <v>4</v>
      </c>
      <c r="U17" s="140">
        <v>33.532537949999998</v>
      </c>
      <c r="V17" s="140">
        <v>4.4710050609999996</v>
      </c>
      <c r="W17" s="140">
        <v>29.061532889999999</v>
      </c>
      <c r="X17" s="140"/>
    </row>
    <row r="18" spans="2:24" x14ac:dyDescent="0.2">
      <c r="B18" s="4"/>
      <c r="C18" s="5" t="s">
        <v>11</v>
      </c>
      <c r="D18" s="31" t="s">
        <v>127</v>
      </c>
      <c r="E18" s="25" t="s">
        <v>10</v>
      </c>
      <c r="F18" s="25" t="s">
        <v>127</v>
      </c>
      <c r="G18" s="3"/>
      <c r="H18" s="3"/>
      <c r="I18" s="3"/>
      <c r="J18" s="3"/>
      <c r="M18" s="139">
        <v>16</v>
      </c>
      <c r="N18" s="140" t="s">
        <v>111</v>
      </c>
      <c r="O18" s="140" t="s">
        <v>113</v>
      </c>
      <c r="P18" s="140"/>
      <c r="Q18" s="140">
        <v>0.9</v>
      </c>
      <c r="R18" s="140">
        <v>0.95</v>
      </c>
      <c r="S18" s="140">
        <v>0</v>
      </c>
      <c r="T18" s="141">
        <v>3.5</v>
      </c>
      <c r="U18" s="140">
        <v>19.001771510000001</v>
      </c>
      <c r="V18" s="140">
        <v>6.7065075910000003</v>
      </c>
      <c r="W18" s="140">
        <v>12.29526392</v>
      </c>
      <c r="X18" s="140"/>
    </row>
    <row r="19" spans="2:24" x14ac:dyDescent="0.2">
      <c r="B19" t="s">
        <v>117</v>
      </c>
      <c r="C19" s="8">
        <v>0.6</v>
      </c>
      <c r="D19" s="29">
        <v>210.73891143821214</v>
      </c>
      <c r="E19" s="2">
        <v>1.5</v>
      </c>
      <c r="F19" s="124">
        <f>-PMT(10%,30,D19)</f>
        <v>22.355025302943943</v>
      </c>
      <c r="G19" s="3"/>
      <c r="H19" s="3"/>
      <c r="I19" s="3"/>
      <c r="J19" s="3"/>
      <c r="M19" s="139">
        <v>17</v>
      </c>
      <c r="N19" s="140" t="s">
        <v>111</v>
      </c>
      <c r="O19" s="140" t="s">
        <v>114</v>
      </c>
      <c r="P19" s="140"/>
      <c r="Q19" s="140">
        <v>0.98</v>
      </c>
      <c r="R19" s="140">
        <v>0.95</v>
      </c>
      <c r="S19" s="140">
        <v>0</v>
      </c>
      <c r="T19" s="141">
        <v>4</v>
      </c>
      <c r="U19" s="140">
        <v>23.472776570000001</v>
      </c>
      <c r="V19" s="140">
        <v>6.7065075910000003</v>
      </c>
      <c r="W19" s="140">
        <v>16.76626898</v>
      </c>
      <c r="X19" s="140"/>
    </row>
    <row r="20" spans="2:24" x14ac:dyDescent="0.2">
      <c r="B20" t="s">
        <v>118</v>
      </c>
      <c r="C20" s="8">
        <v>0.9</v>
      </c>
      <c r="D20" s="29">
        <v>263.42363929776519</v>
      </c>
      <c r="E20" s="2">
        <v>2</v>
      </c>
      <c r="F20" s="124">
        <f t="shared" ref="F20:F21" si="2">-PMT(10%,30,D20)</f>
        <v>27.943781628679929</v>
      </c>
      <c r="G20" s="3"/>
      <c r="H20" s="3"/>
      <c r="I20" s="3"/>
      <c r="J20" s="3"/>
      <c r="M20" s="139">
        <v>18</v>
      </c>
      <c r="N20" s="140" t="s">
        <v>111</v>
      </c>
      <c r="O20" s="140" t="s">
        <v>115</v>
      </c>
      <c r="P20" s="140"/>
      <c r="Q20" s="140">
        <v>0.99</v>
      </c>
      <c r="R20" s="140">
        <v>0.95</v>
      </c>
      <c r="S20" s="140">
        <v>0</v>
      </c>
      <c r="T20" s="141">
        <v>4</v>
      </c>
      <c r="U20" s="140">
        <v>35.768040480000003</v>
      </c>
      <c r="V20" s="140">
        <v>6.7065075910000003</v>
      </c>
      <c r="W20" s="140">
        <v>29.061532889999999</v>
      </c>
      <c r="X20" s="140"/>
    </row>
    <row r="21" spans="2:24" x14ac:dyDescent="0.2">
      <c r="B21" t="s">
        <v>119</v>
      </c>
      <c r="C21" s="8">
        <v>0.95</v>
      </c>
      <c r="D21" s="29">
        <v>316.10836715731824</v>
      </c>
      <c r="E21" s="2">
        <v>2</v>
      </c>
      <c r="F21" s="124">
        <f t="shared" si="2"/>
        <v>33.532537954415908</v>
      </c>
      <c r="G21" s="3"/>
      <c r="H21" s="3"/>
      <c r="I21" s="3"/>
      <c r="J21" s="3"/>
      <c r="M21" s="139">
        <v>19</v>
      </c>
      <c r="N21" s="140" t="s">
        <v>109</v>
      </c>
      <c r="O21" s="140" t="s">
        <v>117</v>
      </c>
      <c r="P21" s="140"/>
      <c r="Q21" s="140">
        <v>0</v>
      </c>
      <c r="R21" s="140">
        <v>0.7</v>
      </c>
      <c r="S21" s="140">
        <v>0.6</v>
      </c>
      <c r="T21" s="141">
        <v>3</v>
      </c>
      <c r="U21" s="140">
        <v>26.71425524</v>
      </c>
      <c r="V21" s="140">
        <v>4.359229934</v>
      </c>
      <c r="W21" s="140">
        <v>22.355025300000001</v>
      </c>
      <c r="X21" s="140"/>
    </row>
    <row r="22" spans="2:24" x14ac:dyDescent="0.2">
      <c r="E22" s="3"/>
      <c r="F22" s="3"/>
      <c r="G22" s="3"/>
      <c r="H22" s="3"/>
      <c r="I22" s="3"/>
      <c r="J22" s="3"/>
      <c r="M22" s="139">
        <v>20</v>
      </c>
      <c r="N22" s="140" t="s">
        <v>109</v>
      </c>
      <c r="O22" s="140" t="s">
        <v>118</v>
      </c>
      <c r="P22" s="140"/>
      <c r="Q22" s="140">
        <v>0</v>
      </c>
      <c r="R22" s="140">
        <v>0.7</v>
      </c>
      <c r="S22" s="140">
        <v>0.9</v>
      </c>
      <c r="T22" s="141">
        <v>3.5</v>
      </c>
      <c r="U22" s="140">
        <v>32.303011560000002</v>
      </c>
      <c r="V22" s="140">
        <v>4.359229934</v>
      </c>
      <c r="W22" s="140">
        <v>27.94378163</v>
      </c>
      <c r="X22" s="140"/>
    </row>
    <row r="23" spans="2:24" x14ac:dyDescent="0.2">
      <c r="E23" s="3"/>
      <c r="F23" s="3"/>
      <c r="G23" s="3"/>
      <c r="H23" s="3"/>
      <c r="I23" s="3"/>
      <c r="J23" s="3"/>
      <c r="M23" s="139">
        <v>21</v>
      </c>
      <c r="N23" s="140" t="s">
        <v>109</v>
      </c>
      <c r="O23" s="140" t="s">
        <v>119</v>
      </c>
      <c r="P23" s="140"/>
      <c r="Q23" s="140">
        <v>0</v>
      </c>
      <c r="R23" s="140">
        <v>0.7</v>
      </c>
      <c r="S23" s="140">
        <v>0.95</v>
      </c>
      <c r="T23" s="141">
        <v>3.5</v>
      </c>
      <c r="U23" s="140">
        <v>37.891767889999997</v>
      </c>
      <c r="V23" s="140">
        <v>4.359229934</v>
      </c>
      <c r="W23" s="140">
        <v>33.532537949999998</v>
      </c>
      <c r="X23" s="140"/>
    </row>
    <row r="24" spans="2:24" x14ac:dyDescent="0.2">
      <c r="B24" t="s">
        <v>120</v>
      </c>
      <c r="E24" s="3"/>
      <c r="F24" s="3"/>
      <c r="G24" s="3"/>
      <c r="H24" s="3"/>
      <c r="I24" s="3"/>
      <c r="J24" s="3"/>
      <c r="M24" s="139">
        <v>22</v>
      </c>
      <c r="N24" s="140" t="s">
        <v>110</v>
      </c>
      <c r="O24" s="140" t="s">
        <v>117</v>
      </c>
      <c r="P24" s="140"/>
      <c r="Q24" s="140">
        <v>0</v>
      </c>
      <c r="R24" s="140">
        <v>0.9</v>
      </c>
      <c r="S24" s="140">
        <v>0.6</v>
      </c>
      <c r="T24" s="141">
        <v>3.5</v>
      </c>
      <c r="U24" s="140">
        <v>26.826030360000001</v>
      </c>
      <c r="V24" s="140">
        <v>4.4710050609999996</v>
      </c>
      <c r="W24" s="140">
        <v>22.355025300000001</v>
      </c>
      <c r="X24" s="140"/>
    </row>
    <row r="25" spans="2:24" x14ac:dyDescent="0.2">
      <c r="B25" t="s">
        <v>121</v>
      </c>
      <c r="M25" s="139">
        <v>23</v>
      </c>
      <c r="N25" s="140" t="s">
        <v>110</v>
      </c>
      <c r="O25" s="140" t="s">
        <v>118</v>
      </c>
      <c r="P25" s="140"/>
      <c r="Q25" s="140">
        <v>0</v>
      </c>
      <c r="R25" s="140">
        <v>0.9</v>
      </c>
      <c r="S25" s="140">
        <v>0.9</v>
      </c>
      <c r="T25" s="141">
        <v>4</v>
      </c>
      <c r="U25" s="140">
        <v>32.41478669</v>
      </c>
      <c r="V25" s="140">
        <v>4.4710050609999996</v>
      </c>
      <c r="W25" s="140">
        <v>27.94378163</v>
      </c>
      <c r="X25" s="140"/>
    </row>
    <row r="26" spans="2:24" x14ac:dyDescent="0.2">
      <c r="B26" s="24" t="s">
        <v>130</v>
      </c>
      <c r="M26" s="139">
        <v>24</v>
      </c>
      <c r="N26" s="140" t="s">
        <v>110</v>
      </c>
      <c r="O26" s="140" t="s">
        <v>119</v>
      </c>
      <c r="P26" s="140"/>
      <c r="Q26" s="140">
        <v>0</v>
      </c>
      <c r="R26" s="140">
        <v>0.9</v>
      </c>
      <c r="S26" s="140">
        <v>0.95</v>
      </c>
      <c r="T26" s="141">
        <v>4</v>
      </c>
      <c r="U26" s="140">
        <v>38.003543020000002</v>
      </c>
      <c r="V26" s="140">
        <v>4.4710050609999996</v>
      </c>
      <c r="W26" s="140">
        <v>33.532537949999998</v>
      </c>
      <c r="X26" s="140"/>
    </row>
    <row r="27" spans="2:24" x14ac:dyDescent="0.2">
      <c r="B27" s="24" t="s">
        <v>131</v>
      </c>
      <c r="M27" s="139">
        <v>25</v>
      </c>
      <c r="N27" s="140" t="s">
        <v>111</v>
      </c>
      <c r="O27" s="140" t="s">
        <v>117</v>
      </c>
      <c r="P27" s="140"/>
      <c r="Q27" s="140">
        <v>0</v>
      </c>
      <c r="R27" s="140">
        <v>0.95</v>
      </c>
      <c r="S27" s="140">
        <v>0.6</v>
      </c>
      <c r="T27" s="141">
        <v>3.5</v>
      </c>
      <c r="U27" s="140">
        <v>29.061532889999999</v>
      </c>
      <c r="V27" s="140">
        <v>6.7065075910000003</v>
      </c>
      <c r="W27" s="140">
        <v>22.355025300000001</v>
      </c>
      <c r="X27" s="140"/>
    </row>
    <row r="28" spans="2:24" x14ac:dyDescent="0.2">
      <c r="B28" s="24" t="s">
        <v>100</v>
      </c>
      <c r="M28" s="139">
        <v>26</v>
      </c>
      <c r="N28" s="140" t="s">
        <v>111</v>
      </c>
      <c r="O28" s="140" t="s">
        <v>118</v>
      </c>
      <c r="P28" s="140"/>
      <c r="Q28" s="140">
        <v>0</v>
      </c>
      <c r="R28" s="140">
        <v>0.95</v>
      </c>
      <c r="S28" s="140">
        <v>0.9</v>
      </c>
      <c r="T28" s="141">
        <v>4</v>
      </c>
      <c r="U28" s="140">
        <v>34.650289219999998</v>
      </c>
      <c r="V28" s="140">
        <v>6.7065075910000003</v>
      </c>
      <c r="W28" s="140">
        <v>27.94378163</v>
      </c>
      <c r="X28" s="140"/>
    </row>
    <row r="29" spans="2:24" x14ac:dyDescent="0.2">
      <c r="M29" s="139">
        <v>27</v>
      </c>
      <c r="N29" s="140" t="s">
        <v>111</v>
      </c>
      <c r="O29" s="140" t="s">
        <v>119</v>
      </c>
      <c r="P29" s="140"/>
      <c r="Q29" s="140">
        <v>0</v>
      </c>
      <c r="R29" s="140">
        <v>0.95</v>
      </c>
      <c r="S29" s="140">
        <v>0.95</v>
      </c>
      <c r="T29" s="141">
        <v>4</v>
      </c>
      <c r="U29" s="140">
        <v>40.23904555</v>
      </c>
      <c r="V29" s="140">
        <v>6.7065075910000003</v>
      </c>
      <c r="W29" s="140">
        <v>33.532537949999998</v>
      </c>
      <c r="X29" s="140"/>
    </row>
    <row r="30" spans="2:24" x14ac:dyDescent="0.2">
      <c r="B30" s="1" t="s">
        <v>122</v>
      </c>
      <c r="M30" s="139">
        <v>28</v>
      </c>
      <c r="N30" s="140" t="s">
        <v>113</v>
      </c>
      <c r="O30" s="140" t="s">
        <v>117</v>
      </c>
      <c r="P30" s="140"/>
      <c r="Q30" s="140">
        <v>0.9</v>
      </c>
      <c r="R30" s="140">
        <v>0</v>
      </c>
      <c r="S30" s="140">
        <v>0.6</v>
      </c>
      <c r="T30" s="141">
        <v>3</v>
      </c>
      <c r="U30" s="140">
        <v>34.650289219999998</v>
      </c>
      <c r="V30" s="140">
        <v>12.29526392</v>
      </c>
      <c r="W30" s="140">
        <v>22.355025300000001</v>
      </c>
      <c r="X30" s="140"/>
    </row>
    <row r="31" spans="2:24" x14ac:dyDescent="0.2">
      <c r="M31" s="139">
        <v>29</v>
      </c>
      <c r="N31" s="140" t="s">
        <v>113</v>
      </c>
      <c r="O31" s="140" t="s">
        <v>118</v>
      </c>
      <c r="P31" s="140"/>
      <c r="Q31" s="140">
        <v>0.9</v>
      </c>
      <c r="R31" s="140">
        <v>0</v>
      </c>
      <c r="S31" s="140">
        <v>0.9</v>
      </c>
      <c r="T31" s="141">
        <v>3.5</v>
      </c>
      <c r="U31" s="140">
        <v>40.23904555</v>
      </c>
      <c r="V31" s="140">
        <v>12.29526392</v>
      </c>
      <c r="W31" s="140">
        <v>27.94378163</v>
      </c>
      <c r="X31" s="140"/>
    </row>
    <row r="32" spans="2:24" x14ac:dyDescent="0.2">
      <c r="M32" s="139">
        <v>30</v>
      </c>
      <c r="N32" s="140" t="s">
        <v>113</v>
      </c>
      <c r="O32" s="140" t="s">
        <v>119</v>
      </c>
      <c r="P32" s="140"/>
      <c r="Q32" s="140">
        <v>0.9</v>
      </c>
      <c r="R32" s="140">
        <v>0</v>
      </c>
      <c r="S32" s="140">
        <v>0.95</v>
      </c>
      <c r="T32" s="141">
        <v>3.5</v>
      </c>
      <c r="U32" s="140">
        <v>45.827801870000002</v>
      </c>
      <c r="V32" s="140">
        <v>12.29526392</v>
      </c>
      <c r="W32" s="140">
        <v>33.532537949999998</v>
      </c>
      <c r="X32" s="140"/>
    </row>
    <row r="33" spans="2:24" x14ac:dyDescent="0.2">
      <c r="B33" s="4"/>
      <c r="C33" s="5" t="s">
        <v>50</v>
      </c>
      <c r="D33" s="5" t="s">
        <v>51</v>
      </c>
      <c r="E33" s="25" t="s">
        <v>69</v>
      </c>
      <c r="M33" s="139">
        <v>31</v>
      </c>
      <c r="N33" s="140" t="s">
        <v>114</v>
      </c>
      <c r="O33" s="140" t="s">
        <v>117</v>
      </c>
      <c r="P33" s="140"/>
      <c r="Q33" s="140">
        <v>0.98</v>
      </c>
      <c r="R33" s="140">
        <v>0</v>
      </c>
      <c r="S33" s="140">
        <v>0.6</v>
      </c>
      <c r="T33" s="141">
        <v>3.5</v>
      </c>
      <c r="U33" s="140">
        <v>39.121294280000001</v>
      </c>
      <c r="V33" s="140">
        <v>16.76626898</v>
      </c>
      <c r="W33" s="140">
        <v>22.355025300000001</v>
      </c>
      <c r="X33" s="140"/>
    </row>
    <row r="34" spans="2:24" x14ac:dyDescent="0.2">
      <c r="B34" t="s">
        <v>73</v>
      </c>
      <c r="C34">
        <v>0.99</v>
      </c>
      <c r="D34" s="3">
        <v>0.95</v>
      </c>
      <c r="E34" s="28" t="s">
        <v>123</v>
      </c>
      <c r="M34" s="139">
        <v>32</v>
      </c>
      <c r="N34" s="140" t="s">
        <v>114</v>
      </c>
      <c r="O34" s="140" t="s">
        <v>118</v>
      </c>
      <c r="P34" s="140"/>
      <c r="Q34" s="140">
        <v>0.98</v>
      </c>
      <c r="R34" s="140">
        <v>0</v>
      </c>
      <c r="S34" s="140">
        <v>0.9</v>
      </c>
      <c r="T34" s="141">
        <v>4</v>
      </c>
      <c r="U34" s="140">
        <v>44.710050610000003</v>
      </c>
      <c r="V34" s="140">
        <v>16.76626898</v>
      </c>
      <c r="W34" s="140">
        <v>27.94378163</v>
      </c>
      <c r="X34" s="140"/>
    </row>
    <row r="35" spans="2:24" x14ac:dyDescent="0.2">
      <c r="B35" t="s">
        <v>124</v>
      </c>
      <c r="C35">
        <v>0.95</v>
      </c>
      <c r="D35" s="28" t="s">
        <v>123</v>
      </c>
      <c r="E35" s="13">
        <v>0.9</v>
      </c>
      <c r="M35" s="139">
        <v>33</v>
      </c>
      <c r="N35" s="140" t="s">
        <v>114</v>
      </c>
      <c r="O35" s="140" t="s">
        <v>119</v>
      </c>
      <c r="P35" s="140"/>
      <c r="Q35" s="140">
        <v>0.98</v>
      </c>
      <c r="R35" s="140">
        <v>0</v>
      </c>
      <c r="S35" s="140">
        <v>0.95</v>
      </c>
      <c r="T35" s="141">
        <v>4</v>
      </c>
      <c r="U35" s="140">
        <v>50.298806929999998</v>
      </c>
      <c r="V35" s="140">
        <v>16.76626898</v>
      </c>
      <c r="W35" s="140">
        <v>33.532537949999998</v>
      </c>
      <c r="X35" s="140"/>
    </row>
    <row r="36" spans="2:24" x14ac:dyDescent="0.2">
      <c r="B36" t="s">
        <v>71</v>
      </c>
      <c r="C36">
        <v>0.95</v>
      </c>
      <c r="D36" s="28" t="s">
        <v>123</v>
      </c>
      <c r="E36" s="28" t="s">
        <v>123</v>
      </c>
      <c r="M36" s="139">
        <v>34</v>
      </c>
      <c r="N36" s="140" t="s">
        <v>115</v>
      </c>
      <c r="O36" s="140" t="s">
        <v>117</v>
      </c>
      <c r="P36" s="140"/>
      <c r="Q36" s="140">
        <v>0.99</v>
      </c>
      <c r="R36" s="140">
        <v>0</v>
      </c>
      <c r="S36" s="140">
        <v>0.6</v>
      </c>
      <c r="T36" s="141">
        <v>3.5</v>
      </c>
      <c r="U36" s="140">
        <v>51.416558199999997</v>
      </c>
      <c r="V36" s="140">
        <v>29.061532889999999</v>
      </c>
      <c r="W36" s="140">
        <v>22.355025300000001</v>
      </c>
      <c r="X36" s="140"/>
    </row>
    <row r="37" spans="2:24" x14ac:dyDescent="0.2">
      <c r="D37" s="3"/>
      <c r="E37" s="3"/>
      <c r="M37" s="139">
        <v>35</v>
      </c>
      <c r="N37" s="140" t="s">
        <v>115</v>
      </c>
      <c r="O37" s="140" t="s">
        <v>118</v>
      </c>
      <c r="P37" s="140"/>
      <c r="Q37" s="140">
        <v>0.99</v>
      </c>
      <c r="R37" s="140">
        <v>0</v>
      </c>
      <c r="S37" s="140">
        <v>0.9</v>
      </c>
      <c r="T37" s="141">
        <v>4</v>
      </c>
      <c r="U37" s="140">
        <v>57.005314519999999</v>
      </c>
      <c r="V37" s="140">
        <v>29.061532889999999</v>
      </c>
      <c r="W37" s="140">
        <v>27.94378163</v>
      </c>
      <c r="X37" s="140"/>
    </row>
    <row r="38" spans="2:24" x14ac:dyDescent="0.2">
      <c r="B38" t="s">
        <v>125</v>
      </c>
      <c r="M38" s="139">
        <v>36</v>
      </c>
      <c r="N38" s="140" t="s">
        <v>115</v>
      </c>
      <c r="O38" s="140" t="s">
        <v>119</v>
      </c>
      <c r="P38" s="140"/>
      <c r="Q38" s="140">
        <v>0.99</v>
      </c>
      <c r="R38" s="140">
        <v>0</v>
      </c>
      <c r="S38" s="140">
        <v>0.95</v>
      </c>
      <c r="T38" s="141">
        <v>4</v>
      </c>
      <c r="U38" s="140">
        <v>62.594070850000001</v>
      </c>
      <c r="V38" s="140">
        <v>29.061532889999999</v>
      </c>
      <c r="W38" s="140">
        <v>33.532537949999998</v>
      </c>
      <c r="X38" s="140"/>
    </row>
    <row r="39" spans="2:24" x14ac:dyDescent="0.2">
      <c r="B39" t="s">
        <v>126</v>
      </c>
      <c r="M39" s="139">
        <v>37</v>
      </c>
      <c r="N39" s="140" t="s">
        <v>109</v>
      </c>
      <c r="O39" s="140" t="s">
        <v>113</v>
      </c>
      <c r="P39" s="140" t="s">
        <v>117</v>
      </c>
      <c r="Q39" s="140">
        <v>0.9</v>
      </c>
      <c r="R39" s="140">
        <v>0.7</v>
      </c>
      <c r="S39" s="140">
        <v>0.6</v>
      </c>
      <c r="T39" s="141">
        <v>4.5</v>
      </c>
      <c r="U39" s="140">
        <v>39.009519150000003</v>
      </c>
      <c r="V39" s="140">
        <v>4.359229934</v>
      </c>
      <c r="W39" s="140">
        <v>12.29526392</v>
      </c>
      <c r="X39" s="140">
        <v>22.355025300000001</v>
      </c>
    </row>
    <row r="40" spans="2:24" x14ac:dyDescent="0.2">
      <c r="F40" s="3"/>
      <c r="M40" s="139">
        <v>38</v>
      </c>
      <c r="N40" s="140" t="s">
        <v>109</v>
      </c>
      <c r="O40" s="140" t="s">
        <v>113</v>
      </c>
      <c r="P40" s="140" t="s">
        <v>118</v>
      </c>
      <c r="Q40" s="140">
        <v>0.9</v>
      </c>
      <c r="R40" s="140">
        <v>0.7</v>
      </c>
      <c r="S40" s="140">
        <v>0.9</v>
      </c>
      <c r="T40" s="141">
        <v>5</v>
      </c>
      <c r="U40" s="140">
        <v>44.598275479999998</v>
      </c>
      <c r="V40" s="140">
        <v>4.359229934</v>
      </c>
      <c r="W40" s="140">
        <v>12.29526392</v>
      </c>
      <c r="X40" s="140">
        <v>27.94378163</v>
      </c>
    </row>
    <row r="41" spans="2:24" x14ac:dyDescent="0.2">
      <c r="F41" s="3"/>
      <c r="M41" s="139">
        <v>39</v>
      </c>
      <c r="N41" s="140" t="s">
        <v>109</v>
      </c>
      <c r="O41" s="140" t="s">
        <v>113</v>
      </c>
      <c r="P41" s="140" t="s">
        <v>119</v>
      </c>
      <c r="Q41" s="140">
        <v>0.9</v>
      </c>
      <c r="R41" s="140">
        <v>0.7</v>
      </c>
      <c r="S41" s="140">
        <v>0.95</v>
      </c>
      <c r="T41" s="141">
        <v>5</v>
      </c>
      <c r="U41" s="140">
        <v>50.187031810000001</v>
      </c>
      <c r="V41" s="140">
        <v>4.359229934</v>
      </c>
      <c r="W41" s="140">
        <v>12.29526392</v>
      </c>
      <c r="X41" s="140">
        <v>33.532537949999998</v>
      </c>
    </row>
    <row r="42" spans="2:24" x14ac:dyDescent="0.2">
      <c r="F42" s="3"/>
      <c r="M42" s="139">
        <v>40</v>
      </c>
      <c r="N42" s="140" t="s">
        <v>109</v>
      </c>
      <c r="O42" s="140" t="s">
        <v>114</v>
      </c>
      <c r="P42" s="140" t="s">
        <v>117</v>
      </c>
      <c r="Q42" s="140">
        <v>0.98</v>
      </c>
      <c r="R42" s="140">
        <v>0.7</v>
      </c>
      <c r="S42" s="140">
        <v>0.6</v>
      </c>
      <c r="T42" s="141">
        <v>5</v>
      </c>
      <c r="U42" s="140">
        <v>43.480524209999999</v>
      </c>
      <c r="V42" s="140">
        <v>4.359229934</v>
      </c>
      <c r="W42" s="140">
        <v>16.76626898</v>
      </c>
      <c r="X42" s="140">
        <v>22.355025300000001</v>
      </c>
    </row>
    <row r="43" spans="2:24" x14ac:dyDescent="0.2">
      <c r="F43" s="3"/>
      <c r="M43" s="139">
        <v>41</v>
      </c>
      <c r="N43" s="140" t="s">
        <v>109</v>
      </c>
      <c r="O43" s="140" t="s">
        <v>114</v>
      </c>
      <c r="P43" s="140" t="s">
        <v>118</v>
      </c>
      <c r="Q43" s="140">
        <v>0.98</v>
      </c>
      <c r="R43" s="140">
        <v>0.7</v>
      </c>
      <c r="S43" s="140">
        <v>0.9</v>
      </c>
      <c r="T43" s="141">
        <v>5.5</v>
      </c>
      <c r="U43" s="140">
        <v>49.069280540000001</v>
      </c>
      <c r="V43" s="140">
        <v>4.359229934</v>
      </c>
      <c r="W43" s="140">
        <v>16.76626898</v>
      </c>
      <c r="X43" s="140">
        <v>27.94378163</v>
      </c>
    </row>
    <row r="44" spans="2:24" x14ac:dyDescent="0.2">
      <c r="F44" s="3"/>
      <c r="M44" s="139">
        <v>42</v>
      </c>
      <c r="N44" s="140" t="s">
        <v>109</v>
      </c>
      <c r="O44" s="140" t="s">
        <v>114</v>
      </c>
      <c r="P44" s="140" t="s">
        <v>119</v>
      </c>
      <c r="Q44" s="140">
        <v>0.98</v>
      </c>
      <c r="R44" s="140">
        <v>0.7</v>
      </c>
      <c r="S44" s="140">
        <v>0.95</v>
      </c>
      <c r="T44" s="141">
        <v>5.5</v>
      </c>
      <c r="U44" s="140">
        <v>54.658036869999997</v>
      </c>
      <c r="V44" s="140">
        <v>4.359229934</v>
      </c>
      <c r="W44" s="140">
        <v>16.76626898</v>
      </c>
      <c r="X44" s="140">
        <v>33.532537949999998</v>
      </c>
    </row>
    <row r="45" spans="2:24" x14ac:dyDescent="0.2">
      <c r="M45" s="139">
        <v>43</v>
      </c>
      <c r="N45" s="140" t="s">
        <v>109</v>
      </c>
      <c r="O45" s="140" t="s">
        <v>115</v>
      </c>
      <c r="P45" s="140" t="s">
        <v>117</v>
      </c>
      <c r="Q45" s="140">
        <v>0.99</v>
      </c>
      <c r="R45" s="140">
        <v>0.7</v>
      </c>
      <c r="S45" s="140">
        <v>0.6</v>
      </c>
      <c r="T45" s="141">
        <v>5</v>
      </c>
      <c r="U45" s="140">
        <v>55.775788130000002</v>
      </c>
      <c r="V45" s="140">
        <v>4.359229934</v>
      </c>
      <c r="W45" s="140">
        <v>29.061532889999999</v>
      </c>
      <c r="X45" s="140">
        <v>22.355025300000001</v>
      </c>
    </row>
    <row r="46" spans="2:24" x14ac:dyDescent="0.2">
      <c r="M46" s="139">
        <v>44</v>
      </c>
      <c r="N46" s="140" t="s">
        <v>109</v>
      </c>
      <c r="O46" s="140" t="s">
        <v>115</v>
      </c>
      <c r="P46" s="140" t="s">
        <v>118</v>
      </c>
      <c r="Q46" s="140">
        <v>0.99</v>
      </c>
      <c r="R46" s="140">
        <v>0.7</v>
      </c>
      <c r="S46" s="140">
        <v>0.9</v>
      </c>
      <c r="T46" s="141">
        <v>5.5</v>
      </c>
      <c r="U46" s="140">
        <v>61.364544459999998</v>
      </c>
      <c r="V46" s="140">
        <v>4.359229934</v>
      </c>
      <c r="W46" s="140">
        <v>29.061532889999999</v>
      </c>
      <c r="X46" s="140">
        <v>27.94378163</v>
      </c>
    </row>
    <row r="47" spans="2:24" x14ac:dyDescent="0.2">
      <c r="M47" s="139">
        <v>45</v>
      </c>
      <c r="N47" s="140" t="s">
        <v>109</v>
      </c>
      <c r="O47" s="140" t="s">
        <v>115</v>
      </c>
      <c r="P47" s="140" t="s">
        <v>119</v>
      </c>
      <c r="Q47" s="140">
        <v>0.99</v>
      </c>
      <c r="R47" s="140">
        <v>0.7</v>
      </c>
      <c r="S47" s="140">
        <v>0.95</v>
      </c>
      <c r="T47" s="141">
        <v>5.5</v>
      </c>
      <c r="U47" s="140">
        <v>66.953300780000006</v>
      </c>
      <c r="V47" s="140">
        <v>4.359229934</v>
      </c>
      <c r="W47" s="140">
        <v>29.061532889999999</v>
      </c>
      <c r="X47" s="140">
        <v>33.532537949999998</v>
      </c>
    </row>
    <row r="48" spans="2:24" x14ac:dyDescent="0.2">
      <c r="M48" s="139">
        <v>46</v>
      </c>
      <c r="N48" s="140" t="s">
        <v>110</v>
      </c>
      <c r="O48" s="140" t="s">
        <v>113</v>
      </c>
      <c r="P48" s="140" t="s">
        <v>117</v>
      </c>
      <c r="Q48" s="140">
        <v>0.9</v>
      </c>
      <c r="R48" s="140">
        <v>0.9</v>
      </c>
      <c r="S48" s="140">
        <v>0.6</v>
      </c>
      <c r="T48" s="141">
        <v>5</v>
      </c>
      <c r="U48" s="140">
        <v>39.121294280000001</v>
      </c>
      <c r="V48" s="140">
        <v>4.4710050609999996</v>
      </c>
      <c r="W48" s="140">
        <v>12.29526392</v>
      </c>
      <c r="X48" s="140">
        <v>22.355025300000001</v>
      </c>
    </row>
    <row r="49" spans="13:24" x14ac:dyDescent="0.2">
      <c r="M49" s="139">
        <v>47</v>
      </c>
      <c r="N49" s="140" t="s">
        <v>110</v>
      </c>
      <c r="O49" s="140" t="s">
        <v>113</v>
      </c>
      <c r="P49" s="140" t="s">
        <v>118</v>
      </c>
      <c r="Q49" s="140">
        <v>0.9</v>
      </c>
      <c r="R49" s="140">
        <v>0.9</v>
      </c>
      <c r="S49" s="140">
        <v>0.9</v>
      </c>
      <c r="T49" s="141">
        <v>5.5</v>
      </c>
      <c r="U49" s="140">
        <v>44.710050610000003</v>
      </c>
      <c r="V49" s="140">
        <v>4.4710050609999996</v>
      </c>
      <c r="W49" s="140">
        <v>12.29526392</v>
      </c>
      <c r="X49" s="140">
        <v>27.94378163</v>
      </c>
    </row>
    <row r="50" spans="13:24" x14ac:dyDescent="0.2">
      <c r="M50" s="139">
        <v>48</v>
      </c>
      <c r="N50" s="140" t="s">
        <v>110</v>
      </c>
      <c r="O50" s="140" t="s">
        <v>113</v>
      </c>
      <c r="P50" s="140" t="s">
        <v>119</v>
      </c>
      <c r="Q50" s="140">
        <v>0.9</v>
      </c>
      <c r="R50" s="140">
        <v>0.9</v>
      </c>
      <c r="S50" s="140">
        <v>0.95</v>
      </c>
      <c r="T50" s="141">
        <v>5.5</v>
      </c>
      <c r="U50" s="140">
        <v>50.298806929999998</v>
      </c>
      <c r="V50" s="140">
        <v>4.4710050609999996</v>
      </c>
      <c r="W50" s="140">
        <v>12.29526392</v>
      </c>
      <c r="X50" s="140">
        <v>33.532537949999998</v>
      </c>
    </row>
    <row r="51" spans="13:24" x14ac:dyDescent="0.2">
      <c r="M51" s="139">
        <v>49</v>
      </c>
      <c r="N51" s="140" t="s">
        <v>110</v>
      </c>
      <c r="O51" s="140" t="s">
        <v>114</v>
      </c>
      <c r="P51" s="140" t="s">
        <v>117</v>
      </c>
      <c r="Q51" s="140">
        <v>0.98</v>
      </c>
      <c r="R51" s="140">
        <v>0.9</v>
      </c>
      <c r="S51" s="140">
        <v>0.6</v>
      </c>
      <c r="T51" s="141">
        <v>5.5</v>
      </c>
      <c r="U51" s="140">
        <v>43.592299339999997</v>
      </c>
      <c r="V51" s="140">
        <v>4.4710050609999996</v>
      </c>
      <c r="W51" s="140">
        <v>16.76626898</v>
      </c>
      <c r="X51" s="140">
        <v>22.355025300000001</v>
      </c>
    </row>
    <row r="52" spans="13:24" x14ac:dyDescent="0.2">
      <c r="M52" s="139">
        <v>50</v>
      </c>
      <c r="N52" s="140" t="s">
        <v>110</v>
      </c>
      <c r="O52" s="140" t="s">
        <v>114</v>
      </c>
      <c r="P52" s="140" t="s">
        <v>118</v>
      </c>
      <c r="Q52" s="140">
        <v>0.98</v>
      </c>
      <c r="R52" s="140">
        <v>0.9</v>
      </c>
      <c r="S52" s="140">
        <v>0.9</v>
      </c>
      <c r="T52" s="141">
        <v>6</v>
      </c>
      <c r="U52" s="140">
        <v>49.181055669999999</v>
      </c>
      <c r="V52" s="140">
        <v>4.4710050609999996</v>
      </c>
      <c r="W52" s="140">
        <v>16.76626898</v>
      </c>
      <c r="X52" s="140">
        <v>27.94378163</v>
      </c>
    </row>
    <row r="53" spans="13:24" x14ac:dyDescent="0.2">
      <c r="M53" s="139">
        <v>51</v>
      </c>
      <c r="N53" s="140" t="s">
        <v>110</v>
      </c>
      <c r="O53" s="140" t="s">
        <v>114</v>
      </c>
      <c r="P53" s="140" t="s">
        <v>119</v>
      </c>
      <c r="Q53" s="140">
        <v>0.98</v>
      </c>
      <c r="R53" s="140">
        <v>0.9</v>
      </c>
      <c r="S53" s="140">
        <v>0.95</v>
      </c>
      <c r="T53" s="141">
        <v>6</v>
      </c>
      <c r="U53" s="140">
        <v>54.769811990000001</v>
      </c>
      <c r="V53" s="140">
        <v>4.4710050609999996</v>
      </c>
      <c r="W53" s="140">
        <v>16.76626898</v>
      </c>
      <c r="X53" s="140">
        <v>33.532537949999998</v>
      </c>
    </row>
    <row r="54" spans="13:24" x14ac:dyDescent="0.2">
      <c r="M54" s="139">
        <v>52</v>
      </c>
      <c r="N54" s="140" t="s">
        <v>110</v>
      </c>
      <c r="O54" s="140" t="s">
        <v>115</v>
      </c>
      <c r="P54" s="140" t="s">
        <v>117</v>
      </c>
      <c r="Q54" s="140">
        <v>0.99</v>
      </c>
      <c r="R54" s="140">
        <v>0.9</v>
      </c>
      <c r="S54" s="140">
        <v>0.6</v>
      </c>
      <c r="T54" s="141">
        <v>5.5</v>
      </c>
      <c r="U54" s="140">
        <v>55.88756326</v>
      </c>
      <c r="V54" s="140">
        <v>4.4710050609999996</v>
      </c>
      <c r="W54" s="140">
        <v>29.061532889999999</v>
      </c>
      <c r="X54" s="140">
        <v>22.355025300000001</v>
      </c>
    </row>
    <row r="55" spans="13:24" x14ac:dyDescent="0.2">
      <c r="M55" s="139">
        <v>53</v>
      </c>
      <c r="N55" s="140" t="s">
        <v>110</v>
      </c>
      <c r="O55" s="140" t="s">
        <v>115</v>
      </c>
      <c r="P55" s="140" t="s">
        <v>118</v>
      </c>
      <c r="Q55" s="140">
        <v>0.99</v>
      </c>
      <c r="R55" s="140">
        <v>0.9</v>
      </c>
      <c r="S55" s="140">
        <v>0.9</v>
      </c>
      <c r="T55" s="141">
        <v>6</v>
      </c>
      <c r="U55" s="140">
        <v>61.476319580000002</v>
      </c>
      <c r="V55" s="140">
        <v>4.4710050609999996</v>
      </c>
      <c r="W55" s="140">
        <v>29.061532889999999</v>
      </c>
      <c r="X55" s="140">
        <v>27.94378163</v>
      </c>
    </row>
    <row r="56" spans="13:24" x14ac:dyDescent="0.2">
      <c r="M56" s="139">
        <v>54</v>
      </c>
      <c r="N56" s="140" t="s">
        <v>110</v>
      </c>
      <c r="O56" s="140" t="s">
        <v>115</v>
      </c>
      <c r="P56" s="140" t="s">
        <v>119</v>
      </c>
      <c r="Q56" s="140">
        <v>0.99</v>
      </c>
      <c r="R56" s="140">
        <v>0.9</v>
      </c>
      <c r="S56" s="140">
        <v>0.95</v>
      </c>
      <c r="T56" s="141">
        <v>6</v>
      </c>
      <c r="U56" s="140">
        <v>67.065075910000004</v>
      </c>
      <c r="V56" s="140">
        <v>4.4710050609999996</v>
      </c>
      <c r="W56" s="140">
        <v>29.061532889999999</v>
      </c>
      <c r="X56" s="140">
        <v>33.532537949999998</v>
      </c>
    </row>
    <row r="57" spans="13:24" x14ac:dyDescent="0.2">
      <c r="M57" s="139">
        <v>55</v>
      </c>
      <c r="N57" s="140" t="s">
        <v>111</v>
      </c>
      <c r="O57" s="140" t="s">
        <v>113</v>
      </c>
      <c r="P57" s="140" t="s">
        <v>117</v>
      </c>
      <c r="Q57" s="140">
        <v>0.9</v>
      </c>
      <c r="R57" s="140">
        <v>0.95</v>
      </c>
      <c r="S57" s="140">
        <v>0.6</v>
      </c>
      <c r="T57" s="141">
        <v>5</v>
      </c>
      <c r="U57" s="140">
        <v>41.356796809999999</v>
      </c>
      <c r="V57" s="140">
        <v>6.7065075910000003</v>
      </c>
      <c r="W57" s="140">
        <v>12.29526392</v>
      </c>
      <c r="X57" s="140">
        <v>22.355025300000001</v>
      </c>
    </row>
    <row r="58" spans="13:24" x14ac:dyDescent="0.2">
      <c r="M58" s="139">
        <v>56</v>
      </c>
      <c r="N58" s="140" t="s">
        <v>111</v>
      </c>
      <c r="O58" s="140" t="s">
        <v>113</v>
      </c>
      <c r="P58" s="140" t="s">
        <v>118</v>
      </c>
      <c r="Q58" s="140">
        <v>0.9</v>
      </c>
      <c r="R58" s="140">
        <v>0.95</v>
      </c>
      <c r="S58" s="140">
        <v>0.9</v>
      </c>
      <c r="T58" s="141">
        <v>5.5</v>
      </c>
      <c r="U58" s="140">
        <v>46.945553140000001</v>
      </c>
      <c r="V58" s="140">
        <v>6.7065075910000003</v>
      </c>
      <c r="W58" s="140">
        <v>12.29526392</v>
      </c>
      <c r="X58" s="140">
        <v>27.94378163</v>
      </c>
    </row>
    <row r="59" spans="13:24" x14ac:dyDescent="0.2">
      <c r="M59" s="139">
        <v>57</v>
      </c>
      <c r="N59" s="140" t="s">
        <v>111</v>
      </c>
      <c r="O59" s="140" t="s">
        <v>113</v>
      </c>
      <c r="P59" s="140" t="s">
        <v>119</v>
      </c>
      <c r="Q59" s="140">
        <v>0.9</v>
      </c>
      <c r="R59" s="140">
        <v>0.95</v>
      </c>
      <c r="S59" s="140">
        <v>0.95</v>
      </c>
      <c r="T59" s="141">
        <v>5.5</v>
      </c>
      <c r="U59" s="140">
        <v>52.534309460000003</v>
      </c>
      <c r="V59" s="140">
        <v>6.7065075910000003</v>
      </c>
      <c r="W59" s="140">
        <v>12.29526392</v>
      </c>
      <c r="X59" s="140">
        <v>33.532537949999998</v>
      </c>
    </row>
    <row r="60" spans="13:24" x14ac:dyDescent="0.2">
      <c r="M60" s="139">
        <v>58</v>
      </c>
      <c r="N60" s="140" t="s">
        <v>111</v>
      </c>
      <c r="O60" s="140" t="s">
        <v>114</v>
      </c>
      <c r="P60" s="140" t="s">
        <v>117</v>
      </c>
      <c r="Q60" s="140">
        <v>0.98</v>
      </c>
      <c r="R60" s="140">
        <v>0.95</v>
      </c>
      <c r="S60" s="140">
        <v>0.6</v>
      </c>
      <c r="T60" s="141">
        <v>5.5</v>
      </c>
      <c r="U60" s="140">
        <v>45.827801870000002</v>
      </c>
      <c r="V60" s="140">
        <v>6.7065075910000003</v>
      </c>
      <c r="W60" s="140">
        <v>16.76626898</v>
      </c>
      <c r="X60" s="140">
        <v>22.355025300000001</v>
      </c>
    </row>
    <row r="61" spans="13:24" x14ac:dyDescent="0.2">
      <c r="M61" s="139">
        <v>59</v>
      </c>
      <c r="N61" s="140" t="s">
        <v>111</v>
      </c>
      <c r="O61" s="140" t="s">
        <v>114</v>
      </c>
      <c r="P61" s="140" t="s">
        <v>118</v>
      </c>
      <c r="Q61" s="140">
        <v>0.98</v>
      </c>
      <c r="R61" s="140">
        <v>0.95</v>
      </c>
      <c r="S61" s="140">
        <v>0.9</v>
      </c>
      <c r="T61" s="141">
        <v>6</v>
      </c>
      <c r="U61" s="140">
        <v>51.416558199999997</v>
      </c>
      <c r="V61" s="140">
        <v>6.7065075910000003</v>
      </c>
      <c r="W61" s="140">
        <v>16.76626898</v>
      </c>
      <c r="X61" s="140">
        <v>27.94378163</v>
      </c>
    </row>
    <row r="62" spans="13:24" x14ac:dyDescent="0.2">
      <c r="M62" s="139">
        <v>60</v>
      </c>
      <c r="N62" s="140" t="s">
        <v>111</v>
      </c>
      <c r="O62" s="140" t="s">
        <v>114</v>
      </c>
      <c r="P62" s="140" t="s">
        <v>119</v>
      </c>
      <c r="Q62" s="140">
        <v>0.98</v>
      </c>
      <c r="R62" s="140">
        <v>0.95</v>
      </c>
      <c r="S62" s="140">
        <v>0.95</v>
      </c>
      <c r="T62" s="141">
        <v>6</v>
      </c>
      <c r="U62" s="140">
        <v>57.005314519999999</v>
      </c>
      <c r="V62" s="140">
        <v>6.7065075910000003</v>
      </c>
      <c r="W62" s="140">
        <v>16.76626898</v>
      </c>
      <c r="X62" s="140">
        <v>33.532537949999998</v>
      </c>
    </row>
    <row r="63" spans="13:24" x14ac:dyDescent="0.2">
      <c r="M63" s="139">
        <v>61</v>
      </c>
      <c r="N63" s="140" t="s">
        <v>111</v>
      </c>
      <c r="O63" s="140" t="s">
        <v>115</v>
      </c>
      <c r="P63" s="140" t="s">
        <v>117</v>
      </c>
      <c r="Q63" s="140">
        <v>0.99</v>
      </c>
      <c r="R63" s="140">
        <v>0.95</v>
      </c>
      <c r="S63" s="140">
        <v>0.6</v>
      </c>
      <c r="T63" s="141">
        <v>5.5</v>
      </c>
      <c r="U63" s="140">
        <v>58.123065789999998</v>
      </c>
      <c r="V63" s="140">
        <v>6.7065075910000003</v>
      </c>
      <c r="W63" s="140">
        <v>29.061532889999999</v>
      </c>
      <c r="X63" s="140">
        <v>22.355025300000001</v>
      </c>
    </row>
    <row r="64" spans="13:24" x14ac:dyDescent="0.2">
      <c r="M64" s="139">
        <v>62</v>
      </c>
      <c r="N64" s="140" t="s">
        <v>111</v>
      </c>
      <c r="O64" s="140" t="s">
        <v>115</v>
      </c>
      <c r="P64" s="140" t="s">
        <v>118</v>
      </c>
      <c r="Q64" s="140">
        <v>0.99</v>
      </c>
      <c r="R64" s="140">
        <v>0.95</v>
      </c>
      <c r="S64" s="140">
        <v>0.9</v>
      </c>
      <c r="T64" s="141">
        <v>6</v>
      </c>
      <c r="U64" s="140">
        <v>63.71182211</v>
      </c>
      <c r="V64" s="140">
        <v>6.7065075910000003</v>
      </c>
      <c r="W64" s="140">
        <v>29.061532889999999</v>
      </c>
      <c r="X64" s="140">
        <v>27.94378163</v>
      </c>
    </row>
    <row r="65" spans="13:24" x14ac:dyDescent="0.2">
      <c r="M65" s="139">
        <v>63</v>
      </c>
      <c r="N65" s="140" t="s">
        <v>111</v>
      </c>
      <c r="O65" s="140" t="s">
        <v>115</v>
      </c>
      <c r="P65" s="140" t="s">
        <v>119</v>
      </c>
      <c r="Q65" s="140">
        <v>0.99</v>
      </c>
      <c r="R65" s="140">
        <v>0.95</v>
      </c>
      <c r="S65" s="140">
        <v>0.95</v>
      </c>
      <c r="T65" s="141">
        <v>6</v>
      </c>
      <c r="U65" s="140">
        <v>69.300578439999995</v>
      </c>
      <c r="V65" s="140">
        <v>6.7065075910000003</v>
      </c>
      <c r="W65" s="140">
        <v>29.061532889999999</v>
      </c>
      <c r="X65" s="140">
        <v>33.532537949999998</v>
      </c>
    </row>
    <row r="66" spans="13:24" x14ac:dyDescent="0.2">
      <c r="M66" s="142">
        <v>64</v>
      </c>
      <c r="N66" s="143" t="s">
        <v>165</v>
      </c>
      <c r="O66" s="143" t="s">
        <v>165</v>
      </c>
      <c r="P66" s="143" t="s">
        <v>165</v>
      </c>
      <c r="Q66" s="144">
        <v>0</v>
      </c>
      <c r="R66" s="144">
        <v>0</v>
      </c>
      <c r="S66" s="144">
        <v>0</v>
      </c>
      <c r="T66" s="145">
        <v>0</v>
      </c>
      <c r="U66" s="144">
        <v>0</v>
      </c>
      <c r="V66" s="144">
        <v>0</v>
      </c>
      <c r="W66" s="144">
        <v>0</v>
      </c>
      <c r="X66" s="14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Centrales</vt:lpstr>
      <vt:lpstr>Factores emisión</vt:lpstr>
      <vt:lpstr>Demanda</vt:lpstr>
      <vt:lpstr>Combustibles</vt:lpstr>
      <vt:lpstr>Daño ambiental</vt:lpstr>
      <vt:lpstr>Abatimiento</vt:lpstr>
      <vt:lpstr>horas_b1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Guillermo</cp:lastModifiedBy>
  <dcterms:created xsi:type="dcterms:W3CDTF">2011-08-23T02:41:23Z</dcterms:created>
  <dcterms:modified xsi:type="dcterms:W3CDTF">2021-11-02T20:59:16Z</dcterms:modified>
</cp:coreProperties>
</file>