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amiloW - copia\UNAL\Semestre_6\Finanzas Avanzadas\Taller 1\"/>
    </mc:Choice>
  </mc:AlternateContent>
  <xr:revisionPtr revIDLastSave="0" documentId="13_ncr:1_{91A27188-E574-4F1E-A8C5-81CDB7739DC6}" xr6:coauthVersionLast="46" xr6:coauthVersionMax="46" xr10:uidLastSave="{00000000-0000-0000-0000-000000000000}"/>
  <bookViews>
    <workbookView xWindow="-120" yWindow="-120" windowWidth="20730" windowHeight="11160" firstSheet="4" activeTab="11" xr2:uid="{4496BAD3-C310-40B0-9113-982E8D937613}"/>
  </bookViews>
  <sheets>
    <sheet name="Integrantes del grupo" sheetId="13" r:id="rId1"/>
    <sheet name="Punto 1" sheetId="1" r:id="rId2"/>
    <sheet name="Punto 2" sheetId="10" r:id="rId3"/>
    <sheet name="Punto 3" sheetId="3" r:id="rId4"/>
    <sheet name="Punto 4" sheetId="4" r:id="rId5"/>
    <sheet name="Punto 5" sheetId="5" r:id="rId6"/>
    <sheet name="Punto 6" sheetId="6" r:id="rId7"/>
    <sheet name="Punto 7" sheetId="7" r:id="rId8"/>
    <sheet name="Punto 8" sheetId="8" r:id="rId9"/>
    <sheet name="Punto 9" sheetId="9" r:id="rId10"/>
    <sheet name="Punto 10" sheetId="11" r:id="rId11"/>
    <sheet name="Punto 11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12" l="1"/>
  <c r="E38" i="12"/>
  <c r="E37" i="12"/>
  <c r="C14" i="8"/>
  <c r="D18" i="6"/>
  <c r="D19" i="6"/>
  <c r="D20" i="6"/>
  <c r="D21" i="6"/>
  <c r="D17" i="6"/>
  <c r="C44" i="1"/>
  <c r="C35" i="1"/>
  <c r="C36" i="1"/>
  <c r="C37" i="1"/>
  <c r="C38" i="1"/>
  <c r="C39" i="1"/>
  <c r="C40" i="1"/>
  <c r="C41" i="1"/>
  <c r="C42" i="1"/>
  <c r="C43" i="1"/>
  <c r="C34" i="1"/>
  <c r="H20" i="3"/>
  <c r="D37" i="12"/>
  <c r="D38" i="12"/>
  <c r="D36" i="12"/>
  <c r="D27" i="12"/>
  <c r="E27" i="12" s="1"/>
  <c r="D26" i="12"/>
  <c r="E26" i="12" s="1"/>
  <c r="D28" i="12"/>
  <c r="E28" i="12" s="1"/>
  <c r="D25" i="12"/>
  <c r="E25" i="12" s="1"/>
  <c r="B14" i="11"/>
  <c r="B16" i="11" s="1"/>
  <c r="E21" i="8"/>
  <c r="F21" i="8" s="1"/>
  <c r="B18" i="8"/>
  <c r="D15" i="4"/>
  <c r="E15" i="4" s="1"/>
  <c r="D16" i="4"/>
  <c r="E16" i="4" s="1"/>
  <c r="D14" i="4"/>
  <c r="E14" i="4"/>
  <c r="G20" i="3"/>
  <c r="G21" i="3" s="1"/>
  <c r="H19" i="3"/>
  <c r="C16" i="3"/>
  <c r="C11" i="3"/>
  <c r="I8" i="10"/>
  <c r="D14" i="10" s="1"/>
  <c r="D20" i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10" i="9"/>
  <c r="C10" i="7"/>
  <c r="C10" i="5"/>
  <c r="G10" i="3"/>
  <c r="C13" i="1"/>
  <c r="C15" i="1" s="1"/>
  <c r="C11" i="6" l="1"/>
  <c r="G22" i="3"/>
  <c r="H22" i="3" s="1"/>
  <c r="G23" i="3" s="1"/>
  <c r="H23" i="3" s="1"/>
  <c r="H21" i="3"/>
  <c r="E30" i="12"/>
  <c r="E41" i="12"/>
  <c r="E22" i="8"/>
  <c r="F22" i="8" s="1"/>
  <c r="E23" i="8" s="1"/>
  <c r="F23" i="8" s="1"/>
  <c r="E24" i="8" s="1"/>
  <c r="F24" i="8" s="1"/>
  <c r="E25" i="8" s="1"/>
  <c r="F25" i="8" s="1"/>
  <c r="E26" i="8" s="1"/>
  <c r="F26" i="8" s="1"/>
  <c r="E27" i="8" s="1"/>
  <c r="F27" i="8" s="1"/>
  <c r="E28" i="8" s="1"/>
  <c r="F28" i="8" s="1"/>
  <c r="E29" i="8" s="1"/>
  <c r="F29" i="8" s="1"/>
  <c r="E30" i="8" s="1"/>
  <c r="F30" i="8" s="1"/>
  <c r="E31" i="8" s="1"/>
  <c r="F31" i="8" s="1"/>
  <c r="E32" i="8" s="1"/>
  <c r="F32" i="8" s="1"/>
  <c r="E33" i="8" s="1"/>
  <c r="F33" i="8" s="1"/>
  <c r="E34" i="8" s="1"/>
  <c r="F34" i="8" s="1"/>
  <c r="E35" i="8" s="1"/>
  <c r="F35" i="8" s="1"/>
  <c r="E36" i="8" s="1"/>
  <c r="F36" i="8" s="1"/>
  <c r="E37" i="8" s="1"/>
  <c r="F37" i="8" s="1"/>
  <c r="E38" i="8" s="1"/>
  <c r="F38" i="8" s="1"/>
  <c r="E39" i="8" s="1"/>
  <c r="F39" i="8" s="1"/>
  <c r="E40" i="8" s="1"/>
  <c r="F40" i="8" s="1"/>
  <c r="E41" i="8" s="1"/>
  <c r="F41" i="8" s="1"/>
  <c r="E42" i="8" s="1"/>
  <c r="F42" i="8" s="1"/>
  <c r="E43" i="8" s="1"/>
  <c r="F43" i="8" s="1"/>
  <c r="E44" i="8" s="1"/>
  <c r="F44" i="8" s="1"/>
  <c r="E45" i="8" s="1"/>
  <c r="F45" i="8" s="1"/>
  <c r="E46" i="8" s="1"/>
  <c r="F46" i="8" s="1"/>
  <c r="E47" i="8" s="1"/>
  <c r="F47" i="8" s="1"/>
  <c r="E48" i="8" s="1"/>
  <c r="F48" i="8" s="1"/>
  <c r="E49" i="8" s="1"/>
  <c r="F49" i="8" s="1"/>
  <c r="E50" i="8" s="1"/>
  <c r="F50" i="8" s="1"/>
  <c r="E51" i="8" s="1"/>
  <c r="F51" i="8" s="1"/>
  <c r="E52" i="8" s="1"/>
  <c r="F52" i="8" s="1"/>
  <c r="E53" i="8" s="1"/>
  <c r="F53" i="8" s="1"/>
  <c r="E54" i="8" s="1"/>
  <c r="F54" i="8" s="1"/>
  <c r="E55" i="8" s="1"/>
  <c r="F55" i="8" s="1"/>
  <c r="E56" i="8" s="1"/>
  <c r="F56" i="8" s="1"/>
  <c r="E57" i="8" s="1"/>
  <c r="F57" i="8" s="1"/>
  <c r="E58" i="8" s="1"/>
  <c r="F58" i="8" s="1"/>
  <c r="E59" i="8" s="1"/>
  <c r="F59" i="8" s="1"/>
  <c r="E60" i="8" s="1"/>
  <c r="F60" i="8" s="1"/>
  <c r="C13" i="10"/>
  <c r="C11" i="10"/>
  <c r="D11" i="10"/>
  <c r="D13" i="10"/>
  <c r="C12" i="10"/>
  <c r="C14" i="10"/>
  <c r="D12" i="10"/>
</calcChain>
</file>

<file path=xl/sharedStrings.xml><?xml version="1.0" encoding="utf-8"?>
<sst xmlns="http://schemas.openxmlformats.org/spreadsheetml/2006/main" count="120" uniqueCount="73">
  <si>
    <t>i</t>
  </si>
  <si>
    <t>anual</t>
  </si>
  <si>
    <t>cuota</t>
  </si>
  <si>
    <t>n</t>
  </si>
  <si>
    <t>años</t>
  </si>
  <si>
    <t>VF</t>
  </si>
  <si>
    <t>Cuota</t>
  </si>
  <si>
    <t>Semestral</t>
  </si>
  <si>
    <t>VP</t>
  </si>
  <si>
    <t>semestral</t>
  </si>
  <si>
    <t>Método 1: Usando Valor Futuro</t>
  </si>
  <si>
    <t>Método 2: Usando flujos de caja</t>
  </si>
  <si>
    <t>Periodo</t>
  </si>
  <si>
    <t>Capitalización</t>
  </si>
  <si>
    <t>Acumulado_inicio_periodo</t>
  </si>
  <si>
    <t>Acumulado_fin_periodo</t>
  </si>
  <si>
    <t>VF primero 5 periodos</t>
  </si>
  <si>
    <t>VF final de 10 periodos</t>
  </si>
  <si>
    <t>Tasa nominal</t>
  </si>
  <si>
    <t>Periodos</t>
  </si>
  <si>
    <t>Manual</t>
  </si>
  <si>
    <t>Directa</t>
  </si>
  <si>
    <t>Anual</t>
  </si>
  <si>
    <t>Mensual</t>
  </si>
  <si>
    <t>Diaria</t>
  </si>
  <si>
    <t>Tasa periodica</t>
  </si>
  <si>
    <t>periodos de capitalizacion</t>
  </si>
  <si>
    <t>TEA</t>
  </si>
  <si>
    <t>año</t>
  </si>
  <si>
    <t>Pagos</t>
  </si>
  <si>
    <t>acumulado_init</t>
  </si>
  <si>
    <t>acumulado_fin</t>
  </si>
  <si>
    <t>Método 1: Usando valor futuro</t>
  </si>
  <si>
    <t>tasa periódica</t>
  </si>
  <si>
    <t>tasa nominal</t>
  </si>
  <si>
    <t>n semestres</t>
  </si>
  <si>
    <t>A</t>
  </si>
  <si>
    <t>g</t>
  </si>
  <si>
    <t>Anualidad</t>
  </si>
  <si>
    <t>Semestre</t>
  </si>
  <si>
    <t>Versión 1: Valor Futuro</t>
  </si>
  <si>
    <t>Versión 2:  Pagos crecientes</t>
  </si>
  <si>
    <t>Tasa anticipada</t>
  </si>
  <si>
    <t>i nominal</t>
  </si>
  <si>
    <t>i periodica anticipada</t>
  </si>
  <si>
    <t>Proyecto 1</t>
  </si>
  <si>
    <t>Costo inicial</t>
  </si>
  <si>
    <t>Valor de rescate</t>
  </si>
  <si>
    <t>Costo anual</t>
  </si>
  <si>
    <t>Flujo de caja</t>
  </si>
  <si>
    <t>VP Flujo de caja</t>
  </si>
  <si>
    <t>Tasa de oportunidad</t>
  </si>
  <si>
    <t>VPN</t>
  </si>
  <si>
    <t>Proyecto 2</t>
  </si>
  <si>
    <t>Renta anual</t>
  </si>
  <si>
    <t>Mejor el proyecto/alternativa 1 porque es menos costoso para la empresa</t>
  </si>
  <si>
    <t>Integrantes del grupo</t>
  </si>
  <si>
    <t>Mariana Garzón</t>
  </si>
  <si>
    <t>Oscar Medina</t>
  </si>
  <si>
    <t>Juan David Ramírez</t>
  </si>
  <si>
    <t>Germán Camilo Rodríguez</t>
  </si>
  <si>
    <t>Método 3: Suma de valores futuros</t>
  </si>
  <si>
    <t>Valor futuro</t>
  </si>
  <si>
    <t>Tasas efectivas</t>
  </si>
  <si>
    <t>Tasas vencidas</t>
  </si>
  <si>
    <t>NAMV</t>
  </si>
  <si>
    <t>TEA o NAAV</t>
  </si>
  <si>
    <t>NASV</t>
  </si>
  <si>
    <t>E.A.</t>
  </si>
  <si>
    <t>T. Efectiva Anual</t>
  </si>
  <si>
    <t>VP completo de la deuda</t>
  </si>
  <si>
    <t>Cuota semestral</t>
  </si>
  <si>
    <t>Bimestre anticipada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</si>
</sst>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;[Red]\-&quot;$&quot;#,##0"/>
    <numFmt numFmtId="165" formatCode="&quot;$&quot;#,##0.00;[Red]\-&quot;$&quot;#,##0.00"/>
    <numFmt numFmtId="166" formatCode="0.0%"/>
    <numFmt numFmtId="167" formatCode="0.000%"/>
    <numFmt numFmtId="168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9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9" fontId="0" fillId="0" borderId="0" xfId="1" applyFont="1"/>
    <xf numFmtId="166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8" fontId="0" fillId="0" borderId="0" xfId="0" applyNumberFormat="1"/>
    <xf numFmtId="8" fontId="0" fillId="2" borderId="0" xfId="0" applyNumberFormat="1" applyFill="1"/>
    <xf numFmtId="165" fontId="0" fillId="0" borderId="0" xfId="0" applyNumberFormat="1" applyFill="1"/>
    <xf numFmtId="44" fontId="0" fillId="0" borderId="0" xfId="0" applyNumberFormat="1"/>
    <xf numFmtId="44" fontId="0" fillId="2" borderId="0" xfId="0" applyNumberFormat="1" applyFill="1"/>
    <xf numFmtId="167" fontId="0" fillId="0" borderId="0" xfId="1" applyNumberFormat="1" applyFont="1"/>
    <xf numFmtId="168" fontId="0" fillId="0" borderId="0" xfId="2" applyNumberFormat="1" applyFont="1"/>
    <xf numFmtId="44" fontId="0" fillId="0" borderId="0" xfId="2" applyNumberFormat="1" applyFont="1"/>
    <xf numFmtId="168" fontId="0" fillId="2" borderId="0" xfId="2" applyNumberFormat="1" applyFont="1" applyFill="1"/>
    <xf numFmtId="168" fontId="0" fillId="0" borderId="0" xfId="0" applyNumberFormat="1"/>
    <xf numFmtId="0" fontId="0" fillId="3" borderId="0" xfId="0" applyFill="1"/>
    <xf numFmtId="44" fontId="0" fillId="2" borderId="0" xfId="2" applyNumberFormat="1" applyFont="1" applyFill="1"/>
    <xf numFmtId="164" fontId="0" fillId="2" borderId="0" xfId="0" applyNumberFormat="1" applyFill="1"/>
    <xf numFmtId="10" fontId="0" fillId="2" borderId="0" xfId="1" applyNumberFormat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3" borderId="0" xfId="1" applyNumberFormat="1" applyFont="1" applyFill="1"/>
    <xf numFmtId="0" fontId="0" fillId="2" borderId="0" xfId="0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tmp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tmp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tmp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tmp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1</xdr:row>
      <xdr:rowOff>19050</xdr:rowOff>
    </xdr:from>
    <xdr:to>
      <xdr:col>11</xdr:col>
      <xdr:colOff>57150</xdr:colOff>
      <xdr:row>5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08DA2F-0495-4CFB-B0F6-6F612A98F0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056" t="35813" r="16900" b="52988"/>
        <a:stretch/>
      </xdr:blipFill>
      <xdr:spPr>
        <a:xfrm>
          <a:off x="771524" y="209550"/>
          <a:ext cx="9105901" cy="8191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2</xdr:row>
      <xdr:rowOff>66675</xdr:rowOff>
    </xdr:from>
    <xdr:to>
      <xdr:col>16</xdr:col>
      <xdr:colOff>11030</xdr:colOff>
      <xdr:row>7</xdr:row>
      <xdr:rowOff>133492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7B1097-DA6B-497B-82E2-958DC5E11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447675"/>
          <a:ext cx="10783805" cy="101931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0</xdr:row>
      <xdr:rowOff>38100</xdr:rowOff>
    </xdr:from>
    <xdr:to>
      <xdr:col>9</xdr:col>
      <xdr:colOff>401570</xdr:colOff>
      <xdr:row>13</xdr:row>
      <xdr:rowOff>86077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8104B2-BAD1-446E-AFE3-F6D423520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38100"/>
          <a:ext cx="10888595" cy="2524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0</xdr:rowOff>
    </xdr:from>
    <xdr:to>
      <xdr:col>11</xdr:col>
      <xdr:colOff>485775</xdr:colOff>
      <xdr:row>6</xdr:row>
      <xdr:rowOff>84764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18ECAFC1-673A-4557-A6FE-905A0D3D4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0"/>
          <a:ext cx="7400925" cy="12277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1</xdr:row>
      <xdr:rowOff>28575</xdr:rowOff>
    </xdr:from>
    <xdr:to>
      <xdr:col>10</xdr:col>
      <xdr:colOff>753742</xdr:colOff>
      <xdr:row>4</xdr:row>
      <xdr:rowOff>152497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793B5A7-4B0E-4E12-9469-DD294E682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219075"/>
          <a:ext cx="9078592" cy="6954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0</xdr:row>
      <xdr:rowOff>38100</xdr:rowOff>
    </xdr:from>
    <xdr:to>
      <xdr:col>12</xdr:col>
      <xdr:colOff>572779</xdr:colOff>
      <xdr:row>7</xdr:row>
      <xdr:rowOff>114497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6590296-9FC7-4367-97B6-77F123EA8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38100"/>
          <a:ext cx="9164329" cy="14098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0</xdr:rowOff>
    </xdr:from>
    <xdr:to>
      <xdr:col>13</xdr:col>
      <xdr:colOff>239432</xdr:colOff>
      <xdr:row>4</xdr:row>
      <xdr:rowOff>47711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8CDAB8-1D0E-4C85-A1F0-5402DADA7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190500"/>
          <a:ext cx="9364382" cy="6192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0</xdr:row>
      <xdr:rowOff>180975</xdr:rowOff>
    </xdr:from>
    <xdr:to>
      <xdr:col>13</xdr:col>
      <xdr:colOff>306127</xdr:colOff>
      <xdr:row>5</xdr:row>
      <xdr:rowOff>123950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F1B741-650D-4013-BDB5-24FF8E6A2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80975"/>
          <a:ext cx="9507277" cy="8954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0</xdr:rowOff>
    </xdr:from>
    <xdr:to>
      <xdr:col>13</xdr:col>
      <xdr:colOff>1302</xdr:colOff>
      <xdr:row>4</xdr:row>
      <xdr:rowOff>38185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CB67ED-B7BB-47D4-9A55-A956056A1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190500"/>
          <a:ext cx="9326277" cy="6096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95250</xdr:rowOff>
    </xdr:from>
    <xdr:to>
      <xdr:col>12</xdr:col>
      <xdr:colOff>687144</xdr:colOff>
      <xdr:row>8</xdr:row>
      <xdr:rowOff>173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2B2EDF7-FDFE-495D-A620-AF26D0A2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285750"/>
          <a:ext cx="9631119" cy="12384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0</xdr:rowOff>
    </xdr:from>
    <xdr:to>
      <xdr:col>13</xdr:col>
      <xdr:colOff>48932</xdr:colOff>
      <xdr:row>4</xdr:row>
      <xdr:rowOff>123922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ECA2DD-DFF9-404A-8528-5365F1D44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90500"/>
          <a:ext cx="9364382" cy="695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4B10-FFEA-4F9D-BD82-C84D64300414}">
  <dimension ref="A1:A6"/>
  <sheetViews>
    <sheetView workbookViewId="0">
      <selection activeCell="G9" sqref="G9"/>
    </sheetView>
  </sheetViews>
  <sheetFormatPr defaultRowHeight="15" x14ac:dyDescent="0.25"/>
  <cols>
    <col min="1" max="1" width="24.140625" bestFit="1" customWidth="1"/>
  </cols>
  <sheetData>
    <row r="1" spans="1:1" x14ac:dyDescent="0.25">
      <c r="A1" t="s">
        <v>56</v>
      </c>
    </row>
    <row r="3" spans="1:1" x14ac:dyDescent="0.25">
      <c r="A3" t="s">
        <v>57</v>
      </c>
    </row>
    <row r="4" spans="1:1" x14ac:dyDescent="0.25">
      <c r="A4" t="s">
        <v>58</v>
      </c>
    </row>
    <row r="5" spans="1:1" x14ac:dyDescent="0.25">
      <c r="A5" t="s">
        <v>59</v>
      </c>
    </row>
    <row r="6" spans="1:1" x14ac:dyDescent="0.25">
      <c r="A6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14A0-8FA2-42E1-BE7A-8B808192938F}">
  <dimension ref="B7:D10"/>
  <sheetViews>
    <sheetView workbookViewId="0">
      <selection activeCell="B11" sqref="B11"/>
    </sheetView>
  </sheetViews>
  <sheetFormatPr defaultColWidth="11.42578125" defaultRowHeight="15" x14ac:dyDescent="0.25"/>
  <cols>
    <col min="2" max="2" width="15.42578125" bestFit="1" customWidth="1"/>
  </cols>
  <sheetData>
    <row r="7" spans="2:4" x14ac:dyDescent="0.25">
      <c r="B7" t="s">
        <v>8</v>
      </c>
      <c r="C7">
        <v>-100000</v>
      </c>
    </row>
    <row r="8" spans="2:4" x14ac:dyDescent="0.25">
      <c r="B8" t="s">
        <v>0</v>
      </c>
      <c r="C8" s="1">
        <v>0.05</v>
      </c>
      <c r="D8" t="s">
        <v>9</v>
      </c>
    </row>
    <row r="9" spans="2:4" x14ac:dyDescent="0.25">
      <c r="B9" t="s">
        <v>3</v>
      </c>
      <c r="C9">
        <v>5</v>
      </c>
      <c r="D9" t="s">
        <v>4</v>
      </c>
    </row>
    <row r="10" spans="2:4" x14ac:dyDescent="0.25">
      <c r="B10" t="s">
        <v>71</v>
      </c>
      <c r="C10" s="3">
        <f>PMT(C8,10,C7)</f>
        <v>12950.457496545667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5B79-82A1-4FC4-9432-03C206F6BC19}">
  <dimension ref="A10:C16"/>
  <sheetViews>
    <sheetView workbookViewId="0">
      <selection activeCell="B16" sqref="B16"/>
    </sheetView>
  </sheetViews>
  <sheetFormatPr defaultRowHeight="15" x14ac:dyDescent="0.25"/>
  <cols>
    <col min="1" max="1" width="20.140625" bestFit="1" customWidth="1"/>
    <col min="3" max="3" width="18.85546875" bestFit="1" customWidth="1"/>
  </cols>
  <sheetData>
    <row r="10" spans="1:3" x14ac:dyDescent="0.25">
      <c r="A10" t="s">
        <v>42</v>
      </c>
    </row>
    <row r="11" spans="1:3" x14ac:dyDescent="0.25">
      <c r="A11" t="s">
        <v>43</v>
      </c>
      <c r="B11" s="4">
        <v>0.28000000000000003</v>
      </c>
    </row>
    <row r="12" spans="1:3" x14ac:dyDescent="0.25">
      <c r="A12" t="s">
        <v>3</v>
      </c>
      <c r="B12">
        <v>6</v>
      </c>
    </row>
    <row r="14" spans="1:3" x14ac:dyDescent="0.25">
      <c r="A14" t="s">
        <v>44</v>
      </c>
      <c r="B14" s="6">
        <f>B11/B12</f>
        <v>4.6666666666666669E-2</v>
      </c>
      <c r="C14" t="s">
        <v>72</v>
      </c>
    </row>
    <row r="16" spans="1:3" x14ac:dyDescent="0.25">
      <c r="A16" t="s">
        <v>27</v>
      </c>
      <c r="B16" s="21">
        <f>(1+(B14/(1-B14)))^B12 - 1</f>
        <v>0.33208313391286182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5B6F4-C3C4-47C8-8526-9D42CC1C2E9D}">
  <dimension ref="A16:H42"/>
  <sheetViews>
    <sheetView tabSelected="1" topLeftCell="A23" workbookViewId="0">
      <selection activeCell="E36" sqref="E36"/>
    </sheetView>
  </sheetViews>
  <sheetFormatPr defaultRowHeight="15" x14ac:dyDescent="0.25"/>
  <cols>
    <col min="1" max="1" width="19.28515625" bestFit="1" customWidth="1"/>
    <col min="2" max="2" width="15.28515625" bestFit="1" customWidth="1"/>
    <col min="4" max="4" width="13.42578125" bestFit="1" customWidth="1"/>
    <col min="5" max="5" width="16" bestFit="1" customWidth="1"/>
    <col min="8" max="8" width="67.85546875" bestFit="1" customWidth="1"/>
  </cols>
  <sheetData>
    <row r="16" spans="1:2" x14ac:dyDescent="0.25">
      <c r="A16" t="s">
        <v>51</v>
      </c>
      <c r="B16" s="4">
        <v>0.25</v>
      </c>
    </row>
    <row r="18" spans="1:8" x14ac:dyDescent="0.25">
      <c r="A18" t="s">
        <v>45</v>
      </c>
    </row>
    <row r="20" spans="1:8" x14ac:dyDescent="0.25">
      <c r="A20" t="s">
        <v>46</v>
      </c>
      <c r="B20" s="17">
        <v>20000000</v>
      </c>
    </row>
    <row r="21" spans="1:8" x14ac:dyDescent="0.25">
      <c r="A21" t="s">
        <v>47</v>
      </c>
      <c r="B21" s="14">
        <v>12000000</v>
      </c>
    </row>
    <row r="22" spans="1:8" x14ac:dyDescent="0.25">
      <c r="A22" t="s">
        <v>48</v>
      </c>
      <c r="B22" s="14">
        <v>200000</v>
      </c>
    </row>
    <row r="24" spans="1:8" x14ac:dyDescent="0.25">
      <c r="C24" t="s">
        <v>12</v>
      </c>
      <c r="D24" t="s">
        <v>49</v>
      </c>
      <c r="E24" t="s">
        <v>50</v>
      </c>
    </row>
    <row r="25" spans="1:8" x14ac:dyDescent="0.25">
      <c r="C25">
        <v>0</v>
      </c>
      <c r="D25" s="17">
        <f>-B20</f>
        <v>-20000000</v>
      </c>
      <c r="E25" s="17">
        <f>D25</f>
        <v>-20000000</v>
      </c>
    </row>
    <row r="26" spans="1:8" x14ac:dyDescent="0.25">
      <c r="C26">
        <v>1</v>
      </c>
      <c r="D26" s="17">
        <f>-B22</f>
        <v>-200000</v>
      </c>
      <c r="E26" s="8">
        <f>PV($B$16,C26,0,-D26)</f>
        <v>-160000</v>
      </c>
    </row>
    <row r="27" spans="1:8" x14ac:dyDescent="0.25">
      <c r="C27">
        <v>2</v>
      </c>
      <c r="D27" s="17">
        <f>-B22</f>
        <v>-200000</v>
      </c>
      <c r="E27" s="8">
        <f>PV($B$16,C27,0,-D27)</f>
        <v>-128000</v>
      </c>
    </row>
    <row r="28" spans="1:8" x14ac:dyDescent="0.25">
      <c r="C28">
        <v>3</v>
      </c>
      <c r="D28" s="17">
        <f>B21 - B22</f>
        <v>11800000</v>
      </c>
      <c r="E28" s="8">
        <f>PV($B$16,C28,0,-D28)</f>
        <v>6041600</v>
      </c>
    </row>
    <row r="30" spans="1:8" x14ac:dyDescent="0.25">
      <c r="D30" t="s">
        <v>52</v>
      </c>
      <c r="E30" s="12">
        <f>SUM(E25:E28)</f>
        <v>-14246400</v>
      </c>
      <c r="H30" s="18" t="s">
        <v>55</v>
      </c>
    </row>
    <row r="32" spans="1:8" x14ac:dyDescent="0.25">
      <c r="A32" t="s">
        <v>53</v>
      </c>
    </row>
    <row r="34" spans="1:5" x14ac:dyDescent="0.25">
      <c r="A34" t="s">
        <v>54</v>
      </c>
      <c r="B34" s="14">
        <v>8000000</v>
      </c>
    </row>
    <row r="35" spans="1:5" x14ac:dyDescent="0.25">
      <c r="C35" t="s">
        <v>12</v>
      </c>
      <c r="D35" t="s">
        <v>49</v>
      </c>
      <c r="E35" t="s">
        <v>50</v>
      </c>
    </row>
    <row r="36" spans="1:5" x14ac:dyDescent="0.25">
      <c r="C36">
        <v>0</v>
      </c>
      <c r="D36" s="17">
        <f>-$B$34</f>
        <v>-8000000</v>
      </c>
      <c r="E36" s="8">
        <f>PV($B$16,C36,0,-D36,1)</f>
        <v>-8000000</v>
      </c>
    </row>
    <row r="37" spans="1:5" x14ac:dyDescent="0.25">
      <c r="C37">
        <v>1</v>
      </c>
      <c r="D37" s="17">
        <f t="shared" ref="D37:D38" si="0">-$B$34</f>
        <v>-8000000</v>
      </c>
      <c r="E37" s="8">
        <f t="shared" ref="E37:E38" si="1">PV($B$16,C37,,-D37,1)</f>
        <v>-6400000</v>
      </c>
    </row>
    <row r="38" spans="1:5" x14ac:dyDescent="0.25">
      <c r="C38">
        <v>2</v>
      </c>
      <c r="D38" s="17">
        <f t="shared" si="0"/>
        <v>-8000000</v>
      </c>
      <c r="E38" s="8">
        <f t="shared" si="1"/>
        <v>-5120000</v>
      </c>
    </row>
    <row r="39" spans="1:5" x14ac:dyDescent="0.25">
      <c r="C39">
        <v>3</v>
      </c>
    </row>
    <row r="41" spans="1:5" x14ac:dyDescent="0.25">
      <c r="D41" t="s">
        <v>52</v>
      </c>
      <c r="E41" s="9">
        <f>SUM(E36:E38)</f>
        <v>-19520000</v>
      </c>
    </row>
    <row r="42" spans="1:5" x14ac:dyDescent="0.25">
      <c r="E42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7F8E-F597-4EF6-8954-73A7C1212783}">
  <dimension ref="A8:D44"/>
  <sheetViews>
    <sheetView topLeftCell="A2" workbookViewId="0">
      <selection activeCell="E2" sqref="E2"/>
    </sheetView>
  </sheetViews>
  <sheetFormatPr defaultColWidth="11.42578125" defaultRowHeight="15" x14ac:dyDescent="0.25"/>
  <cols>
    <col min="2" max="2" width="21.5703125" bestFit="1" customWidth="1"/>
    <col min="4" max="4" width="22.85546875" bestFit="1" customWidth="1"/>
  </cols>
  <sheetData>
    <row r="8" spans="1:4" x14ac:dyDescent="0.25">
      <c r="A8" t="s">
        <v>10</v>
      </c>
    </row>
    <row r="9" spans="1:4" x14ac:dyDescent="0.25">
      <c r="B9" t="s">
        <v>0</v>
      </c>
      <c r="C9" s="1">
        <v>0.08</v>
      </c>
      <c r="D9" t="s">
        <v>1</v>
      </c>
    </row>
    <row r="10" spans="1:4" x14ac:dyDescent="0.25">
      <c r="B10" t="s">
        <v>2</v>
      </c>
      <c r="C10">
        <v>-1000</v>
      </c>
      <c r="D10" t="s">
        <v>1</v>
      </c>
    </row>
    <row r="11" spans="1:4" x14ac:dyDescent="0.25">
      <c r="B11" t="s">
        <v>3</v>
      </c>
      <c r="C11">
        <v>5</v>
      </c>
      <c r="D11" t="s">
        <v>4</v>
      </c>
    </row>
    <row r="13" spans="1:4" x14ac:dyDescent="0.25">
      <c r="B13" t="s">
        <v>16</v>
      </c>
      <c r="C13" s="10">
        <f>FV(C9,C11,C10)</f>
        <v>5866.6009600000043</v>
      </c>
    </row>
    <row r="15" spans="1:4" x14ac:dyDescent="0.25">
      <c r="B15" t="s">
        <v>17</v>
      </c>
      <c r="C15" s="9">
        <f>FV(C9,5,0,-C13)</f>
        <v>8619.9615059098414</v>
      </c>
    </row>
    <row r="17" spans="1:4" x14ac:dyDescent="0.25">
      <c r="A17" t="s">
        <v>11</v>
      </c>
    </row>
    <row r="19" spans="1:4" x14ac:dyDescent="0.25">
      <c r="A19" t="s">
        <v>12</v>
      </c>
      <c r="B19" t="s">
        <v>13</v>
      </c>
      <c r="C19" t="s">
        <v>14</v>
      </c>
      <c r="D19" t="s">
        <v>15</v>
      </c>
    </row>
    <row r="20" spans="1:4" x14ac:dyDescent="0.25">
      <c r="A20">
        <v>1</v>
      </c>
      <c r="B20" s="11">
        <v>1000</v>
      </c>
      <c r="C20" s="11">
        <v>0</v>
      </c>
      <c r="D20" s="11">
        <f>B20</f>
        <v>1000</v>
      </c>
    </row>
    <row r="21" spans="1:4" x14ac:dyDescent="0.25">
      <c r="A21">
        <v>2</v>
      </c>
      <c r="B21" s="11">
        <v>1000</v>
      </c>
      <c r="C21" s="11">
        <f>D20</f>
        <v>1000</v>
      </c>
      <c r="D21" s="11">
        <f>C21*1.08+B21</f>
        <v>2080</v>
      </c>
    </row>
    <row r="22" spans="1:4" x14ac:dyDescent="0.25">
      <c r="A22">
        <v>3</v>
      </c>
      <c r="B22" s="11">
        <v>1000</v>
      </c>
      <c r="C22" s="11">
        <f t="shared" ref="C22:C29" si="0">D21</f>
        <v>2080</v>
      </c>
      <c r="D22" s="11">
        <f t="shared" ref="D22:D29" si="1">C22*1.08+B22</f>
        <v>3246.4</v>
      </c>
    </row>
    <row r="23" spans="1:4" x14ac:dyDescent="0.25">
      <c r="A23">
        <v>4</v>
      </c>
      <c r="B23" s="11">
        <v>1000</v>
      </c>
      <c r="C23" s="11">
        <f t="shared" si="0"/>
        <v>3246.4</v>
      </c>
      <c r="D23" s="11">
        <f t="shared" si="1"/>
        <v>4506.112000000001</v>
      </c>
    </row>
    <row r="24" spans="1:4" x14ac:dyDescent="0.25">
      <c r="A24">
        <v>5</v>
      </c>
      <c r="B24" s="11">
        <v>1000</v>
      </c>
      <c r="C24" s="11">
        <f t="shared" si="0"/>
        <v>4506.112000000001</v>
      </c>
      <c r="D24" s="11">
        <f t="shared" si="1"/>
        <v>5866.6009600000016</v>
      </c>
    </row>
    <row r="25" spans="1:4" x14ac:dyDescent="0.25">
      <c r="A25">
        <v>6</v>
      </c>
      <c r="B25" s="11">
        <v>0</v>
      </c>
      <c r="C25" s="11">
        <f t="shared" si="0"/>
        <v>5866.6009600000016</v>
      </c>
      <c r="D25" s="11">
        <f t="shared" si="1"/>
        <v>6335.929036800002</v>
      </c>
    </row>
    <row r="26" spans="1:4" x14ac:dyDescent="0.25">
      <c r="A26">
        <v>7</v>
      </c>
      <c r="B26" s="11">
        <v>0</v>
      </c>
      <c r="C26" s="11">
        <f t="shared" si="0"/>
        <v>6335.929036800002</v>
      </c>
      <c r="D26" s="11">
        <f t="shared" si="1"/>
        <v>6842.8033597440026</v>
      </c>
    </row>
    <row r="27" spans="1:4" x14ac:dyDescent="0.25">
      <c r="A27">
        <v>8</v>
      </c>
      <c r="B27" s="11">
        <v>0</v>
      </c>
      <c r="C27" s="11">
        <f t="shared" si="0"/>
        <v>6842.8033597440026</v>
      </c>
      <c r="D27" s="11">
        <f t="shared" si="1"/>
        <v>7390.227628523523</v>
      </c>
    </row>
    <row r="28" spans="1:4" x14ac:dyDescent="0.25">
      <c r="A28">
        <v>9</v>
      </c>
      <c r="B28" s="11">
        <v>0</v>
      </c>
      <c r="C28" s="11">
        <f t="shared" si="0"/>
        <v>7390.227628523523</v>
      </c>
      <c r="D28" s="11">
        <f t="shared" si="1"/>
        <v>7981.4458388054054</v>
      </c>
    </row>
    <row r="29" spans="1:4" x14ac:dyDescent="0.25">
      <c r="A29">
        <v>10</v>
      </c>
      <c r="B29" s="11">
        <v>0</v>
      </c>
      <c r="C29" s="11">
        <f t="shared" si="0"/>
        <v>7981.4458388054054</v>
      </c>
      <c r="D29" s="12">
        <f t="shared" si="1"/>
        <v>8619.9615059098378</v>
      </c>
    </row>
    <row r="31" spans="1:4" x14ac:dyDescent="0.25">
      <c r="A31" t="s">
        <v>61</v>
      </c>
    </row>
    <row r="33" spans="1:3" x14ac:dyDescent="0.25">
      <c r="B33" t="s">
        <v>22</v>
      </c>
      <c r="C33" t="s">
        <v>62</v>
      </c>
    </row>
    <row r="34" spans="1:3" x14ac:dyDescent="0.25">
      <c r="A34">
        <v>1</v>
      </c>
      <c r="B34" s="14">
        <v>1000</v>
      </c>
      <c r="C34" s="8">
        <f>FV($C$9,$A$43-A34,0,-B34)</f>
        <v>1999.004627104433</v>
      </c>
    </row>
    <row r="35" spans="1:3" x14ac:dyDescent="0.25">
      <c r="A35">
        <v>2</v>
      </c>
      <c r="B35" s="14">
        <v>1000</v>
      </c>
      <c r="C35" s="8">
        <f t="shared" ref="C35:C43" si="2">FV($C$9,$A$43-A35,0,-B35)</f>
        <v>1850.9302102818824</v>
      </c>
    </row>
    <row r="36" spans="1:3" x14ac:dyDescent="0.25">
      <c r="A36">
        <v>3</v>
      </c>
      <c r="B36" s="14">
        <v>1000</v>
      </c>
      <c r="C36" s="8">
        <f t="shared" si="2"/>
        <v>1713.8242687795207</v>
      </c>
    </row>
    <row r="37" spans="1:3" x14ac:dyDescent="0.25">
      <c r="A37">
        <v>4</v>
      </c>
      <c r="B37" s="14">
        <v>1000</v>
      </c>
      <c r="C37" s="8">
        <f t="shared" si="2"/>
        <v>1586.8743229440006</v>
      </c>
    </row>
    <row r="38" spans="1:3" x14ac:dyDescent="0.25">
      <c r="A38">
        <v>5</v>
      </c>
      <c r="B38" s="14">
        <v>1000</v>
      </c>
      <c r="C38" s="8">
        <f t="shared" si="2"/>
        <v>1469.3280768000004</v>
      </c>
    </row>
    <row r="39" spans="1:3" x14ac:dyDescent="0.25">
      <c r="A39">
        <v>6</v>
      </c>
      <c r="B39" s="14">
        <v>0</v>
      </c>
      <c r="C39" s="8">
        <f t="shared" si="2"/>
        <v>0</v>
      </c>
    </row>
    <row r="40" spans="1:3" x14ac:dyDescent="0.25">
      <c r="A40">
        <v>7</v>
      </c>
      <c r="B40" s="14">
        <v>0</v>
      </c>
      <c r="C40" s="8">
        <f t="shared" si="2"/>
        <v>0</v>
      </c>
    </row>
    <row r="41" spans="1:3" x14ac:dyDescent="0.25">
      <c r="A41">
        <v>8</v>
      </c>
      <c r="B41" s="14">
        <v>0</v>
      </c>
      <c r="C41" s="8">
        <f t="shared" si="2"/>
        <v>0</v>
      </c>
    </row>
    <row r="42" spans="1:3" x14ac:dyDescent="0.25">
      <c r="A42">
        <v>9</v>
      </c>
      <c r="B42" s="14">
        <v>0</v>
      </c>
      <c r="C42" s="8">
        <f t="shared" si="2"/>
        <v>0</v>
      </c>
    </row>
    <row r="43" spans="1:3" x14ac:dyDescent="0.25">
      <c r="A43">
        <v>10</v>
      </c>
      <c r="B43" s="14">
        <v>0</v>
      </c>
      <c r="C43" s="8">
        <f t="shared" si="2"/>
        <v>0</v>
      </c>
    </row>
    <row r="44" spans="1:3" x14ac:dyDescent="0.25">
      <c r="C44" s="9">
        <f>SUM(C34:C43)</f>
        <v>8619.961505909836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A42A-A6BF-4254-A26D-0757B6FB9C7A}">
  <dimension ref="A8:I14"/>
  <sheetViews>
    <sheetView workbookViewId="0">
      <selection activeCell="F11" sqref="F11"/>
    </sheetView>
  </sheetViews>
  <sheetFormatPr defaultRowHeight="15" x14ac:dyDescent="0.25"/>
  <cols>
    <col min="2" max="2" width="13.42578125" bestFit="1" customWidth="1"/>
    <col min="8" max="8" width="12.5703125" bestFit="1" customWidth="1"/>
  </cols>
  <sheetData>
    <row r="8" spans="1:9" x14ac:dyDescent="0.25">
      <c r="H8" t="s">
        <v>18</v>
      </c>
      <c r="I8" s="4">
        <f>0.18</f>
        <v>0.18</v>
      </c>
    </row>
    <row r="9" spans="1:9" x14ac:dyDescent="0.25">
      <c r="C9" s="23" t="s">
        <v>63</v>
      </c>
      <c r="D9" s="23"/>
    </row>
    <row r="10" spans="1:9" x14ac:dyDescent="0.25">
      <c r="A10" t="s">
        <v>19</v>
      </c>
      <c r="B10" t="s">
        <v>13</v>
      </c>
      <c r="C10" t="s">
        <v>20</v>
      </c>
      <c r="D10" t="s">
        <v>21</v>
      </c>
    </row>
    <row r="11" spans="1:9" x14ac:dyDescent="0.25">
      <c r="A11">
        <v>1</v>
      </c>
      <c r="B11" t="s">
        <v>22</v>
      </c>
      <c r="C11" s="13">
        <f>(1+($I$8/A11))^(A11)-1</f>
        <v>0.17999999999999994</v>
      </c>
      <c r="D11" s="13">
        <f>EFFECT($I$8,A11)</f>
        <v>0.17999999999999994</v>
      </c>
      <c r="E11" s="22" t="s">
        <v>68</v>
      </c>
    </row>
    <row r="12" spans="1:9" x14ac:dyDescent="0.25">
      <c r="A12">
        <v>2</v>
      </c>
      <c r="B12" t="s">
        <v>7</v>
      </c>
      <c r="C12" s="13">
        <f t="shared" ref="C12:C14" si="0">(1+($I$8/A12))^(A12)-1</f>
        <v>0.18810000000000016</v>
      </c>
      <c r="D12" s="13">
        <f t="shared" ref="D12:D14" si="1">EFFECT($I$8,A12)</f>
        <v>0.18810000000000016</v>
      </c>
      <c r="E12" s="22" t="s">
        <v>68</v>
      </c>
    </row>
    <row r="13" spans="1:9" x14ac:dyDescent="0.25">
      <c r="A13">
        <v>12</v>
      </c>
      <c r="B13" t="s">
        <v>23</v>
      </c>
      <c r="C13" s="13">
        <f t="shared" si="0"/>
        <v>0.19561817146153326</v>
      </c>
      <c r="D13" s="13">
        <f t="shared" si="1"/>
        <v>0.19561817146153326</v>
      </c>
      <c r="E13" s="22" t="s">
        <v>68</v>
      </c>
    </row>
    <row r="14" spans="1:9" x14ac:dyDescent="0.25">
      <c r="A14">
        <v>365</v>
      </c>
      <c r="B14" t="s">
        <v>24</v>
      </c>
      <c r="C14" s="13">
        <f t="shared" si="0"/>
        <v>0.19716424499274088</v>
      </c>
      <c r="D14" s="13">
        <f t="shared" si="1"/>
        <v>0.19716424499274088</v>
      </c>
      <c r="E14" s="22" t="s">
        <v>68</v>
      </c>
    </row>
  </sheetData>
  <mergeCells count="1">
    <mergeCell ref="C9:D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F4F-6D0C-4491-8776-39AC22C14B97}">
  <dimension ref="A7:H23"/>
  <sheetViews>
    <sheetView workbookViewId="0">
      <selection activeCell="H6" sqref="H6"/>
    </sheetView>
  </sheetViews>
  <sheetFormatPr defaultColWidth="11.42578125" defaultRowHeight="15" x14ac:dyDescent="0.25"/>
  <cols>
    <col min="2" max="2" width="24.42578125" bestFit="1" customWidth="1"/>
    <col min="6" max="6" width="15.7109375" bestFit="1" customWidth="1"/>
    <col min="7" max="7" width="14.85546875" bestFit="1" customWidth="1"/>
    <col min="8" max="8" width="12.5703125" bestFit="1" customWidth="1"/>
  </cols>
  <sheetData>
    <row r="7" spans="1:7" x14ac:dyDescent="0.25">
      <c r="A7" t="s">
        <v>32</v>
      </c>
    </row>
    <row r="8" spans="1:7" x14ac:dyDescent="0.25">
      <c r="B8" t="s">
        <v>6</v>
      </c>
      <c r="C8">
        <v>-1000</v>
      </c>
      <c r="D8" t="s">
        <v>1</v>
      </c>
    </row>
    <row r="9" spans="1:7" x14ac:dyDescent="0.25">
      <c r="B9" t="s">
        <v>3</v>
      </c>
      <c r="C9">
        <v>5</v>
      </c>
      <c r="D9" t="s">
        <v>4</v>
      </c>
    </row>
    <row r="10" spans="1:7" x14ac:dyDescent="0.25">
      <c r="B10" t="s">
        <v>0</v>
      </c>
      <c r="C10" s="1">
        <v>0.05</v>
      </c>
      <c r="D10" t="s">
        <v>7</v>
      </c>
      <c r="F10" s="18" t="s">
        <v>69</v>
      </c>
      <c r="G10" s="24">
        <f>EFFECT(C10*2,2)</f>
        <v>0.10250000000000004</v>
      </c>
    </row>
    <row r="11" spans="1:7" x14ac:dyDescent="0.25">
      <c r="B11" t="s">
        <v>5</v>
      </c>
      <c r="C11" s="3">
        <f>FV(G10,C9,C8)</f>
        <v>6135.5573344140621</v>
      </c>
    </row>
    <row r="13" spans="1:7" x14ac:dyDescent="0.25">
      <c r="A13" t="s">
        <v>11</v>
      </c>
    </row>
    <row r="14" spans="1:7" x14ac:dyDescent="0.25">
      <c r="B14" t="s">
        <v>25</v>
      </c>
      <c r="C14">
        <v>0.05</v>
      </c>
    </row>
    <row r="15" spans="1:7" x14ac:dyDescent="0.25">
      <c r="B15" t="s">
        <v>26</v>
      </c>
      <c r="C15">
        <v>2</v>
      </c>
    </row>
    <row r="16" spans="1:7" x14ac:dyDescent="0.25">
      <c r="B16" t="s">
        <v>27</v>
      </c>
      <c r="C16">
        <f>(1+C14)^(C15)-1</f>
        <v>0.10250000000000004</v>
      </c>
    </row>
    <row r="18" spans="5:8" x14ac:dyDescent="0.25">
      <c r="E18" t="s">
        <v>28</v>
      </c>
      <c r="F18" t="s">
        <v>29</v>
      </c>
      <c r="G18" t="s">
        <v>30</v>
      </c>
      <c r="H18" t="s">
        <v>31</v>
      </c>
    </row>
    <row r="19" spans="5:8" x14ac:dyDescent="0.25">
      <c r="E19">
        <v>1</v>
      </c>
      <c r="F19" s="15">
        <v>1000</v>
      </c>
      <c r="G19" s="15">
        <v>0</v>
      </c>
      <c r="H19" s="15">
        <f>F19</f>
        <v>1000</v>
      </c>
    </row>
    <row r="20" spans="5:8" x14ac:dyDescent="0.25">
      <c r="E20">
        <v>2</v>
      </c>
      <c r="F20" s="15">
        <v>1000</v>
      </c>
      <c r="G20" s="15">
        <f>H19</f>
        <v>1000</v>
      </c>
      <c r="H20" s="15">
        <f>(G20)*(1+$G$10) + F20</f>
        <v>2102.5</v>
      </c>
    </row>
    <row r="21" spans="5:8" x14ac:dyDescent="0.25">
      <c r="E21">
        <v>3</v>
      </c>
      <c r="F21" s="15">
        <v>1000</v>
      </c>
      <c r="G21" s="15">
        <f t="shared" ref="G21:G23" si="0">H20</f>
        <v>2102.5</v>
      </c>
      <c r="H21" s="15">
        <f>(G21)*(1+$G$10) + F21</f>
        <v>3318.0062499999999</v>
      </c>
    </row>
    <row r="22" spans="5:8" x14ac:dyDescent="0.25">
      <c r="E22">
        <v>4</v>
      </c>
      <c r="F22" s="15">
        <v>1000</v>
      </c>
      <c r="G22" s="15">
        <f t="shared" si="0"/>
        <v>3318.0062499999999</v>
      </c>
      <c r="H22" s="15">
        <f>(G22)*(1+$G$10) + F22</f>
        <v>4658.1018906250001</v>
      </c>
    </row>
    <row r="23" spans="5:8" x14ac:dyDescent="0.25">
      <c r="E23">
        <v>5</v>
      </c>
      <c r="F23" s="15">
        <v>1000</v>
      </c>
      <c r="G23" s="15">
        <f t="shared" si="0"/>
        <v>4658.1018906250001</v>
      </c>
      <c r="H23" s="19">
        <f>(G23)*(1+$G$10) + F23</f>
        <v>6135.557334414063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C96F-43B4-434E-9EEC-013979D2925B}">
  <dimension ref="B11:I16"/>
  <sheetViews>
    <sheetView workbookViewId="0">
      <selection activeCell="E16" sqref="E16"/>
    </sheetView>
  </sheetViews>
  <sheetFormatPr defaultColWidth="11.42578125" defaultRowHeight="15" x14ac:dyDescent="0.25"/>
  <cols>
    <col min="4" max="4" width="13.42578125" bestFit="1" customWidth="1"/>
  </cols>
  <sheetData>
    <row r="11" spans="2:9" x14ac:dyDescent="0.25">
      <c r="B11" s="1"/>
      <c r="C11" s="1"/>
      <c r="H11" t="s">
        <v>27</v>
      </c>
      <c r="I11">
        <v>0.24</v>
      </c>
    </row>
    <row r="12" spans="2:9" x14ac:dyDescent="0.25">
      <c r="D12" s="23" t="s">
        <v>64</v>
      </c>
      <c r="E12" s="23"/>
    </row>
    <row r="13" spans="2:9" x14ac:dyDescent="0.25">
      <c r="B13" t="s">
        <v>19</v>
      </c>
      <c r="C13" s="6" t="s">
        <v>13</v>
      </c>
      <c r="D13" t="s">
        <v>33</v>
      </c>
      <c r="E13" t="s">
        <v>34</v>
      </c>
    </row>
    <row r="14" spans="2:9" x14ac:dyDescent="0.25">
      <c r="B14">
        <v>12</v>
      </c>
      <c r="C14" s="4" t="s">
        <v>23</v>
      </c>
      <c r="D14" s="6">
        <f>(1+$I$11)^(1/B14)-1</f>
        <v>1.8087582483510722E-2</v>
      </c>
      <c r="E14" s="6">
        <f>D14 * B14</f>
        <v>0.21705098980212867</v>
      </c>
      <c r="F14" t="s">
        <v>65</v>
      </c>
    </row>
    <row r="15" spans="2:9" x14ac:dyDescent="0.25">
      <c r="B15">
        <v>1</v>
      </c>
      <c r="C15" s="5" t="s">
        <v>22</v>
      </c>
      <c r="D15" s="6">
        <f t="shared" ref="D15:D16" si="0">(1+$I$11)^(1/B15)-1</f>
        <v>0.24</v>
      </c>
      <c r="E15" s="6">
        <f t="shared" ref="E15:E16" si="1">D15 * B15</f>
        <v>0.24</v>
      </c>
      <c r="F15" t="s">
        <v>66</v>
      </c>
    </row>
    <row r="16" spans="2:9" x14ac:dyDescent="0.25">
      <c r="B16">
        <v>2</v>
      </c>
      <c r="C16" t="s">
        <v>7</v>
      </c>
      <c r="D16" s="6">
        <f t="shared" si="0"/>
        <v>0.11355287256600444</v>
      </c>
      <c r="E16" s="6">
        <f t="shared" si="1"/>
        <v>0.22710574513200887</v>
      </c>
      <c r="F16" t="s">
        <v>67</v>
      </c>
    </row>
  </sheetData>
  <mergeCells count="1">
    <mergeCell ref="D12:E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3BF2-011F-4AD4-96DE-751C55876119}">
  <dimension ref="B7:C10"/>
  <sheetViews>
    <sheetView zoomScale="115" zoomScaleNormal="115" workbookViewId="0">
      <selection activeCell="A14" sqref="A14"/>
    </sheetView>
  </sheetViews>
  <sheetFormatPr defaultColWidth="11.42578125" defaultRowHeight="15" x14ac:dyDescent="0.25"/>
  <cols>
    <col min="1" max="1" width="11.140625" customWidth="1"/>
  </cols>
  <sheetData>
    <row r="7" spans="2:3" x14ac:dyDescent="0.25">
      <c r="B7" t="s">
        <v>0</v>
      </c>
      <c r="C7" s="1">
        <v>0.1</v>
      </c>
    </row>
    <row r="8" spans="2:3" x14ac:dyDescent="0.25">
      <c r="B8" t="s">
        <v>3</v>
      </c>
      <c r="C8">
        <v>5</v>
      </c>
    </row>
    <row r="9" spans="2:3" x14ac:dyDescent="0.25">
      <c r="B9" t="s">
        <v>5</v>
      </c>
      <c r="C9">
        <v>10000</v>
      </c>
    </row>
    <row r="10" spans="2:3" x14ac:dyDescent="0.25">
      <c r="B10" t="s">
        <v>8</v>
      </c>
      <c r="C10" s="3">
        <f>PV(C7,C8,,C9)</f>
        <v>-6209.2132305915493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629C-5187-4A54-8CB1-B5B106A578F3}">
  <dimension ref="B8:D21"/>
  <sheetViews>
    <sheetView topLeftCell="A4" zoomScaleNormal="100" workbookViewId="0">
      <selection activeCell="D24" sqref="D24"/>
    </sheetView>
  </sheetViews>
  <sheetFormatPr defaultColWidth="11.42578125" defaultRowHeight="15" x14ac:dyDescent="0.25"/>
  <cols>
    <col min="3" max="3" width="12" bestFit="1" customWidth="1"/>
  </cols>
  <sheetData>
    <row r="8" spans="2:4" x14ac:dyDescent="0.25">
      <c r="B8" t="s">
        <v>0</v>
      </c>
      <c r="C8" s="1">
        <v>0.1</v>
      </c>
    </row>
    <row r="9" spans="2:4" x14ac:dyDescent="0.25">
      <c r="C9" s="1"/>
    </row>
    <row r="10" spans="2:4" x14ac:dyDescent="0.25">
      <c r="B10" t="s">
        <v>12</v>
      </c>
      <c r="C10" s="1" t="s">
        <v>49</v>
      </c>
      <c r="D10" t="s">
        <v>8</v>
      </c>
    </row>
    <row r="11" spans="2:4" x14ac:dyDescent="0.25">
      <c r="B11">
        <v>0</v>
      </c>
      <c r="C11" s="3">
        <f>SUM(D17:D21)</f>
        <v>-7508.2627899954123</v>
      </c>
      <c r="D11" s="25" t="s">
        <v>70</v>
      </c>
    </row>
    <row r="12" spans="2:4" x14ac:dyDescent="0.25">
      <c r="B12">
        <v>1</v>
      </c>
      <c r="C12">
        <v>0</v>
      </c>
    </row>
    <row r="13" spans="2:4" x14ac:dyDescent="0.25">
      <c r="B13">
        <v>2</v>
      </c>
      <c r="C13">
        <v>0</v>
      </c>
    </row>
    <row r="14" spans="2:4" x14ac:dyDescent="0.25">
      <c r="B14">
        <v>3</v>
      </c>
      <c r="C14">
        <v>0</v>
      </c>
    </row>
    <row r="15" spans="2:4" x14ac:dyDescent="0.25">
      <c r="B15">
        <v>4</v>
      </c>
      <c r="C15">
        <v>0</v>
      </c>
    </row>
    <row r="16" spans="2:4" x14ac:dyDescent="0.25">
      <c r="B16">
        <v>5</v>
      </c>
      <c r="C16">
        <v>0</v>
      </c>
    </row>
    <row r="17" spans="2:4" x14ac:dyDescent="0.25">
      <c r="B17">
        <v>6</v>
      </c>
      <c r="C17">
        <v>-5000</v>
      </c>
      <c r="D17" s="2">
        <f>PV($C$8,B17,,-C17)</f>
        <v>-2822.3696502688858</v>
      </c>
    </row>
    <row r="18" spans="2:4" x14ac:dyDescent="0.25">
      <c r="B18">
        <v>7</v>
      </c>
      <c r="C18">
        <v>-4000</v>
      </c>
      <c r="D18" s="2">
        <f t="shared" ref="D18:D21" si="0">PV($C$8,B18,,-C18)</f>
        <v>-2052.6324729228259</v>
      </c>
    </row>
    <row r="19" spans="2:4" x14ac:dyDescent="0.25">
      <c r="B19">
        <v>8</v>
      </c>
      <c r="C19">
        <v>-3000</v>
      </c>
      <c r="D19" s="2">
        <f t="shared" si="0"/>
        <v>-1399.5221406291996</v>
      </c>
    </row>
    <row r="20" spans="2:4" x14ac:dyDescent="0.25">
      <c r="B20">
        <v>9</v>
      </c>
      <c r="C20">
        <v>-2000</v>
      </c>
      <c r="D20" s="2">
        <f t="shared" si="0"/>
        <v>-848.19523674496929</v>
      </c>
    </row>
    <row r="21" spans="2:4" x14ac:dyDescent="0.25">
      <c r="B21">
        <v>10</v>
      </c>
      <c r="C21">
        <v>-1000</v>
      </c>
      <c r="D21" s="2">
        <f t="shared" si="0"/>
        <v>-385.54328942953146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DC8D-E04C-4F5F-B369-9406E3BEBD8C}">
  <dimension ref="B7:D10"/>
  <sheetViews>
    <sheetView topLeftCell="B1" workbookViewId="0">
      <selection activeCell="C10" sqref="C10"/>
    </sheetView>
  </sheetViews>
  <sheetFormatPr defaultColWidth="11.42578125" defaultRowHeight="15" x14ac:dyDescent="0.25"/>
  <cols>
    <col min="3" max="3" width="14.28515625" bestFit="1" customWidth="1"/>
  </cols>
  <sheetData>
    <row r="7" spans="2:4" x14ac:dyDescent="0.25">
      <c r="B7" t="s">
        <v>8</v>
      </c>
      <c r="C7" s="14">
        <v>1000000</v>
      </c>
    </row>
    <row r="8" spans="2:4" x14ac:dyDescent="0.25">
      <c r="B8" t="s">
        <v>3</v>
      </c>
      <c r="C8">
        <v>5</v>
      </c>
      <c r="D8" t="s">
        <v>4</v>
      </c>
    </row>
    <row r="9" spans="2:4" x14ac:dyDescent="0.25">
      <c r="B9" t="s">
        <v>0</v>
      </c>
      <c r="C9" s="1">
        <v>0.2</v>
      </c>
      <c r="D9" t="s">
        <v>1</v>
      </c>
    </row>
    <row r="10" spans="2:4" x14ac:dyDescent="0.25">
      <c r="B10" t="s">
        <v>5</v>
      </c>
      <c r="C10" s="20">
        <f>FV(C9,C8,,C7)</f>
        <v>-2488320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22973-6193-4EAC-8077-EBCBC99A6013}">
  <dimension ref="A10:G60"/>
  <sheetViews>
    <sheetView workbookViewId="0">
      <selection activeCell="C15" sqref="C15"/>
    </sheetView>
  </sheetViews>
  <sheetFormatPr defaultColWidth="11.42578125" defaultRowHeight="15" x14ac:dyDescent="0.25"/>
  <cols>
    <col min="3" max="3" width="15.28515625" bestFit="1" customWidth="1"/>
    <col min="5" max="6" width="14.28515625" bestFit="1" customWidth="1"/>
  </cols>
  <sheetData>
    <row r="10" spans="1:3" x14ac:dyDescent="0.25">
      <c r="A10" t="s">
        <v>40</v>
      </c>
    </row>
    <row r="11" spans="1:3" x14ac:dyDescent="0.25">
      <c r="B11" t="s">
        <v>6</v>
      </c>
      <c r="C11" s="14">
        <v>-2500000</v>
      </c>
    </row>
    <row r="12" spans="1:3" x14ac:dyDescent="0.25">
      <c r="B12" t="s">
        <v>0</v>
      </c>
      <c r="C12" s="7">
        <v>3.5000000000000003E-2</v>
      </c>
    </row>
    <row r="13" spans="1:3" x14ac:dyDescent="0.25">
      <c r="B13" t="s">
        <v>35</v>
      </c>
      <c r="C13">
        <v>40</v>
      </c>
    </row>
    <row r="14" spans="1:3" x14ac:dyDescent="0.25">
      <c r="B14" t="s">
        <v>5</v>
      </c>
      <c r="C14" s="3">
        <f>FV(C12,C13,,C11)</f>
        <v>9898149.3029317241</v>
      </c>
    </row>
    <row r="15" spans="1:3" x14ac:dyDescent="0.25">
      <c r="C15" s="2"/>
    </row>
    <row r="16" spans="1:3" x14ac:dyDescent="0.25">
      <c r="A16" t="s">
        <v>41</v>
      </c>
    </row>
    <row r="17" spans="1:7" x14ac:dyDescent="0.25">
      <c r="A17" t="s">
        <v>36</v>
      </c>
      <c r="B17">
        <v>2500000</v>
      </c>
    </row>
    <row r="18" spans="1:7" x14ac:dyDescent="0.25">
      <c r="A18" t="s">
        <v>3</v>
      </c>
      <c r="B18">
        <f>20*2</f>
        <v>40</v>
      </c>
      <c r="D18" t="s">
        <v>20</v>
      </c>
    </row>
    <row r="19" spans="1:7" x14ac:dyDescent="0.25">
      <c r="A19" t="s">
        <v>37</v>
      </c>
      <c r="B19">
        <v>3.5000000000000003E-2</v>
      </c>
    </row>
    <row r="20" spans="1:7" x14ac:dyDescent="0.25">
      <c r="E20" t="s">
        <v>38</v>
      </c>
      <c r="G20" t="s">
        <v>39</v>
      </c>
    </row>
    <row r="21" spans="1:7" x14ac:dyDescent="0.25">
      <c r="E21" s="14">
        <f>B17</f>
        <v>2500000</v>
      </c>
      <c r="F21" s="14">
        <f>E21*(1+$B$19)</f>
        <v>2587500</v>
      </c>
      <c r="G21">
        <v>1</v>
      </c>
    </row>
    <row r="22" spans="1:7" x14ac:dyDescent="0.25">
      <c r="E22" s="14">
        <f>F21</f>
        <v>2587500</v>
      </c>
      <c r="F22" s="14">
        <f>E22*(1+$B$19)</f>
        <v>2678062.5</v>
      </c>
      <c r="G22">
        <v>2</v>
      </c>
    </row>
    <row r="23" spans="1:7" x14ac:dyDescent="0.25">
      <c r="E23" s="14">
        <f t="shared" ref="E23:E60" si="0">F22</f>
        <v>2678062.5</v>
      </c>
      <c r="F23" s="14">
        <f t="shared" ref="F23:F60" si="1">E23*(1+$B$19)</f>
        <v>2771794.6875</v>
      </c>
      <c r="G23">
        <v>3</v>
      </c>
    </row>
    <row r="24" spans="1:7" x14ac:dyDescent="0.25">
      <c r="E24" s="14">
        <f t="shared" si="0"/>
        <v>2771794.6875</v>
      </c>
      <c r="F24" s="14">
        <f t="shared" si="1"/>
        <v>2868807.5015624999</v>
      </c>
      <c r="G24">
        <v>4</v>
      </c>
    </row>
    <row r="25" spans="1:7" x14ac:dyDescent="0.25">
      <c r="E25" s="14">
        <f t="shared" si="0"/>
        <v>2868807.5015624999</v>
      </c>
      <c r="F25" s="14">
        <f t="shared" si="1"/>
        <v>2969215.7641171874</v>
      </c>
      <c r="G25">
        <v>5</v>
      </c>
    </row>
    <row r="26" spans="1:7" x14ac:dyDescent="0.25">
      <c r="E26" s="14">
        <f t="shared" si="0"/>
        <v>2969215.7641171874</v>
      </c>
      <c r="F26" s="14">
        <f t="shared" si="1"/>
        <v>3073138.3158612885</v>
      </c>
      <c r="G26">
        <v>6</v>
      </c>
    </row>
    <row r="27" spans="1:7" x14ac:dyDescent="0.25">
      <c r="E27" s="14">
        <f t="shared" si="0"/>
        <v>3073138.3158612885</v>
      </c>
      <c r="F27" s="14">
        <f t="shared" si="1"/>
        <v>3180698.1569164335</v>
      </c>
      <c r="G27">
        <v>7</v>
      </c>
    </row>
    <row r="28" spans="1:7" x14ac:dyDescent="0.25">
      <c r="E28" s="14">
        <f t="shared" si="0"/>
        <v>3180698.1569164335</v>
      </c>
      <c r="F28" s="14">
        <f t="shared" si="1"/>
        <v>3292022.5924085085</v>
      </c>
      <c r="G28">
        <v>8</v>
      </c>
    </row>
    <row r="29" spans="1:7" x14ac:dyDescent="0.25">
      <c r="E29" s="14">
        <f t="shared" si="0"/>
        <v>3292022.5924085085</v>
      </c>
      <c r="F29" s="14">
        <f t="shared" si="1"/>
        <v>3407243.3831428061</v>
      </c>
      <c r="G29">
        <v>9</v>
      </c>
    </row>
    <row r="30" spans="1:7" x14ac:dyDescent="0.25">
      <c r="E30" s="14">
        <f t="shared" si="0"/>
        <v>3407243.3831428061</v>
      </c>
      <c r="F30" s="14">
        <f t="shared" si="1"/>
        <v>3526496.9015528043</v>
      </c>
      <c r="G30">
        <v>10</v>
      </c>
    </row>
    <row r="31" spans="1:7" x14ac:dyDescent="0.25">
      <c r="E31" s="14">
        <f t="shared" si="0"/>
        <v>3526496.9015528043</v>
      </c>
      <c r="F31" s="14">
        <f t="shared" si="1"/>
        <v>3649924.293107152</v>
      </c>
      <c r="G31">
        <v>11</v>
      </c>
    </row>
    <row r="32" spans="1:7" x14ac:dyDescent="0.25">
      <c r="E32" s="14">
        <f t="shared" si="0"/>
        <v>3649924.293107152</v>
      </c>
      <c r="F32" s="14">
        <f t="shared" si="1"/>
        <v>3777671.6433659019</v>
      </c>
      <c r="G32">
        <v>12</v>
      </c>
    </row>
    <row r="33" spans="5:7" x14ac:dyDescent="0.25">
      <c r="E33" s="14">
        <f t="shared" si="0"/>
        <v>3777671.6433659019</v>
      </c>
      <c r="F33" s="14">
        <f t="shared" si="1"/>
        <v>3909890.1508837081</v>
      </c>
      <c r="G33">
        <v>13</v>
      </c>
    </row>
    <row r="34" spans="5:7" x14ac:dyDescent="0.25">
      <c r="E34" s="14">
        <f t="shared" si="0"/>
        <v>3909890.1508837081</v>
      </c>
      <c r="F34" s="14">
        <f t="shared" si="1"/>
        <v>4046736.3061646377</v>
      </c>
      <c r="G34">
        <v>14</v>
      </c>
    </row>
    <row r="35" spans="5:7" x14ac:dyDescent="0.25">
      <c r="E35" s="14">
        <f t="shared" si="0"/>
        <v>4046736.3061646377</v>
      </c>
      <c r="F35" s="14">
        <f t="shared" si="1"/>
        <v>4188372.0768803996</v>
      </c>
      <c r="G35">
        <v>15</v>
      </c>
    </row>
    <row r="36" spans="5:7" x14ac:dyDescent="0.25">
      <c r="E36" s="14">
        <f t="shared" si="0"/>
        <v>4188372.0768803996</v>
      </c>
      <c r="F36" s="14">
        <f t="shared" si="1"/>
        <v>4334965.0995712131</v>
      </c>
      <c r="G36">
        <v>16</v>
      </c>
    </row>
    <row r="37" spans="5:7" x14ac:dyDescent="0.25">
      <c r="E37" s="14">
        <f t="shared" si="0"/>
        <v>4334965.0995712131</v>
      </c>
      <c r="F37" s="14">
        <f t="shared" si="1"/>
        <v>4486688.8780562049</v>
      </c>
      <c r="G37">
        <v>17</v>
      </c>
    </row>
    <row r="38" spans="5:7" x14ac:dyDescent="0.25">
      <c r="E38" s="14">
        <f t="shared" si="0"/>
        <v>4486688.8780562049</v>
      </c>
      <c r="F38" s="14">
        <f t="shared" si="1"/>
        <v>4643722.9887881717</v>
      </c>
      <c r="G38">
        <v>18</v>
      </c>
    </row>
    <row r="39" spans="5:7" x14ac:dyDescent="0.25">
      <c r="E39" s="14">
        <f t="shared" si="0"/>
        <v>4643722.9887881717</v>
      </c>
      <c r="F39" s="14">
        <f t="shared" si="1"/>
        <v>4806253.2933957577</v>
      </c>
      <c r="G39">
        <v>19</v>
      </c>
    </row>
    <row r="40" spans="5:7" x14ac:dyDescent="0.25">
      <c r="E40" s="14">
        <f t="shared" si="0"/>
        <v>4806253.2933957577</v>
      </c>
      <c r="F40" s="14">
        <f t="shared" si="1"/>
        <v>4974472.1586646084</v>
      </c>
      <c r="G40">
        <v>20</v>
      </c>
    </row>
    <row r="41" spans="5:7" x14ac:dyDescent="0.25">
      <c r="E41" s="14">
        <f t="shared" si="0"/>
        <v>4974472.1586646084</v>
      </c>
      <c r="F41" s="14">
        <f t="shared" si="1"/>
        <v>5148578.6842178693</v>
      </c>
      <c r="G41">
        <v>21</v>
      </c>
    </row>
    <row r="42" spans="5:7" x14ac:dyDescent="0.25">
      <c r="E42" s="14">
        <f t="shared" si="0"/>
        <v>5148578.6842178693</v>
      </c>
      <c r="F42" s="14">
        <f t="shared" si="1"/>
        <v>5328778.9381654942</v>
      </c>
      <c r="G42">
        <v>22</v>
      </c>
    </row>
    <row r="43" spans="5:7" x14ac:dyDescent="0.25">
      <c r="E43" s="14">
        <f t="shared" si="0"/>
        <v>5328778.9381654942</v>
      </c>
      <c r="F43" s="14">
        <f t="shared" si="1"/>
        <v>5515286.2010012865</v>
      </c>
      <c r="G43">
        <v>23</v>
      </c>
    </row>
    <row r="44" spans="5:7" x14ac:dyDescent="0.25">
      <c r="E44" s="14">
        <f t="shared" si="0"/>
        <v>5515286.2010012865</v>
      </c>
      <c r="F44" s="14">
        <f t="shared" si="1"/>
        <v>5708321.2180363312</v>
      </c>
      <c r="G44">
        <v>24</v>
      </c>
    </row>
    <row r="45" spans="5:7" x14ac:dyDescent="0.25">
      <c r="E45" s="14">
        <f t="shared" si="0"/>
        <v>5708321.2180363312</v>
      </c>
      <c r="F45" s="14">
        <f t="shared" si="1"/>
        <v>5908112.4606676027</v>
      </c>
      <c r="G45">
        <v>25</v>
      </c>
    </row>
    <row r="46" spans="5:7" x14ac:dyDescent="0.25">
      <c r="E46" s="14">
        <f t="shared" si="0"/>
        <v>5908112.4606676027</v>
      </c>
      <c r="F46" s="14">
        <f t="shared" si="1"/>
        <v>6114896.3967909683</v>
      </c>
      <c r="G46">
        <v>26</v>
      </c>
    </row>
    <row r="47" spans="5:7" x14ac:dyDescent="0.25">
      <c r="E47" s="14">
        <f t="shared" si="0"/>
        <v>6114896.3967909683</v>
      </c>
      <c r="F47" s="14">
        <f t="shared" si="1"/>
        <v>6328917.7706786515</v>
      </c>
      <c r="G47">
        <v>27</v>
      </c>
    </row>
    <row r="48" spans="5:7" x14ac:dyDescent="0.25">
      <c r="E48" s="14">
        <f t="shared" si="0"/>
        <v>6328917.7706786515</v>
      </c>
      <c r="F48" s="14">
        <f t="shared" si="1"/>
        <v>6550429.8926524036</v>
      </c>
      <c r="G48">
        <v>28</v>
      </c>
    </row>
    <row r="49" spans="5:7" x14ac:dyDescent="0.25">
      <c r="E49" s="14">
        <f t="shared" si="0"/>
        <v>6550429.8926524036</v>
      </c>
      <c r="F49" s="14">
        <f t="shared" si="1"/>
        <v>6779694.9388952367</v>
      </c>
      <c r="G49">
        <v>29</v>
      </c>
    </row>
    <row r="50" spans="5:7" x14ac:dyDescent="0.25">
      <c r="E50" s="14">
        <f t="shared" si="0"/>
        <v>6779694.9388952367</v>
      </c>
      <c r="F50" s="14">
        <f t="shared" si="1"/>
        <v>7016984.2617565691</v>
      </c>
      <c r="G50">
        <v>30</v>
      </c>
    </row>
    <row r="51" spans="5:7" x14ac:dyDescent="0.25">
      <c r="E51" s="14">
        <f t="shared" si="0"/>
        <v>7016984.2617565691</v>
      </c>
      <c r="F51" s="14">
        <f t="shared" si="1"/>
        <v>7262578.7109180484</v>
      </c>
      <c r="G51">
        <v>31</v>
      </c>
    </row>
    <row r="52" spans="5:7" x14ac:dyDescent="0.25">
      <c r="E52" s="14">
        <f t="shared" si="0"/>
        <v>7262578.7109180484</v>
      </c>
      <c r="F52" s="14">
        <f t="shared" si="1"/>
        <v>7516768.9658001792</v>
      </c>
      <c r="G52">
        <v>32</v>
      </c>
    </row>
    <row r="53" spans="5:7" x14ac:dyDescent="0.25">
      <c r="E53" s="14">
        <f t="shared" si="0"/>
        <v>7516768.9658001792</v>
      </c>
      <c r="F53" s="14">
        <f t="shared" si="1"/>
        <v>7779855.8796031848</v>
      </c>
      <c r="G53">
        <v>33</v>
      </c>
    </row>
    <row r="54" spans="5:7" x14ac:dyDescent="0.25">
      <c r="E54" s="14">
        <f t="shared" si="0"/>
        <v>7779855.8796031848</v>
      </c>
      <c r="F54" s="14">
        <f t="shared" si="1"/>
        <v>8052150.8353892956</v>
      </c>
      <c r="G54">
        <v>34</v>
      </c>
    </row>
    <row r="55" spans="5:7" x14ac:dyDescent="0.25">
      <c r="E55" s="14">
        <f t="shared" si="0"/>
        <v>8052150.8353892956</v>
      </c>
      <c r="F55" s="14">
        <f t="shared" si="1"/>
        <v>8333976.1146279201</v>
      </c>
      <c r="G55">
        <v>35</v>
      </c>
    </row>
    <row r="56" spans="5:7" x14ac:dyDescent="0.25">
      <c r="E56" s="14">
        <f t="shared" si="0"/>
        <v>8333976.1146279201</v>
      </c>
      <c r="F56" s="14">
        <f t="shared" si="1"/>
        <v>8625665.2786398958</v>
      </c>
      <c r="G56">
        <v>36</v>
      </c>
    </row>
    <row r="57" spans="5:7" x14ac:dyDescent="0.25">
      <c r="E57" s="14">
        <f t="shared" si="0"/>
        <v>8625665.2786398958</v>
      </c>
      <c r="F57" s="14">
        <f t="shared" si="1"/>
        <v>8927563.5633922908</v>
      </c>
      <c r="G57">
        <v>37</v>
      </c>
    </row>
    <row r="58" spans="5:7" x14ac:dyDescent="0.25">
      <c r="E58" s="14">
        <f t="shared" si="0"/>
        <v>8927563.5633922908</v>
      </c>
      <c r="F58" s="14">
        <f t="shared" si="1"/>
        <v>9240028.2881110199</v>
      </c>
      <c r="G58">
        <v>38</v>
      </c>
    </row>
    <row r="59" spans="5:7" x14ac:dyDescent="0.25">
      <c r="E59" s="14">
        <f t="shared" si="0"/>
        <v>9240028.2881110199</v>
      </c>
      <c r="F59" s="14">
        <f t="shared" si="1"/>
        <v>9563429.2781949043</v>
      </c>
      <c r="G59">
        <v>39</v>
      </c>
    </row>
    <row r="60" spans="5:7" x14ac:dyDescent="0.25">
      <c r="E60" s="14">
        <f t="shared" si="0"/>
        <v>9563429.2781949043</v>
      </c>
      <c r="F60" s="16">
        <f t="shared" si="1"/>
        <v>9898149.302931726</v>
      </c>
      <c r="G60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Integrantes del grupo</vt:lpstr>
      <vt:lpstr>Punto 1</vt:lpstr>
      <vt:lpstr>Punto 2</vt:lpstr>
      <vt:lpstr>Punto 3</vt:lpstr>
      <vt:lpstr>Punto 4</vt:lpstr>
      <vt:lpstr>Punto 5</vt:lpstr>
      <vt:lpstr>Punto 6</vt:lpstr>
      <vt:lpstr>Punto 7</vt:lpstr>
      <vt:lpstr>Punto 8</vt:lpstr>
      <vt:lpstr>Punto 9</vt:lpstr>
      <vt:lpstr>Punto 10</vt:lpstr>
      <vt:lpstr>Punto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Lenovo</cp:lastModifiedBy>
  <dcterms:created xsi:type="dcterms:W3CDTF">2021-03-07T22:10:09Z</dcterms:created>
  <dcterms:modified xsi:type="dcterms:W3CDTF">2021-03-17T17:22:26Z</dcterms:modified>
</cp:coreProperties>
</file>