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Lenovo\Documents\GitHub\finanzas-avanzadas\Talleres\Taller 5\"/>
    </mc:Choice>
  </mc:AlternateContent>
  <xr:revisionPtr revIDLastSave="0" documentId="13_ncr:1_{EA33A5AE-10E0-4A60-81A4-B1E50166B30B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Nombres" sheetId="1" r:id="rId1"/>
    <sheet name="Punto 1" sheetId="2" r:id="rId2"/>
    <sheet name="Punto 2" sheetId="3" r:id="rId3"/>
    <sheet name="Punto 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iRfBuzn7Jq74YlOreXGy0sBJX5Fg=="/>
    </ext>
  </extLst>
</workbook>
</file>

<file path=xl/calcChain.xml><?xml version="1.0" encoding="utf-8"?>
<calcChain xmlns="http://schemas.openxmlformats.org/spreadsheetml/2006/main">
  <c r="Q37" i="4" l="1"/>
  <c r="H40" i="4" s="1"/>
  <c r="H41" i="4" s="1"/>
  <c r="H42" i="4" s="1"/>
  <c r="C29" i="4"/>
  <c r="C28" i="4"/>
  <c r="C27" i="4"/>
  <c r="C20" i="4"/>
  <c r="C21" i="4" s="1"/>
  <c r="C22" i="4" s="1"/>
  <c r="F17" i="4"/>
  <c r="F48" i="3"/>
  <c r="F46" i="3"/>
  <c r="F44" i="3"/>
  <c r="F42" i="3"/>
  <c r="F40" i="3"/>
  <c r="F38" i="3"/>
  <c r="G29" i="3"/>
  <c r="H46" i="3" s="1"/>
  <c r="H28" i="3"/>
  <c r="G28" i="3"/>
  <c r="F28" i="3"/>
  <c r="D28" i="3"/>
  <c r="C28" i="3"/>
  <c r="B28" i="3"/>
  <c r="H27" i="3"/>
  <c r="G27" i="3"/>
  <c r="F27" i="3"/>
  <c r="D27" i="3"/>
  <c r="C27" i="3"/>
  <c r="B27" i="3"/>
  <c r="H26" i="3"/>
  <c r="G26" i="3"/>
  <c r="F26" i="3"/>
  <c r="D26" i="3"/>
  <c r="C26" i="3"/>
  <c r="B26" i="3"/>
  <c r="H25" i="3"/>
  <c r="G25" i="3"/>
  <c r="F25" i="3"/>
  <c r="D25" i="3"/>
  <c r="C25" i="3"/>
  <c r="B25" i="3"/>
  <c r="B29" i="3" s="1"/>
  <c r="H24" i="3"/>
  <c r="H29" i="3" s="1"/>
  <c r="H48" i="3" s="1"/>
  <c r="G24" i="3"/>
  <c r="G30" i="3" s="1"/>
  <c r="F24" i="3"/>
  <c r="F30" i="3" s="1"/>
  <c r="D24" i="3"/>
  <c r="D29" i="3" s="1"/>
  <c r="H42" i="3" s="1"/>
  <c r="C24" i="3"/>
  <c r="C29" i="3" s="1"/>
  <c r="H40" i="3" s="1"/>
  <c r="B24" i="3"/>
  <c r="B30" i="3" s="1"/>
  <c r="G19" i="3"/>
  <c r="C19" i="3"/>
  <c r="G18" i="3"/>
  <c r="C18" i="3"/>
  <c r="G17" i="3"/>
  <c r="C17" i="3"/>
  <c r="E33" i="2"/>
  <c r="F33" i="2" s="1"/>
  <c r="F32" i="2"/>
  <c r="E32" i="2"/>
  <c r="E31" i="2"/>
  <c r="F31" i="2" s="1"/>
  <c r="F30" i="2"/>
  <c r="E30" i="2"/>
  <c r="E29" i="2"/>
  <c r="F29" i="2" s="1"/>
  <c r="C37" i="2" s="1" a="1"/>
  <c r="C37" i="2" s="1"/>
  <c r="C13" i="2"/>
  <c r="D19" i="2" s="1"/>
  <c r="G19" i="2" s="1"/>
  <c r="C32" i="3" l="1" a="1"/>
  <c r="C32" i="3" s="1"/>
  <c r="H38" i="3"/>
  <c r="F29" i="3"/>
  <c r="C30" i="3"/>
  <c r="H30" i="3"/>
  <c r="D30" i="3"/>
  <c r="D16" i="2"/>
  <c r="G16" i="2" s="1"/>
  <c r="D18" i="2"/>
  <c r="G18" i="2" s="1"/>
  <c r="D20" i="2"/>
  <c r="G20" i="2" s="1"/>
  <c r="D17" i="2"/>
  <c r="G17" i="2" s="1"/>
  <c r="L46" i="4"/>
  <c r="L47" i="4" s="1"/>
  <c r="G21" i="2" l="1" a="1"/>
  <c r="G21" i="2" s="1"/>
  <c r="G22" i="2"/>
  <c r="H44" i="3"/>
  <c r="G32" i="3" a="1"/>
  <c r="G32" i="3" s="1"/>
  <c r="D36" i="3"/>
  <c r="D37" i="3" s="1"/>
  <c r="D38" i="3" l="1"/>
  <c r="C33" i="3"/>
  <c r="C34" i="3" s="1"/>
  <c r="D48" i="3"/>
  <c r="D49" i="3" s="1"/>
  <c r="D50" i="3" l="1"/>
  <c r="G33" i="3"/>
  <c r="G34" i="3" s="1"/>
</calcChain>
</file>

<file path=xl/sharedStrings.xml><?xml version="1.0" encoding="utf-8"?>
<sst xmlns="http://schemas.openxmlformats.org/spreadsheetml/2006/main" count="102" uniqueCount="72">
  <si>
    <t xml:space="preserve">Mariana Garzón </t>
  </si>
  <si>
    <t xml:space="preserve">Oscar Medina </t>
  </si>
  <si>
    <t xml:space="preserve">Juan Ramírez </t>
  </si>
  <si>
    <t xml:space="preserve">Germán Rodriguez </t>
  </si>
  <si>
    <t>Una empresa ha solicitado un préstamo de $ 1.000.000 para comprar un torno
automático. El préstamo ha sido obtenido en una institución bancaria que exige una
tasa de interés de 20% anual y la devolución del préstamo en cinco anualidades iguales.
Si las utilidades netas anuales generadas por este torno se estiman en $ 308.000, y su
valor de rescate al final del quinto año se estima en $200.000, ¿debería esta empresa
adquirir el torno?</t>
  </si>
  <si>
    <t>Método 1</t>
  </si>
  <si>
    <t>i</t>
  </si>
  <si>
    <t>Prestamo</t>
  </si>
  <si>
    <t>Anualidad</t>
  </si>
  <si>
    <t>Egresos</t>
  </si>
  <si>
    <t>Ingresos</t>
  </si>
  <si>
    <t>Flujo de caja</t>
  </si>
  <si>
    <t>VNA</t>
  </si>
  <si>
    <t>TIRA</t>
  </si>
  <si>
    <t>Método 2 (método correcto)</t>
  </si>
  <si>
    <t xml:space="preserve">i </t>
  </si>
  <si>
    <t>préstamo</t>
  </si>
  <si>
    <t>valor salvamiento</t>
  </si>
  <si>
    <t>Utilidad neta</t>
  </si>
  <si>
    <t>Depreciación</t>
  </si>
  <si>
    <t>Flujo de Caja</t>
  </si>
  <si>
    <t>VPN</t>
  </si>
  <si>
    <t xml:space="preserve"> </t>
  </si>
  <si>
    <t>La Corporación X desea introducir al mercado un nuevo producto. Para esto, la
Corporación actualmente analiza dos posibles cursos de acción: construir una planta
pequeña o construir una planta grande. El costo de la planta grande se estima en $ 5
millones y en $ 2 millones el de la planta pequeña. Si se construye la planta grande y la demanda en los próximos cinco años es alta, mediana o baja, entonces los ingresos
netos anuales se estiman en $1.8 millones, $1.5 millones y $1.2 millones
respectivamente. Si se construye la planta chica y la demanda en los próximos cinco
años es alta, media o baja, entonces los ingresos netos anuales se estiman en $0.8
millones, $0.7 millones y $0.6 millones respectivamente. Si la TREMA para esta
Corporación es del 15% ¿Qué curso de acción debería ser tomado? ¿Cuál alternativa es más riesgosa?. Las probabilidades de demanda alta, media y baja son respectivamente:
2/5, 2/5 y 1/5.</t>
  </si>
  <si>
    <t>TREMA</t>
  </si>
  <si>
    <t>Planta grande</t>
  </si>
  <si>
    <t>Planta pequeña</t>
  </si>
  <si>
    <t>Probabilidad Demanda</t>
  </si>
  <si>
    <t>Ingreso</t>
  </si>
  <si>
    <t>Alta</t>
  </si>
  <si>
    <t>Media</t>
  </si>
  <si>
    <t>Baja</t>
  </si>
  <si>
    <t>Flujo de Caja Planta Grande</t>
  </si>
  <si>
    <t>Flujo de Caja Planta Pequeña</t>
  </si>
  <si>
    <t>Demanda alta</t>
  </si>
  <si>
    <t>Demanda media</t>
  </si>
  <si>
    <t>Demanda baja</t>
  </si>
  <si>
    <t>La mejor opción es constuir la fabrica pequeña dado que tanto el valor presente neto como la tasa de retorno son más grandes al construir la fabrica pequeña y además dicha fabrica es un proyecto menos riesgoso (medido en términos de desviación estándar) que la construcción de la fabrica grande</t>
  </si>
  <si>
    <t>TIR</t>
  </si>
  <si>
    <t>VNA esperado</t>
  </si>
  <si>
    <t>Dev. estandar</t>
  </si>
  <si>
    <t xml:space="preserve">Teniendo en cuenta la desvición estandar, la construcción más riesgosa es la de una planta grande </t>
  </si>
  <si>
    <t>Coef. variacion</t>
  </si>
  <si>
    <t>VME</t>
  </si>
  <si>
    <t>Prob. demanda</t>
  </si>
  <si>
    <t>Dev</t>
  </si>
  <si>
    <t>Coef. var.</t>
  </si>
  <si>
    <t>Plantas</t>
  </si>
  <si>
    <t>Dev estandar</t>
  </si>
  <si>
    <t>Una compañía de seguros nos ofrece una indemnización por accidente de $210.000. Si
no aceptamos la oferta y decidimos ir a juicio podemos obtener $185.000$, $415.000 o
$580.000, dependiendo de las alegaciones que el juez considere aceptables. Si
perdemos el juicio, debemos pagar las costas que ascienden a $30.000. Sabiendo que el
70% de los juicios se gana, y de éstos, en el 50% se obtiene la menor indemnización, en
el 30% la intermedia y en el 20% la más alta, determinar la decisión más acertada.</t>
  </si>
  <si>
    <t>Indemnización por accidente</t>
  </si>
  <si>
    <t>No aceptar la oferta e ir a juicio</t>
  </si>
  <si>
    <t>Perder</t>
  </si>
  <si>
    <t>Se debe aceptar la indemnización de 210.000 dado que el ingreso esperado de ir no aceptar la oferta e ir a juicio es muy cercano a la indeminización por accidente (ligeramente mayor en el caso de ir a juicio) pero existe un riesgo muy alto (medido en términos de la desviación estándar del ingreso) en la opción de aceptar la indemnización por accidente y no ir a juicio. En resumen, prefeririamos no ir a juicio y aceptar la indeminización dado que la otra opción de ir a juicio presenta un ligero ingreso esperado mayor pero a costa de un riesgo muy alto por lo que no valdría la pena tomar dicho riesgo. Acá nos estamos comportando como agentes aversos al riesgo</t>
  </si>
  <si>
    <t xml:space="preserve">Lo que decida el juez </t>
  </si>
  <si>
    <t>VNAE</t>
  </si>
  <si>
    <t>desv</t>
  </si>
  <si>
    <t>Coef. var</t>
  </si>
  <si>
    <t>Ingreso esperado</t>
  </si>
  <si>
    <t>Desv. estandar</t>
  </si>
  <si>
    <t>Coef. variación</t>
  </si>
  <si>
    <t xml:space="preserve">Pi * (xi-E[x])^2 </t>
  </si>
  <si>
    <t>No juicio: 210000</t>
  </si>
  <si>
    <t xml:space="preserve">Probabilidad </t>
  </si>
  <si>
    <t>Ganar</t>
  </si>
  <si>
    <t>Probabilidad</t>
  </si>
  <si>
    <t xml:space="preserve">Indemnización </t>
  </si>
  <si>
    <t xml:space="preserve">Valor </t>
  </si>
  <si>
    <t xml:space="preserve">Si juicio </t>
  </si>
  <si>
    <t>Desv</t>
  </si>
  <si>
    <t>CV</t>
  </si>
  <si>
    <t>Intermedia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</si>
</sst>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_-[$$-409]* #,##0.00_ ;_-[$$-409]* \-#,##0.00\ ;_-[$$-409]* &quot;-&quot;??_ ;_-@_ "/>
    <numFmt numFmtId="165" formatCode="_-[$$-409]* #,##0_ ;_-[$$-409]* \-#,##0\ ;_-[$$-409]* &quot;-&quot;??_ ;_-@_ "/>
    <numFmt numFmtId="166" formatCode="0.0%"/>
    <numFmt numFmtId="167" formatCode="_-&quot;$&quot;* #,##0_-;\-&quot;$&quot;* #,##0_-;_-&quot;$&quot;* &quot;-&quot;??_-;_-@"/>
    <numFmt numFmtId="168" formatCode="_-&quot;$&quot;* #,##0.0_-;\-&quot;$&quot;* #,##0.0_-;_-&quot;$&quot;* &quot;-&quot;??.0_-;_-@"/>
    <numFmt numFmtId="169" formatCode="_-&quot;$&quot;* #,##0.00_-;\-&quot;$&quot;* #,##0.00_-;_-&quot;$&quot;* &quot;-&quot;??.00_-;_-@"/>
    <numFmt numFmtId="170" formatCode="#,##0.000000"/>
    <numFmt numFmtId="171" formatCode="#,##0.0000000"/>
    <numFmt numFmtId="172" formatCode="[$ $]#,##0"/>
    <numFmt numFmtId="173" formatCode="#,##0.000"/>
    <numFmt numFmtId="174" formatCode="0.0000"/>
    <numFmt numFmtId="175" formatCode="#,##0.00;\(#,##0.00\)"/>
  </numFmts>
  <fonts count="8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9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164" fontId="2" fillId="2" borderId="1" xfId="0" applyNumberFormat="1" applyFont="1" applyFill="1" applyBorder="1"/>
    <xf numFmtId="166" fontId="2" fillId="0" borderId="0" xfId="0" applyNumberFormat="1" applyFont="1"/>
    <xf numFmtId="0" fontId="3" fillId="0" borderId="0" xfId="0" applyFont="1" applyAlignment="1"/>
    <xf numFmtId="9" fontId="3" fillId="0" borderId="0" xfId="0" applyNumberFormat="1" applyFont="1" applyAlignment="1"/>
    <xf numFmtId="3" fontId="1" fillId="2" borderId="0" xfId="0" applyNumberFormat="1" applyFont="1" applyFill="1"/>
    <xf numFmtId="0" fontId="2" fillId="0" borderId="0" xfId="0" applyFont="1" applyAlignment="1">
      <alignment horizontal="center" wrapText="1"/>
    </xf>
    <xf numFmtId="9" fontId="1" fillId="0" borderId="0" xfId="0" applyNumberFormat="1" applyFont="1" applyAlignment="1"/>
    <xf numFmtId="167" fontId="2" fillId="0" borderId="0" xfId="0" applyNumberFormat="1" applyFont="1"/>
    <xf numFmtId="167" fontId="2" fillId="0" borderId="0" xfId="0" applyNumberFormat="1" applyFont="1" applyAlignment="1"/>
    <xf numFmtId="167" fontId="1" fillId="0" borderId="0" xfId="0" applyNumberFormat="1" applyFont="1"/>
    <xf numFmtId="0" fontId="4" fillId="0" borderId="0" xfId="0" applyFont="1" applyAlignment="1"/>
    <xf numFmtId="168" fontId="4" fillId="0" borderId="0" xfId="0" applyNumberFormat="1" applyFont="1"/>
    <xf numFmtId="9" fontId="4" fillId="0" borderId="0" xfId="0" applyNumberFormat="1" applyFont="1"/>
    <xf numFmtId="0" fontId="4" fillId="2" borderId="0" xfId="0" applyFont="1" applyFill="1" applyAlignment="1"/>
    <xf numFmtId="169" fontId="4" fillId="2" borderId="0" xfId="0" applyNumberFormat="1" applyFont="1" applyFill="1"/>
    <xf numFmtId="167" fontId="4" fillId="0" borderId="0" xfId="0" applyNumberFormat="1" applyFont="1"/>
    <xf numFmtId="0" fontId="4" fillId="0" borderId="0" xfId="0" applyFont="1"/>
    <xf numFmtId="167" fontId="2" fillId="0" borderId="1" xfId="0" applyNumberFormat="1" applyFont="1" applyBorder="1" applyAlignment="1"/>
    <xf numFmtId="167" fontId="2" fillId="0" borderId="1" xfId="0" applyNumberFormat="1" applyFont="1" applyBorder="1"/>
    <xf numFmtId="167" fontId="2" fillId="0" borderId="10" xfId="0" applyNumberFormat="1" applyFont="1" applyBorder="1" applyAlignment="1"/>
    <xf numFmtId="167" fontId="2" fillId="0" borderId="10" xfId="0" applyNumberFormat="1" applyFont="1" applyBorder="1" applyAlignment="1">
      <alignment horizontal="center"/>
    </xf>
    <xf numFmtId="170" fontId="2" fillId="0" borderId="1" xfId="0" applyNumberFormat="1" applyFont="1" applyBorder="1"/>
    <xf numFmtId="167" fontId="2" fillId="0" borderId="11" xfId="0" applyNumberFormat="1" applyFont="1" applyBorder="1"/>
    <xf numFmtId="9" fontId="2" fillId="0" borderId="12" xfId="0" applyNumberFormat="1" applyFont="1" applyBorder="1"/>
    <xf numFmtId="167" fontId="2" fillId="0" borderId="13" xfId="0" applyNumberFormat="1" applyFont="1" applyBorder="1"/>
    <xf numFmtId="167" fontId="2" fillId="0" borderId="12" xfId="0" applyNumberFormat="1" applyFont="1" applyBorder="1"/>
    <xf numFmtId="0" fontId="2" fillId="0" borderId="14" xfId="0" applyFont="1" applyBorder="1" applyAlignment="1"/>
    <xf numFmtId="167" fontId="2" fillId="0" borderId="15" xfId="0" applyNumberFormat="1" applyFont="1" applyBorder="1"/>
    <xf numFmtId="167" fontId="2" fillId="0" borderId="10" xfId="0" applyNumberFormat="1" applyFont="1" applyBorder="1"/>
    <xf numFmtId="0" fontId="2" fillId="0" borderId="10" xfId="0" applyFont="1" applyBorder="1" applyAlignment="1"/>
    <xf numFmtId="167" fontId="2" fillId="0" borderId="17" xfId="0" applyNumberFormat="1" applyFont="1" applyBorder="1"/>
    <xf numFmtId="0" fontId="2" fillId="0" borderId="15" xfId="0" applyFont="1" applyBorder="1" applyAlignment="1"/>
    <xf numFmtId="167" fontId="2" fillId="0" borderId="14" xfId="0" applyNumberFormat="1" applyFont="1" applyBorder="1"/>
    <xf numFmtId="171" fontId="2" fillId="0" borderId="1" xfId="0" applyNumberFormat="1" applyFont="1" applyBorder="1"/>
    <xf numFmtId="172" fontId="1" fillId="0" borderId="0" xfId="0" applyNumberFormat="1" applyFont="1"/>
    <xf numFmtId="172" fontId="1" fillId="0" borderId="0" xfId="0" applyNumberFormat="1" applyFont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9" fontId="1" fillId="0" borderId="0" xfId="0" applyNumberFormat="1" applyFont="1"/>
    <xf numFmtId="9" fontId="1" fillId="0" borderId="3" xfId="0" applyNumberFormat="1" applyFont="1" applyBorder="1" applyAlignment="1"/>
    <xf numFmtId="167" fontId="2" fillId="0" borderId="3" xfId="0" applyNumberFormat="1" applyFont="1" applyBorder="1"/>
    <xf numFmtId="0" fontId="4" fillId="0" borderId="3" xfId="0" applyFont="1" applyBorder="1"/>
    <xf numFmtId="167" fontId="6" fillId="4" borderId="20" xfId="0" applyNumberFormat="1" applyFont="1" applyFill="1" applyBorder="1"/>
    <xf numFmtId="0" fontId="4" fillId="0" borderId="0" xfId="0" applyFont="1"/>
    <xf numFmtId="167" fontId="6" fillId="4" borderId="21" xfId="0" applyNumberFormat="1" applyFont="1" applyFill="1" applyBorder="1"/>
    <xf numFmtId="9" fontId="1" fillId="0" borderId="8" xfId="0" applyNumberFormat="1" applyFont="1" applyBorder="1" applyAlignment="1"/>
    <xf numFmtId="167" fontId="2" fillId="0" borderId="8" xfId="0" applyNumberFormat="1" applyFont="1" applyBorder="1"/>
    <xf numFmtId="0" fontId="4" fillId="0" borderId="8" xfId="0" applyFont="1" applyBorder="1" applyAlignment="1"/>
    <xf numFmtId="173" fontId="6" fillId="4" borderId="22" xfId="0" applyNumberFormat="1" applyFont="1" applyFill="1" applyBorder="1"/>
    <xf numFmtId="167" fontId="2" fillId="2" borderId="10" xfId="0" applyNumberFormat="1" applyFont="1" applyFill="1" applyBorder="1"/>
    <xf numFmtId="169" fontId="2" fillId="2" borderId="0" xfId="0" applyNumberFormat="1" applyFont="1" applyFill="1"/>
    <xf numFmtId="174" fontId="1" fillId="2" borderId="0" xfId="0" applyNumberFormat="1" applyFont="1" applyFill="1"/>
    <xf numFmtId="0" fontId="1" fillId="0" borderId="12" xfId="0" applyFont="1" applyBorder="1" applyAlignment="1"/>
    <xf numFmtId="9" fontId="1" fillId="0" borderId="12" xfId="0" applyNumberFormat="1" applyFont="1" applyBorder="1" applyAlignment="1">
      <alignment horizontal="center"/>
    </xf>
    <xf numFmtId="9" fontId="1" fillId="0" borderId="12" xfId="0" applyNumberFormat="1" applyFont="1" applyBorder="1" applyAlignment="1"/>
    <xf numFmtId="0" fontId="3" fillId="0" borderId="12" xfId="0" applyFont="1" applyBorder="1" applyAlignment="1"/>
    <xf numFmtId="175" fontId="1" fillId="0" borderId="12" xfId="0" applyNumberFormat="1" applyFont="1" applyBorder="1"/>
    <xf numFmtId="0" fontId="1" fillId="0" borderId="12" xfId="0" applyFont="1" applyBorder="1"/>
    <xf numFmtId="0" fontId="2" fillId="0" borderId="0" xfId="0" applyFont="1" applyAlignment="1">
      <alignment horizontal="left" vertical="center" wrapText="1"/>
    </xf>
    <xf numFmtId="0" fontId="0" fillId="0" borderId="0" xfId="0" applyFont="1" applyAlignment="1"/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7" fontId="2" fillId="0" borderId="16" xfId="0" applyNumberFormat="1" applyFont="1" applyBorder="1" applyAlignment="1">
      <alignment vertical="center"/>
    </xf>
    <xf numFmtId="0" fontId="3" fillId="0" borderId="18" xfId="0" applyFont="1" applyBorder="1"/>
    <xf numFmtId="0" fontId="3" fillId="0" borderId="19" xfId="0" applyFont="1" applyBorder="1"/>
    <xf numFmtId="0" fontId="1" fillId="0" borderId="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/>
    </xf>
    <xf numFmtId="0" fontId="3" fillId="0" borderId="24" xfId="0" applyFont="1" applyBorder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5" fillId="3" borderId="0" xfId="0" applyFont="1" applyFill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9" fontId="1" fillId="0" borderId="3" xfId="0" applyNumberFormat="1" applyFont="1" applyBorder="1" applyAlignment="1">
      <alignment vertical="center"/>
    </xf>
    <xf numFmtId="0" fontId="1" fillId="0" borderId="16" xfId="0" applyFont="1" applyBorder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1038225</xdr:colOff>
      <xdr:row>39</xdr:row>
      <xdr:rowOff>19050</xdr:rowOff>
    </xdr:from>
    <xdr:ext cx="361950" cy="685800"/>
    <xdr:grpSp>
      <xdr:nvGrpSpPr>
        <xdr:cNvPr id="2" name="Shape 2" title="Dibuj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2905125" y="7686675"/>
          <a:ext cx="361950" cy="685800"/>
          <a:chOff x="2143950" y="1396450"/>
          <a:chExt cx="698400" cy="46230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CxnSpPr/>
        </xdr:nvCxnSpPr>
        <xdr:spPr>
          <a:xfrm rot="10800000" flipH="1">
            <a:off x="2143950" y="1396450"/>
            <a:ext cx="698400" cy="4623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</xdr:col>
      <xdr:colOff>1057275</xdr:colOff>
      <xdr:row>42</xdr:row>
      <xdr:rowOff>95250</xdr:rowOff>
    </xdr:from>
    <xdr:ext cx="361950" cy="561975"/>
    <xdr:grpSp>
      <xdr:nvGrpSpPr>
        <xdr:cNvPr id="4" name="Shape 2" title="Dibujo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pSpPr/>
      </xdr:nvGrpSpPr>
      <xdr:grpSpPr>
        <a:xfrm>
          <a:off x="2924175" y="8362950"/>
          <a:ext cx="361950" cy="561975"/>
          <a:chOff x="2124275" y="1573525"/>
          <a:chExt cx="658800" cy="41310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CxnSpPr/>
        </xdr:nvCxnSpPr>
        <xdr:spPr>
          <a:xfrm>
            <a:off x="2124275" y="1573525"/>
            <a:ext cx="658800" cy="4131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257175</xdr:colOff>
      <xdr:row>38</xdr:row>
      <xdr:rowOff>57150</xdr:rowOff>
    </xdr:from>
    <xdr:ext cx="485775" cy="419100"/>
    <xdr:grpSp>
      <xdr:nvGrpSpPr>
        <xdr:cNvPr id="6" name="Shape 2" title="Dibujo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pSpPr/>
      </xdr:nvGrpSpPr>
      <xdr:grpSpPr>
        <a:xfrm>
          <a:off x="3190875" y="7524750"/>
          <a:ext cx="485775" cy="419100"/>
          <a:chOff x="1622625" y="1648875"/>
          <a:chExt cx="462300" cy="400200"/>
        </a:xfrm>
      </xdr:grpSpPr>
      <xdr:sp macro="" textlink="">
        <xdr:nvSpPr>
          <xdr:cNvPr id="7" name="Shape 5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/>
        </xdr:nvSpPr>
        <xdr:spPr>
          <a:xfrm>
            <a:off x="1681725" y="1681725"/>
            <a:ext cx="344100" cy="334500"/>
          </a:xfrm>
          <a:prstGeom prst="ellipse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8" name="Shape 6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SpPr txBox="1"/>
        </xdr:nvSpPr>
        <xdr:spPr>
          <a:xfrm>
            <a:off x="1622625" y="1648875"/>
            <a:ext cx="462300" cy="4002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PG</a:t>
            </a:r>
            <a:endParaRPr sz="1400"/>
          </a:p>
        </xdr:txBody>
      </xdr:sp>
    </xdr:grpSp>
    <xdr:clientData fLocksWithSheet="0"/>
  </xdr:oneCellAnchor>
  <xdr:oneCellAnchor>
    <xdr:from>
      <xdr:col>3</xdr:col>
      <xdr:colOff>285750</xdr:colOff>
      <xdr:row>44</xdr:row>
      <xdr:rowOff>19050</xdr:rowOff>
    </xdr:from>
    <xdr:ext cx="457200" cy="419100"/>
    <xdr:grpSp>
      <xdr:nvGrpSpPr>
        <xdr:cNvPr id="9" name="Shape 2" title="Dibujo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pSpPr/>
      </xdr:nvGrpSpPr>
      <xdr:grpSpPr>
        <a:xfrm>
          <a:off x="3219450" y="8686800"/>
          <a:ext cx="457200" cy="419100"/>
          <a:chOff x="2473475" y="1368525"/>
          <a:chExt cx="442500" cy="400200"/>
        </a:xfrm>
      </xdr:grpSpPr>
      <xdr:sp macro="" textlink="">
        <xdr:nvSpPr>
          <xdr:cNvPr id="10" name="Shape 7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SpPr/>
        </xdr:nvSpPr>
        <xdr:spPr>
          <a:xfrm>
            <a:off x="2507825" y="1386675"/>
            <a:ext cx="373800" cy="363900"/>
          </a:xfrm>
          <a:prstGeom prst="ellipse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11" name="Shape 8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SpPr txBox="1"/>
        </xdr:nvSpPr>
        <xdr:spPr>
          <a:xfrm>
            <a:off x="2473475" y="1368525"/>
            <a:ext cx="442500" cy="4002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PP</a:t>
            </a:r>
            <a:endParaRPr sz="1400"/>
          </a:p>
        </xdr:txBody>
      </xdr:sp>
    </xdr:grpSp>
    <xdr:clientData fLocksWithSheet="0"/>
  </xdr:oneCellAnchor>
  <xdr:oneCellAnchor>
    <xdr:from>
      <xdr:col>3</xdr:col>
      <xdr:colOff>657225</xdr:colOff>
      <xdr:row>37</xdr:row>
      <xdr:rowOff>57150</xdr:rowOff>
    </xdr:from>
    <xdr:ext cx="904875" cy="809625"/>
    <xdr:grpSp>
      <xdr:nvGrpSpPr>
        <xdr:cNvPr id="12" name="Shape 2" title="Dibujo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pSpPr/>
      </xdr:nvGrpSpPr>
      <xdr:grpSpPr>
        <a:xfrm>
          <a:off x="3590925" y="7324725"/>
          <a:ext cx="904875" cy="809625"/>
          <a:chOff x="1966925" y="1612800"/>
          <a:chExt cx="540775" cy="737625"/>
        </a:xfrm>
      </xdr:grpSpPr>
      <xdr:cxnSp macro="">
        <xdr:nvCxnSpPr>
          <xdr:cNvPr id="13" name="Shape 9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CxnSpPr/>
        </xdr:nvCxnSpPr>
        <xdr:spPr>
          <a:xfrm rot="10800000" flipH="1">
            <a:off x="1966925" y="1612800"/>
            <a:ext cx="501600" cy="3738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14" name="Shape 10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CxnSpPr/>
        </xdr:nvCxnSpPr>
        <xdr:spPr>
          <a:xfrm>
            <a:off x="1986600" y="1986600"/>
            <a:ext cx="5211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15" name="Shape 11">
            <a:extLst>
              <a:ext uri="{FF2B5EF4-FFF2-40B4-BE49-F238E27FC236}">
                <a16:creationId xmlns:a16="http://schemas.microsoft.com/office/drawing/2014/main" id="{00000000-0008-0000-0200-00000F000000}"/>
              </a:ext>
            </a:extLst>
          </xdr:cNvPr>
          <xdr:cNvCxnSpPr/>
        </xdr:nvCxnSpPr>
        <xdr:spPr>
          <a:xfrm>
            <a:off x="1996425" y="1996425"/>
            <a:ext cx="472200" cy="3540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704850</xdr:colOff>
      <xdr:row>43</xdr:row>
      <xdr:rowOff>19050</xdr:rowOff>
    </xdr:from>
    <xdr:ext cx="857250" cy="809625"/>
    <xdr:grpSp>
      <xdr:nvGrpSpPr>
        <xdr:cNvPr id="16" name="Shape 2" title="Dibujo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GrpSpPr/>
      </xdr:nvGrpSpPr>
      <xdr:grpSpPr>
        <a:xfrm>
          <a:off x="3638550" y="8486775"/>
          <a:ext cx="857250" cy="809625"/>
          <a:chOff x="2016100" y="1514575"/>
          <a:chExt cx="531000" cy="717775"/>
        </a:xfrm>
      </xdr:grpSpPr>
      <xdr:cxnSp macro="">
        <xdr:nvCxnSpPr>
          <xdr:cNvPr id="17" name="Shape 12">
            <a:extLst>
              <a:ext uri="{FF2B5EF4-FFF2-40B4-BE49-F238E27FC236}">
                <a16:creationId xmlns:a16="http://schemas.microsoft.com/office/drawing/2014/main" id="{00000000-0008-0000-0200-000011000000}"/>
              </a:ext>
            </a:extLst>
          </xdr:cNvPr>
          <xdr:cNvCxnSpPr/>
        </xdr:nvCxnSpPr>
        <xdr:spPr>
          <a:xfrm rot="10800000" flipH="1">
            <a:off x="2016100" y="1514575"/>
            <a:ext cx="531000" cy="3540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18" name="Shape 13">
            <a:extLst>
              <a:ext uri="{FF2B5EF4-FFF2-40B4-BE49-F238E27FC236}">
                <a16:creationId xmlns:a16="http://schemas.microsoft.com/office/drawing/2014/main" id="{00000000-0008-0000-0200-000012000000}"/>
              </a:ext>
            </a:extLst>
          </xdr:cNvPr>
          <xdr:cNvCxnSpPr/>
        </xdr:nvCxnSpPr>
        <xdr:spPr>
          <a:xfrm>
            <a:off x="2025925" y="1878400"/>
            <a:ext cx="5115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19" name="Shape 14">
            <a:extLst>
              <a:ext uri="{FF2B5EF4-FFF2-40B4-BE49-F238E27FC236}">
                <a16:creationId xmlns:a16="http://schemas.microsoft.com/office/drawing/2014/main" id="{00000000-0008-0000-0200-000013000000}"/>
              </a:ext>
            </a:extLst>
          </xdr:cNvPr>
          <xdr:cNvCxnSpPr/>
        </xdr:nvCxnSpPr>
        <xdr:spPr>
          <a:xfrm>
            <a:off x="2035775" y="1888250"/>
            <a:ext cx="472200" cy="3441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238125</xdr:colOff>
      <xdr:row>35</xdr:row>
      <xdr:rowOff>9525</xdr:rowOff>
    </xdr:from>
    <xdr:ext cx="895350" cy="7715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1563700" y="1170325"/>
          <a:ext cx="698400" cy="600000"/>
        </a:xfrm>
        <a:prstGeom prst="ellipse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1038225</xdr:colOff>
      <xdr:row>30</xdr:row>
      <xdr:rowOff>171450</xdr:rowOff>
    </xdr:from>
    <xdr:ext cx="1076325" cy="942975"/>
    <xdr:grpSp>
      <xdr:nvGrpSpPr>
        <xdr:cNvPr id="2" name="Shape 2" title="Dibuj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6172200" y="6019800"/>
          <a:ext cx="1076325" cy="942975"/>
          <a:chOff x="2370150" y="1376850"/>
          <a:chExt cx="1062000" cy="924600"/>
        </a:xfrm>
      </xdr:grpSpPr>
      <xdr:cxnSp macro="">
        <xdr:nvCxnSpPr>
          <xdr:cNvPr id="16" name="Shape 16">
            <a:extLst>
              <a:ext uri="{FF2B5EF4-FFF2-40B4-BE49-F238E27FC236}">
                <a16:creationId xmlns:a16="http://schemas.microsoft.com/office/drawing/2014/main" id="{00000000-0008-0000-0300-000010000000}"/>
              </a:ext>
            </a:extLst>
          </xdr:cNvPr>
          <xdr:cNvCxnSpPr/>
        </xdr:nvCxnSpPr>
        <xdr:spPr>
          <a:xfrm>
            <a:off x="2370150" y="1376850"/>
            <a:ext cx="1062000" cy="9246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428625</xdr:colOff>
      <xdr:row>31</xdr:row>
      <xdr:rowOff>28575</xdr:rowOff>
    </xdr:from>
    <xdr:ext cx="2724150" cy="2628900"/>
    <xdr:grpSp>
      <xdr:nvGrpSpPr>
        <xdr:cNvPr id="3" name="Shape 2" title="Dibuj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pSpPr/>
      </xdr:nvGrpSpPr>
      <xdr:grpSpPr>
        <a:xfrm>
          <a:off x="8086725" y="6076950"/>
          <a:ext cx="2724150" cy="2628900"/>
          <a:chOff x="2760300" y="1121125"/>
          <a:chExt cx="2707800" cy="2606150"/>
        </a:xfrm>
      </xdr:grpSpPr>
      <xdr:cxnSp macro="">
        <xdr:nvCxnSpPr>
          <xdr:cNvPr id="17" name="Shape 17">
            <a:extLst>
              <a:ext uri="{FF2B5EF4-FFF2-40B4-BE49-F238E27FC236}">
                <a16:creationId xmlns:a16="http://schemas.microsoft.com/office/drawing/2014/main" id="{00000000-0008-0000-0300-000011000000}"/>
              </a:ext>
            </a:extLst>
          </xdr:cNvPr>
          <xdr:cNvCxnSpPr/>
        </xdr:nvCxnSpPr>
        <xdr:spPr>
          <a:xfrm rot="10800000" flipH="1">
            <a:off x="2778200" y="1563625"/>
            <a:ext cx="1406400" cy="5508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18" name="Shape 18">
            <a:extLst>
              <a:ext uri="{FF2B5EF4-FFF2-40B4-BE49-F238E27FC236}">
                <a16:creationId xmlns:a16="http://schemas.microsoft.com/office/drawing/2014/main" id="{00000000-0008-0000-0300-000012000000}"/>
              </a:ext>
            </a:extLst>
          </xdr:cNvPr>
          <xdr:cNvCxnSpPr/>
        </xdr:nvCxnSpPr>
        <xdr:spPr>
          <a:xfrm>
            <a:off x="2760300" y="2114425"/>
            <a:ext cx="1337400" cy="1052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300-000013000000}"/>
              </a:ext>
            </a:extLst>
          </xdr:cNvPr>
          <xdr:cNvSpPr/>
        </xdr:nvSpPr>
        <xdr:spPr>
          <a:xfrm>
            <a:off x="4179750" y="1121125"/>
            <a:ext cx="904800" cy="688500"/>
          </a:xfrm>
          <a:prstGeom prst="ellipse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300-000014000000}"/>
              </a:ext>
            </a:extLst>
          </xdr:cNvPr>
          <xdr:cNvSpPr/>
        </xdr:nvSpPr>
        <xdr:spPr>
          <a:xfrm>
            <a:off x="4097700" y="2852025"/>
            <a:ext cx="904800" cy="688500"/>
          </a:xfrm>
          <a:prstGeom prst="ellipse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cxnSp macro="">
        <xdr:nvCxnSpPr>
          <xdr:cNvPr id="21" name="Shape 21">
            <a:extLst>
              <a:ext uri="{FF2B5EF4-FFF2-40B4-BE49-F238E27FC236}">
                <a16:creationId xmlns:a16="http://schemas.microsoft.com/office/drawing/2014/main" id="{00000000-0008-0000-0300-000015000000}"/>
              </a:ext>
            </a:extLst>
          </xdr:cNvPr>
          <xdr:cNvCxnSpPr>
            <a:stCxn id="20" idx="6"/>
          </xdr:cNvCxnSpPr>
        </xdr:nvCxnSpPr>
        <xdr:spPr>
          <a:xfrm rot="10800000" flipH="1">
            <a:off x="5002500" y="2999475"/>
            <a:ext cx="465600" cy="1968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22" name="Shape 22">
            <a:extLst>
              <a:ext uri="{FF2B5EF4-FFF2-40B4-BE49-F238E27FC236}">
                <a16:creationId xmlns:a16="http://schemas.microsoft.com/office/drawing/2014/main" id="{00000000-0008-0000-0300-000016000000}"/>
              </a:ext>
            </a:extLst>
          </xdr:cNvPr>
          <xdr:cNvCxnSpPr>
            <a:stCxn id="20" idx="6"/>
          </xdr:cNvCxnSpPr>
        </xdr:nvCxnSpPr>
        <xdr:spPr>
          <a:xfrm>
            <a:off x="5002500" y="3196275"/>
            <a:ext cx="445800" cy="2361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23" name="Shape 23">
            <a:extLst>
              <a:ext uri="{FF2B5EF4-FFF2-40B4-BE49-F238E27FC236}">
                <a16:creationId xmlns:a16="http://schemas.microsoft.com/office/drawing/2014/main" id="{00000000-0008-0000-0300-000017000000}"/>
              </a:ext>
            </a:extLst>
          </xdr:cNvPr>
          <xdr:cNvCxnSpPr>
            <a:stCxn id="20" idx="6"/>
          </xdr:cNvCxnSpPr>
        </xdr:nvCxnSpPr>
        <xdr:spPr>
          <a:xfrm>
            <a:off x="5002500" y="3196275"/>
            <a:ext cx="357300" cy="5310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1038225</xdr:colOff>
      <xdr:row>26</xdr:row>
      <xdr:rowOff>47625</xdr:rowOff>
    </xdr:from>
    <xdr:ext cx="1428750" cy="590550"/>
    <xdr:grpSp>
      <xdr:nvGrpSpPr>
        <xdr:cNvPr id="4" name="Shape 2" title="Dibujo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pSpPr/>
      </xdr:nvGrpSpPr>
      <xdr:grpSpPr>
        <a:xfrm>
          <a:off x="6172200" y="5095875"/>
          <a:ext cx="1428750" cy="590550"/>
          <a:chOff x="2301300" y="1386725"/>
          <a:chExt cx="1091700" cy="442500"/>
        </a:xfrm>
      </xdr:grpSpPr>
      <xdr:cxnSp macro="">
        <xdr:nvCxnSpPr>
          <xdr:cNvPr id="24" name="Shape 24">
            <a:extLst>
              <a:ext uri="{FF2B5EF4-FFF2-40B4-BE49-F238E27FC236}">
                <a16:creationId xmlns:a16="http://schemas.microsoft.com/office/drawing/2014/main" id="{00000000-0008-0000-0300-000018000000}"/>
              </a:ext>
            </a:extLst>
          </xdr:cNvPr>
          <xdr:cNvCxnSpPr/>
        </xdr:nvCxnSpPr>
        <xdr:spPr>
          <a:xfrm rot="10800000" flipH="1">
            <a:off x="2301300" y="1386725"/>
            <a:ext cx="1091700" cy="4425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1000"/>
  <sheetViews>
    <sheetView workbookViewId="0">
      <selection activeCell="B3" sqref="B3:B6"/>
    </sheetView>
  </sheetViews>
  <sheetFormatPr defaultColWidth="12.625" defaultRowHeight="15" customHeight="1" x14ac:dyDescent="0.2"/>
  <cols>
    <col min="1" max="1" width="8" customWidth="1"/>
    <col min="2" max="2" width="15.375" customWidth="1"/>
    <col min="3" max="26" width="8" customWidth="1"/>
  </cols>
  <sheetData>
    <row r="3" spans="2:2" x14ac:dyDescent="0.25">
      <c r="B3" s="1" t="s">
        <v>0</v>
      </c>
    </row>
    <row r="4" spans="2:2" x14ac:dyDescent="0.25">
      <c r="B4" s="1" t="s">
        <v>1</v>
      </c>
    </row>
    <row r="5" spans="2:2" x14ac:dyDescent="0.25">
      <c r="B5" s="1" t="s">
        <v>2</v>
      </c>
    </row>
    <row r="6" spans="2:2" x14ac:dyDescent="0.25">
      <c r="B6" s="1" t="s">
        <v>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K1000"/>
  <sheetViews>
    <sheetView workbookViewId="0"/>
  </sheetViews>
  <sheetFormatPr defaultColWidth="12.625" defaultRowHeight="15" customHeight="1" x14ac:dyDescent="0.2"/>
  <cols>
    <col min="1" max="1" width="8" customWidth="1"/>
    <col min="2" max="2" width="14.625" customWidth="1"/>
    <col min="3" max="3" width="12.75" customWidth="1"/>
    <col min="4" max="4" width="11.875" customWidth="1"/>
    <col min="5" max="5" width="13.25" customWidth="1"/>
    <col min="6" max="6" width="10.75" customWidth="1"/>
    <col min="7" max="7" width="12.5" customWidth="1"/>
    <col min="8" max="26" width="8" customWidth="1"/>
  </cols>
  <sheetData>
    <row r="3" spans="1:11" ht="14.25" x14ac:dyDescent="0.2">
      <c r="C3" s="64" t="s">
        <v>4</v>
      </c>
      <c r="D3" s="65"/>
      <c r="E3" s="65"/>
      <c r="F3" s="65"/>
      <c r="G3" s="65"/>
      <c r="H3" s="65"/>
      <c r="I3" s="65"/>
      <c r="J3" s="65"/>
      <c r="K3" s="65"/>
    </row>
    <row r="4" spans="1:11" ht="15" customHeight="1" x14ac:dyDescent="0.2">
      <c r="C4" s="65"/>
      <c r="D4" s="65"/>
      <c r="E4" s="65"/>
      <c r="F4" s="65"/>
      <c r="G4" s="65"/>
      <c r="H4" s="65"/>
      <c r="I4" s="65"/>
      <c r="J4" s="65"/>
      <c r="K4" s="65"/>
    </row>
    <row r="5" spans="1:11" ht="15" customHeight="1" x14ac:dyDescent="0.2">
      <c r="C5" s="65"/>
      <c r="D5" s="65"/>
      <c r="E5" s="65"/>
      <c r="F5" s="65"/>
      <c r="G5" s="65"/>
      <c r="H5" s="65"/>
      <c r="I5" s="65"/>
      <c r="J5" s="65"/>
      <c r="K5" s="65"/>
    </row>
    <row r="6" spans="1:11" ht="15" customHeight="1" x14ac:dyDescent="0.2">
      <c r="C6" s="65"/>
      <c r="D6" s="65"/>
      <c r="E6" s="65"/>
      <c r="F6" s="65"/>
      <c r="G6" s="65"/>
      <c r="H6" s="65"/>
      <c r="I6" s="65"/>
      <c r="J6" s="65"/>
      <c r="K6" s="65"/>
    </row>
    <row r="7" spans="1:11" ht="15" customHeight="1" x14ac:dyDescent="0.2">
      <c r="C7" s="65"/>
      <c r="D7" s="65"/>
      <c r="E7" s="65"/>
      <c r="F7" s="65"/>
      <c r="G7" s="65"/>
      <c r="H7" s="65"/>
      <c r="I7" s="65"/>
      <c r="J7" s="65"/>
      <c r="K7" s="65"/>
    </row>
    <row r="8" spans="1:11" ht="15" customHeight="1" x14ac:dyDescent="0.2">
      <c r="C8" s="65"/>
      <c r="D8" s="65"/>
      <c r="E8" s="65"/>
      <c r="F8" s="65"/>
      <c r="G8" s="65"/>
      <c r="H8" s="65"/>
      <c r="I8" s="65"/>
      <c r="J8" s="65"/>
      <c r="K8" s="65"/>
    </row>
    <row r="9" spans="1:11" x14ac:dyDescent="0.25">
      <c r="A9" s="2" t="s">
        <v>5</v>
      </c>
      <c r="C9" s="65"/>
      <c r="D9" s="65"/>
      <c r="E9" s="65"/>
      <c r="F9" s="65"/>
      <c r="G9" s="65"/>
      <c r="H9" s="65"/>
      <c r="I9" s="65"/>
      <c r="J9" s="65"/>
      <c r="K9" s="65"/>
    </row>
    <row r="11" spans="1:11" x14ac:dyDescent="0.25">
      <c r="B11" s="1" t="s">
        <v>6</v>
      </c>
      <c r="C11" s="3">
        <v>0.2</v>
      </c>
    </row>
    <row r="12" spans="1:11" x14ac:dyDescent="0.25">
      <c r="B12" s="1" t="s">
        <v>7</v>
      </c>
      <c r="C12" s="4">
        <v>1000000</v>
      </c>
    </row>
    <row r="13" spans="1:11" x14ac:dyDescent="0.25">
      <c r="B13" s="1" t="s">
        <v>8</v>
      </c>
      <c r="C13" s="4">
        <f>PMT(C11,5,C12)</f>
        <v>-334379.70328961516</v>
      </c>
    </row>
    <row r="14" spans="1:11" x14ac:dyDescent="0.25">
      <c r="D14" s="2" t="s">
        <v>9</v>
      </c>
      <c r="E14" s="2" t="s">
        <v>10</v>
      </c>
      <c r="G14" s="1" t="s">
        <v>11</v>
      </c>
    </row>
    <row r="15" spans="1:11" x14ac:dyDescent="0.25">
      <c r="C15" s="1">
        <v>0</v>
      </c>
      <c r="D15" s="5"/>
      <c r="G15" s="4"/>
    </row>
    <row r="16" spans="1:11" x14ac:dyDescent="0.25">
      <c r="C16" s="1">
        <v>1</v>
      </c>
      <c r="D16" s="4">
        <f t="shared" ref="D16:D20" si="0">$C$13</f>
        <v>-334379.70328961516</v>
      </c>
      <c r="E16" s="5">
        <v>308000</v>
      </c>
      <c r="G16" s="4">
        <f t="shared" ref="G16:G20" si="1">SUM(D16:F16)</f>
        <v>-26379.703289615165</v>
      </c>
    </row>
    <row r="17" spans="1:7" x14ac:dyDescent="0.25">
      <c r="C17" s="1">
        <v>2</v>
      </c>
      <c r="D17" s="4">
        <f t="shared" si="0"/>
        <v>-334379.70328961516</v>
      </c>
      <c r="E17" s="5">
        <v>308000</v>
      </c>
      <c r="G17" s="4">
        <f t="shared" si="1"/>
        <v>-26379.703289615165</v>
      </c>
    </row>
    <row r="18" spans="1:7" x14ac:dyDescent="0.25">
      <c r="C18" s="1">
        <v>3</v>
      </c>
      <c r="D18" s="4">
        <f t="shared" si="0"/>
        <v>-334379.70328961516</v>
      </c>
      <c r="E18" s="5">
        <v>308000</v>
      </c>
      <c r="G18" s="4">
        <f t="shared" si="1"/>
        <v>-26379.703289615165</v>
      </c>
    </row>
    <row r="19" spans="1:7" x14ac:dyDescent="0.25">
      <c r="C19" s="1">
        <v>4</v>
      </c>
      <c r="D19" s="4">
        <f t="shared" si="0"/>
        <v>-334379.70328961516</v>
      </c>
      <c r="E19" s="5">
        <v>308000</v>
      </c>
      <c r="G19" s="4">
        <f t="shared" si="1"/>
        <v>-26379.703289615165</v>
      </c>
    </row>
    <row r="20" spans="1:7" x14ac:dyDescent="0.25">
      <c r="C20" s="1">
        <v>5</v>
      </c>
      <c r="D20" s="4">
        <f t="shared" si="0"/>
        <v>-334379.70328961516</v>
      </c>
      <c r="E20" s="5">
        <v>308000</v>
      </c>
      <c r="F20" s="4">
        <v>200000</v>
      </c>
      <c r="G20" s="4">
        <f t="shared" si="1"/>
        <v>173620.29671038484</v>
      </c>
    </row>
    <row r="21" spans="1:7" ht="15.75" customHeight="1" x14ac:dyDescent="0.25">
      <c r="F21" s="1" t="s">
        <v>12</v>
      </c>
      <c r="G21" s="6">
        <f t="array" ref="G21">NPV(C11,G16:G20)</f>
        <v>1484.0534979423078</v>
      </c>
    </row>
    <row r="22" spans="1:7" ht="15.75" customHeight="1" x14ac:dyDescent="0.25">
      <c r="F22" s="2" t="s">
        <v>13</v>
      </c>
      <c r="G22" s="7">
        <f>MIRR(G16:G20,C11,C11)</f>
        <v>0.20646702036060094</v>
      </c>
    </row>
    <row r="23" spans="1:7" ht="15.75" customHeight="1" x14ac:dyDescent="0.2"/>
    <row r="24" spans="1:7" ht="15.75" customHeight="1" x14ac:dyDescent="0.2">
      <c r="A24" s="8" t="s">
        <v>14</v>
      </c>
    </row>
    <row r="25" spans="1:7" ht="15.75" customHeight="1" x14ac:dyDescent="0.25">
      <c r="B25" s="2" t="s">
        <v>15</v>
      </c>
      <c r="C25" s="9">
        <v>0.2</v>
      </c>
    </row>
    <row r="26" spans="1:7" ht="15.75" customHeight="1" x14ac:dyDescent="0.25">
      <c r="B26" s="8" t="s">
        <v>16</v>
      </c>
      <c r="C26" s="2">
        <v>1000000</v>
      </c>
    </row>
    <row r="27" spans="1:7" ht="15.75" customHeight="1" x14ac:dyDescent="0.25">
      <c r="B27" s="2" t="s">
        <v>17</v>
      </c>
      <c r="C27" s="2">
        <v>200000</v>
      </c>
    </row>
    <row r="28" spans="1:7" ht="15.75" customHeight="1" x14ac:dyDescent="0.25">
      <c r="D28" s="8" t="s">
        <v>18</v>
      </c>
      <c r="E28" s="2" t="s">
        <v>19</v>
      </c>
      <c r="F28" s="2" t="s">
        <v>20</v>
      </c>
    </row>
    <row r="29" spans="1:7" ht="15.75" customHeight="1" x14ac:dyDescent="0.25">
      <c r="C29" s="2">
        <v>1</v>
      </c>
      <c r="D29" s="8">
        <v>308000</v>
      </c>
      <c r="E29" s="1">
        <f t="shared" ref="E29:E33" si="2">($C$26-$C$27)/5</f>
        <v>160000</v>
      </c>
      <c r="F29" s="1">
        <f t="shared" ref="F29:F32" si="3">D29+E29</f>
        <v>468000</v>
      </c>
    </row>
    <row r="30" spans="1:7" ht="15.75" customHeight="1" x14ac:dyDescent="0.25">
      <c r="C30" s="2">
        <v>2</v>
      </c>
      <c r="D30" s="2">
        <v>308000</v>
      </c>
      <c r="E30" s="1">
        <f t="shared" si="2"/>
        <v>160000</v>
      </c>
      <c r="F30" s="1">
        <f t="shared" si="3"/>
        <v>468000</v>
      </c>
    </row>
    <row r="31" spans="1:7" ht="15.75" customHeight="1" x14ac:dyDescent="0.25">
      <c r="C31" s="2">
        <v>3</v>
      </c>
      <c r="D31" s="2">
        <v>308000</v>
      </c>
      <c r="E31" s="1">
        <f t="shared" si="2"/>
        <v>160000</v>
      </c>
      <c r="F31" s="1">
        <f t="shared" si="3"/>
        <v>468000</v>
      </c>
    </row>
    <row r="32" spans="1:7" ht="15.75" customHeight="1" x14ac:dyDescent="0.25">
      <c r="C32" s="2">
        <v>4</v>
      </c>
      <c r="D32" s="2">
        <v>308000</v>
      </c>
      <c r="E32" s="1">
        <f t="shared" si="2"/>
        <v>160000</v>
      </c>
      <c r="F32" s="1">
        <f t="shared" si="3"/>
        <v>468000</v>
      </c>
    </row>
    <row r="33" spans="2:6" ht="15.75" customHeight="1" x14ac:dyDescent="0.25">
      <c r="C33" s="2">
        <v>5</v>
      </c>
      <c r="D33" s="2">
        <v>308000</v>
      </c>
      <c r="E33" s="1">
        <f t="shared" si="2"/>
        <v>160000</v>
      </c>
      <c r="F33" s="1">
        <f>D33+E33+C27</f>
        <v>668000</v>
      </c>
    </row>
    <row r="34" spans="2:6" ht="15.75" customHeight="1" x14ac:dyDescent="0.2"/>
    <row r="35" spans="2:6" ht="15.75" customHeight="1" x14ac:dyDescent="0.2"/>
    <row r="36" spans="2:6" ht="15.75" customHeight="1" x14ac:dyDescent="0.2"/>
    <row r="37" spans="2:6" ht="15.75" customHeight="1" x14ac:dyDescent="0.25">
      <c r="B37" s="2" t="s">
        <v>21</v>
      </c>
      <c r="C37" s="10">
        <f t="array" ref="C37">-C26 + NPV(C25,F29:F33)</f>
        <v>479981.99588477355</v>
      </c>
    </row>
    <row r="38" spans="2:6" ht="15.75" customHeight="1" x14ac:dyDescent="0.2"/>
    <row r="39" spans="2:6" ht="15.75" customHeight="1" x14ac:dyDescent="0.2"/>
    <row r="40" spans="2:6" ht="15.75" customHeight="1" x14ac:dyDescent="0.2"/>
    <row r="41" spans="2:6" ht="15.75" customHeight="1" x14ac:dyDescent="0.2"/>
    <row r="42" spans="2:6" ht="15.75" customHeight="1" x14ac:dyDescent="0.2"/>
    <row r="43" spans="2:6" ht="15.75" customHeight="1" x14ac:dyDescent="0.2"/>
    <row r="44" spans="2:6" ht="15.75" customHeight="1" x14ac:dyDescent="0.2"/>
    <row r="45" spans="2:6" ht="15.75" customHeight="1" x14ac:dyDescent="0.2"/>
    <row r="46" spans="2:6" ht="15.75" customHeight="1" x14ac:dyDescent="0.2"/>
    <row r="47" spans="2:6" ht="15.75" customHeight="1" x14ac:dyDescent="0.2"/>
    <row r="48" spans="2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C3:K9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5"/>
  <sheetViews>
    <sheetView tabSelected="1" topLeftCell="A10" workbookViewId="0">
      <selection activeCell="C17" sqref="C17"/>
    </sheetView>
  </sheetViews>
  <sheetFormatPr defaultColWidth="12.625" defaultRowHeight="15" customHeight="1" x14ac:dyDescent="0.2"/>
  <cols>
    <col min="1" max="1" width="8" customWidth="1"/>
    <col min="2" max="2" width="16.5" customWidth="1"/>
    <col min="3" max="3" width="14" customWidth="1"/>
    <col min="4" max="4" width="11.625" customWidth="1"/>
    <col min="5" max="5" width="8.625" customWidth="1"/>
    <col min="6" max="6" width="12.75" customWidth="1"/>
    <col min="7" max="7" width="13.875" customWidth="1"/>
    <col min="8" max="8" width="11.75" customWidth="1"/>
    <col min="9" max="9" width="10.125" customWidth="1"/>
    <col min="10" max="10" width="12" customWidth="1"/>
    <col min="11" max="11" width="10.5" customWidth="1"/>
    <col min="12" max="12" width="10.25" customWidth="1"/>
    <col min="13" max="17" width="9.75" customWidth="1"/>
    <col min="18" max="27" width="8" customWidth="1"/>
  </cols>
  <sheetData>
    <row r="1" spans="1:10" ht="15.75" customHeight="1" x14ac:dyDescent="0.25">
      <c r="A1" s="2" t="s">
        <v>22</v>
      </c>
      <c r="C1" s="74" t="s">
        <v>23</v>
      </c>
      <c r="D1" s="65"/>
      <c r="E1" s="65"/>
      <c r="F1" s="65"/>
      <c r="G1" s="65"/>
      <c r="H1" s="65"/>
      <c r="I1" s="11"/>
      <c r="J1" s="11"/>
    </row>
    <row r="2" spans="1:10" ht="11.25" customHeight="1" x14ac:dyDescent="0.25">
      <c r="C2" s="65"/>
      <c r="D2" s="65"/>
      <c r="E2" s="65"/>
      <c r="F2" s="65"/>
      <c r="G2" s="65"/>
      <c r="H2" s="65"/>
      <c r="I2" s="11"/>
      <c r="J2" s="11"/>
    </row>
    <row r="3" spans="1:10" ht="15.75" customHeight="1" x14ac:dyDescent="0.25">
      <c r="C3" s="65"/>
      <c r="D3" s="65"/>
      <c r="E3" s="65"/>
      <c r="F3" s="65"/>
      <c r="G3" s="65"/>
      <c r="H3" s="65"/>
      <c r="I3" s="11"/>
      <c r="J3" s="11"/>
    </row>
    <row r="4" spans="1:10" x14ac:dyDescent="0.25">
      <c r="C4" s="65"/>
      <c r="D4" s="65"/>
      <c r="E4" s="65"/>
      <c r="F4" s="65"/>
      <c r="G4" s="65"/>
      <c r="H4" s="65"/>
      <c r="I4" s="11"/>
      <c r="J4" s="11"/>
    </row>
    <row r="5" spans="1:10" x14ac:dyDescent="0.25">
      <c r="C5" s="65"/>
      <c r="D5" s="65"/>
      <c r="E5" s="65"/>
      <c r="F5" s="65"/>
      <c r="G5" s="65"/>
      <c r="H5" s="65"/>
      <c r="I5" s="11"/>
      <c r="J5" s="11"/>
    </row>
    <row r="6" spans="1:10" x14ac:dyDescent="0.25">
      <c r="C6" s="65"/>
      <c r="D6" s="65"/>
      <c r="E6" s="65"/>
      <c r="F6" s="65"/>
      <c r="G6" s="65"/>
      <c r="H6" s="65"/>
      <c r="I6" s="11"/>
      <c r="J6" s="11"/>
    </row>
    <row r="7" spans="1:10" x14ac:dyDescent="0.25">
      <c r="C7" s="65"/>
      <c r="D7" s="65"/>
      <c r="E7" s="65"/>
      <c r="F7" s="65"/>
      <c r="G7" s="65"/>
      <c r="H7" s="65"/>
      <c r="I7" s="11"/>
      <c r="J7" s="11"/>
    </row>
    <row r="8" spans="1:10" ht="16.5" customHeight="1" x14ac:dyDescent="0.25">
      <c r="C8" s="65"/>
      <c r="D8" s="65"/>
      <c r="E8" s="65"/>
      <c r="F8" s="65"/>
      <c r="G8" s="65"/>
      <c r="H8" s="65"/>
      <c r="I8" s="11"/>
      <c r="J8" s="11"/>
    </row>
    <row r="9" spans="1:10" x14ac:dyDescent="0.25">
      <c r="C9" s="65"/>
      <c r="D9" s="65"/>
      <c r="E9" s="65"/>
      <c r="F9" s="65"/>
      <c r="G9" s="65"/>
      <c r="H9" s="65"/>
      <c r="I9" s="11"/>
      <c r="J9" s="11"/>
    </row>
    <row r="10" spans="1:10" x14ac:dyDescent="0.25">
      <c r="C10" s="65"/>
      <c r="D10" s="65"/>
      <c r="E10" s="65"/>
      <c r="F10" s="65"/>
      <c r="G10" s="65"/>
      <c r="H10" s="65"/>
      <c r="I10" s="11"/>
      <c r="J10" s="11"/>
    </row>
    <row r="11" spans="1:10" x14ac:dyDescent="0.25">
      <c r="C11" s="65"/>
      <c r="D11" s="65"/>
      <c r="E11" s="65"/>
      <c r="F11" s="65"/>
      <c r="G11" s="65"/>
      <c r="H11" s="65"/>
      <c r="I11" s="11"/>
      <c r="J11" s="11"/>
    </row>
    <row r="12" spans="1:10" x14ac:dyDescent="0.25">
      <c r="C12" s="65"/>
      <c r="D12" s="65"/>
      <c r="E12" s="65"/>
      <c r="F12" s="65"/>
      <c r="G12" s="65"/>
      <c r="H12" s="65"/>
      <c r="I12" s="11"/>
      <c r="J12" s="11"/>
    </row>
    <row r="13" spans="1:10" x14ac:dyDescent="0.25">
      <c r="C13" s="65"/>
      <c r="D13" s="65"/>
      <c r="E13" s="65"/>
      <c r="F13" s="65"/>
      <c r="G13" s="65"/>
      <c r="H13" s="65"/>
      <c r="I13" s="11"/>
      <c r="J13" s="11"/>
    </row>
    <row r="14" spans="1:10" ht="15.75" customHeight="1" x14ac:dyDescent="0.25">
      <c r="B14" s="2" t="s">
        <v>24</v>
      </c>
      <c r="C14" s="12">
        <v>0.15</v>
      </c>
    </row>
    <row r="15" spans="1:10" ht="15.75" customHeight="1" x14ac:dyDescent="0.25">
      <c r="B15" s="75" t="s">
        <v>25</v>
      </c>
      <c r="C15" s="65"/>
      <c r="D15" s="65"/>
      <c r="F15" s="75" t="s">
        <v>26</v>
      </c>
      <c r="G15" s="65"/>
      <c r="H15" s="65"/>
    </row>
    <row r="16" spans="1:10" ht="15.75" customHeight="1" x14ac:dyDescent="0.25">
      <c r="B16" s="75" t="s">
        <v>27</v>
      </c>
      <c r="C16" s="65"/>
      <c r="D16" s="1" t="s">
        <v>28</v>
      </c>
      <c r="F16" s="75" t="s">
        <v>27</v>
      </c>
      <c r="G16" s="65"/>
      <c r="H16" s="1" t="s">
        <v>28</v>
      </c>
      <c r="I16" s="89"/>
    </row>
    <row r="17" spans="1:12" ht="15.75" customHeight="1" x14ac:dyDescent="0.25">
      <c r="B17" s="1" t="s">
        <v>29</v>
      </c>
      <c r="C17" s="1">
        <f t="shared" ref="C17:C18" si="0">2/5</f>
        <v>0.4</v>
      </c>
      <c r="D17" s="13">
        <v>1800000</v>
      </c>
      <c r="F17" s="1" t="s">
        <v>29</v>
      </c>
      <c r="G17" s="1">
        <f t="shared" ref="G17:G18" si="1">2/5</f>
        <v>0.4</v>
      </c>
      <c r="H17" s="13">
        <v>800000</v>
      </c>
    </row>
    <row r="18" spans="1:12" ht="15.75" customHeight="1" x14ac:dyDescent="0.25">
      <c r="B18" s="1" t="s">
        <v>30</v>
      </c>
      <c r="C18" s="1">
        <f t="shared" si="0"/>
        <v>0.4</v>
      </c>
      <c r="D18" s="13">
        <v>1500000</v>
      </c>
      <c r="F18" s="1" t="s">
        <v>30</v>
      </c>
      <c r="G18" s="1">
        <f t="shared" si="1"/>
        <v>0.4</v>
      </c>
      <c r="H18" s="13">
        <v>700000</v>
      </c>
    </row>
    <row r="19" spans="1:12" ht="15.75" customHeight="1" x14ac:dyDescent="0.25">
      <c r="B19" s="1" t="s">
        <v>31</v>
      </c>
      <c r="C19" s="1">
        <f>1/5</f>
        <v>0.2</v>
      </c>
      <c r="D19" s="13">
        <v>1200000</v>
      </c>
      <c r="F19" s="1" t="s">
        <v>31</v>
      </c>
      <c r="G19" s="1">
        <f>1/5</f>
        <v>0.2</v>
      </c>
      <c r="H19" s="13">
        <v>600000</v>
      </c>
    </row>
    <row r="20" spans="1:12" ht="15.75" customHeight="1" x14ac:dyDescent="0.2"/>
    <row r="21" spans="1:12" ht="15.75" customHeight="1" x14ac:dyDescent="0.25">
      <c r="B21" s="76" t="s">
        <v>32</v>
      </c>
      <c r="C21" s="65"/>
      <c r="D21" s="65"/>
      <c r="F21" s="76" t="s">
        <v>33</v>
      </c>
      <c r="G21" s="65"/>
      <c r="H21" s="65"/>
    </row>
    <row r="22" spans="1:12" ht="15.75" customHeight="1" x14ac:dyDescent="0.25">
      <c r="B22" s="2" t="s">
        <v>34</v>
      </c>
      <c r="C22" s="2" t="s">
        <v>35</v>
      </c>
      <c r="D22" s="2" t="s">
        <v>36</v>
      </c>
      <c r="F22" s="2" t="s">
        <v>34</v>
      </c>
      <c r="G22" s="2" t="s">
        <v>35</v>
      </c>
      <c r="H22" s="2" t="s">
        <v>36</v>
      </c>
      <c r="J22" s="66" t="s">
        <v>37</v>
      </c>
      <c r="K22" s="67"/>
      <c r="L22" s="68"/>
    </row>
    <row r="23" spans="1:12" ht="15.75" customHeight="1" x14ac:dyDescent="0.25">
      <c r="B23" s="13">
        <v>-5000000</v>
      </c>
      <c r="C23" s="13">
        <v>-5000000</v>
      </c>
      <c r="D23" s="13">
        <v>-5000000</v>
      </c>
      <c r="F23" s="14">
        <v>-2000000</v>
      </c>
      <c r="G23" s="14">
        <v>-2000000</v>
      </c>
      <c r="H23" s="14">
        <v>-2000000</v>
      </c>
      <c r="J23" s="69"/>
      <c r="K23" s="65"/>
      <c r="L23" s="70"/>
    </row>
    <row r="24" spans="1:12" ht="15.75" customHeight="1" x14ac:dyDescent="0.25">
      <c r="B24" s="15">
        <f t="shared" ref="B24:B28" si="2">$D$17</f>
        <v>1800000</v>
      </c>
      <c r="C24" s="15">
        <f t="shared" ref="C24:C28" si="3">$D$18</f>
        <v>1500000</v>
      </c>
      <c r="D24" s="15">
        <f t="shared" ref="D24:D28" si="4">$D$19</f>
        <v>1200000</v>
      </c>
      <c r="F24" s="15">
        <f t="shared" ref="F24:F28" si="5">$H$17</f>
        <v>800000</v>
      </c>
      <c r="G24" s="15">
        <f t="shared" ref="G24:G28" si="6">$H$18</f>
        <v>700000</v>
      </c>
      <c r="H24" s="15">
        <f t="shared" ref="H24:H28" si="7">$H$19</f>
        <v>600000</v>
      </c>
      <c r="J24" s="69"/>
      <c r="K24" s="65"/>
      <c r="L24" s="70"/>
    </row>
    <row r="25" spans="1:12" ht="15.75" customHeight="1" x14ac:dyDescent="0.25">
      <c r="B25" s="15">
        <f t="shared" si="2"/>
        <v>1800000</v>
      </c>
      <c r="C25" s="15">
        <f t="shared" si="3"/>
        <v>1500000</v>
      </c>
      <c r="D25" s="15">
        <f t="shared" si="4"/>
        <v>1200000</v>
      </c>
      <c r="F25" s="15">
        <f t="shared" si="5"/>
        <v>800000</v>
      </c>
      <c r="G25" s="15">
        <f t="shared" si="6"/>
        <v>700000</v>
      </c>
      <c r="H25" s="15">
        <f t="shared" si="7"/>
        <v>600000</v>
      </c>
      <c r="J25" s="69"/>
      <c r="K25" s="65"/>
      <c r="L25" s="70"/>
    </row>
    <row r="26" spans="1:12" ht="15.75" customHeight="1" x14ac:dyDescent="0.25">
      <c r="B26" s="15">
        <f t="shared" si="2"/>
        <v>1800000</v>
      </c>
      <c r="C26" s="15">
        <f t="shared" si="3"/>
        <v>1500000</v>
      </c>
      <c r="D26" s="15">
        <f t="shared" si="4"/>
        <v>1200000</v>
      </c>
      <c r="F26" s="15">
        <f t="shared" si="5"/>
        <v>800000</v>
      </c>
      <c r="G26" s="15">
        <f t="shared" si="6"/>
        <v>700000</v>
      </c>
      <c r="H26" s="15">
        <f t="shared" si="7"/>
        <v>600000</v>
      </c>
      <c r="J26" s="69"/>
      <c r="K26" s="65"/>
      <c r="L26" s="70"/>
    </row>
    <row r="27" spans="1:12" ht="15.75" customHeight="1" x14ac:dyDescent="0.25">
      <c r="B27" s="15">
        <f t="shared" si="2"/>
        <v>1800000</v>
      </c>
      <c r="C27" s="15">
        <f t="shared" si="3"/>
        <v>1500000</v>
      </c>
      <c r="D27" s="15">
        <f t="shared" si="4"/>
        <v>1200000</v>
      </c>
      <c r="F27" s="15">
        <f t="shared" si="5"/>
        <v>800000</v>
      </c>
      <c r="G27" s="15">
        <f t="shared" si="6"/>
        <v>700000</v>
      </c>
      <c r="H27" s="15">
        <f t="shared" si="7"/>
        <v>600000</v>
      </c>
      <c r="J27" s="69"/>
      <c r="K27" s="65"/>
      <c r="L27" s="70"/>
    </row>
    <row r="28" spans="1:12" ht="15.75" customHeight="1" x14ac:dyDescent="0.25">
      <c r="B28" s="15">
        <f t="shared" si="2"/>
        <v>1800000</v>
      </c>
      <c r="C28" s="15">
        <f t="shared" si="3"/>
        <v>1500000</v>
      </c>
      <c r="D28" s="15">
        <f t="shared" si="4"/>
        <v>1200000</v>
      </c>
      <c r="F28" s="15">
        <f t="shared" si="5"/>
        <v>800000</v>
      </c>
      <c r="G28" s="15">
        <f t="shared" si="6"/>
        <v>700000</v>
      </c>
      <c r="H28" s="15">
        <f t="shared" si="7"/>
        <v>600000</v>
      </c>
      <c r="J28" s="69"/>
      <c r="K28" s="65"/>
      <c r="L28" s="70"/>
    </row>
    <row r="29" spans="1:12" ht="15.75" customHeight="1" x14ac:dyDescent="0.25">
      <c r="A29" s="16" t="s">
        <v>12</v>
      </c>
      <c r="B29" s="17">
        <f t="shared" ref="B29:D29" si="8">NPV($C$14,B24:B28)+B23</f>
        <v>1033879.1764205247</v>
      </c>
      <c r="C29" s="17">
        <f t="shared" si="8"/>
        <v>28232.64701710362</v>
      </c>
      <c r="D29" s="17">
        <f t="shared" si="8"/>
        <v>-977413.88238631655</v>
      </c>
      <c r="F29" s="17">
        <f t="shared" ref="F29:H29" si="9">NPV($C$14,F24:F28)+F23</f>
        <v>681724.0784091223</v>
      </c>
      <c r="G29" s="17">
        <f t="shared" si="9"/>
        <v>346508.56860798178</v>
      </c>
      <c r="H29" s="17">
        <f t="shared" si="9"/>
        <v>11293.058806841727</v>
      </c>
      <c r="J29" s="69"/>
      <c r="K29" s="65"/>
      <c r="L29" s="70"/>
    </row>
    <row r="30" spans="1:12" ht="15.75" customHeight="1" x14ac:dyDescent="0.25">
      <c r="A30" s="16" t="s">
        <v>38</v>
      </c>
      <c r="B30" s="18">
        <f t="shared" ref="B30:D30" si="10">IRR(B23:B28)</f>
        <v>0.23438039495420049</v>
      </c>
      <c r="C30" s="18">
        <f t="shared" si="10"/>
        <v>0.15238237116630637</v>
      </c>
      <c r="D30" s="18">
        <f t="shared" si="10"/>
        <v>6.4022407643100854E-2</v>
      </c>
      <c r="F30" s="18">
        <f t="shared" ref="F30:H30" si="11">IRR(F23:F28)</f>
        <v>0.28649290249767567</v>
      </c>
      <c r="G30" s="18">
        <f t="shared" si="11"/>
        <v>0.22106292153309082</v>
      </c>
      <c r="H30" s="18">
        <f t="shared" si="11"/>
        <v>0.1523823711663066</v>
      </c>
      <c r="J30" s="71"/>
      <c r="K30" s="72"/>
      <c r="L30" s="73"/>
    </row>
    <row r="31" spans="1:12" ht="15.75" customHeight="1" x14ac:dyDescent="0.2"/>
    <row r="32" spans="1:12" ht="15.75" customHeight="1" x14ac:dyDescent="0.25">
      <c r="A32" s="2"/>
      <c r="B32" s="19" t="s">
        <v>39</v>
      </c>
      <c r="C32" s="20">
        <f t="array" ref="C32">MMULT(B29:D29,C17:C19)</f>
        <v>229361.95289778803</v>
      </c>
      <c r="F32" s="19" t="s">
        <v>39</v>
      </c>
      <c r="G32" s="20">
        <f t="array" ref="G32">MMULT(F29:H29,G17:G19)</f>
        <v>413551.67056820996</v>
      </c>
    </row>
    <row r="33" spans="2:12" ht="15.75" customHeight="1" x14ac:dyDescent="0.25">
      <c r="B33" s="16" t="s">
        <v>40</v>
      </c>
      <c r="C33" s="21">
        <f>D37</f>
        <v>752556.95304517727</v>
      </c>
      <c r="D33" s="13"/>
      <c r="F33" s="16" t="s">
        <v>40</v>
      </c>
      <c r="G33" s="21">
        <f>D49</f>
        <v>250852.31768172584</v>
      </c>
      <c r="J33" s="66" t="s">
        <v>41</v>
      </c>
      <c r="K33" s="67"/>
      <c r="L33" s="68"/>
    </row>
    <row r="34" spans="2:12" ht="15.75" customHeight="1" x14ac:dyDescent="0.25">
      <c r="B34" s="16" t="s">
        <v>42</v>
      </c>
      <c r="C34" s="22">
        <f>C33/C32</f>
        <v>3.2810888795516311</v>
      </c>
      <c r="F34" s="16" t="s">
        <v>42</v>
      </c>
      <c r="G34" s="22">
        <f>G33/G32</f>
        <v>0.60658035146384692</v>
      </c>
      <c r="J34" s="69"/>
      <c r="K34" s="65"/>
      <c r="L34" s="70"/>
    </row>
    <row r="35" spans="2:12" ht="15.75" customHeight="1" x14ac:dyDescent="0.2">
      <c r="J35" s="71"/>
      <c r="K35" s="72"/>
      <c r="L35" s="73"/>
    </row>
    <row r="36" spans="2:12" ht="15.75" customHeight="1" x14ac:dyDescent="0.25">
      <c r="C36" s="23" t="s">
        <v>43</v>
      </c>
      <c r="D36" s="24">
        <f>SUMPRODUCT(H38:H42,F38:F42)</f>
        <v>229361.95289778803</v>
      </c>
      <c r="E36" s="24"/>
      <c r="F36" s="23" t="s">
        <v>44</v>
      </c>
      <c r="G36" s="24"/>
      <c r="H36" s="24"/>
    </row>
    <row r="37" spans="2:12" ht="15.75" customHeight="1" x14ac:dyDescent="0.25">
      <c r="C37" s="24" t="s">
        <v>45</v>
      </c>
      <c r="D37" s="24">
        <f>((H38-D36)^2*F38+(H40-D36)^2*F40+(H42-D36)^2*F42)^(1/2)</f>
        <v>752556.95304517727</v>
      </c>
      <c r="E37" s="24"/>
      <c r="F37" s="25" t="s">
        <v>29</v>
      </c>
      <c r="G37" s="23" t="s">
        <v>28</v>
      </c>
      <c r="H37" s="26" t="s">
        <v>12</v>
      </c>
    </row>
    <row r="38" spans="2:12" ht="15.75" customHeight="1" x14ac:dyDescent="0.25">
      <c r="C38" s="24" t="s">
        <v>46</v>
      </c>
      <c r="D38" s="27">
        <f>D37/D36</f>
        <v>3.2810888795516311</v>
      </c>
      <c r="E38" s="28"/>
      <c r="F38" s="29">
        <f>2/5</f>
        <v>0.4</v>
      </c>
      <c r="G38" s="30">
        <v>1800000</v>
      </c>
      <c r="H38" s="31">
        <f>B29</f>
        <v>1033879.1764205247</v>
      </c>
    </row>
    <row r="39" spans="2:12" ht="15.75" customHeight="1" x14ac:dyDescent="0.25">
      <c r="C39" s="24"/>
      <c r="D39" s="24"/>
      <c r="E39" s="24"/>
      <c r="F39" s="32" t="s">
        <v>30</v>
      </c>
      <c r="G39" s="24"/>
      <c r="H39" s="33"/>
    </row>
    <row r="40" spans="2:12" ht="15.75" customHeight="1" x14ac:dyDescent="0.25">
      <c r="C40" s="24"/>
      <c r="D40" s="24"/>
      <c r="E40" s="24"/>
      <c r="F40" s="29">
        <f>2/5</f>
        <v>0.4</v>
      </c>
      <c r="G40" s="28">
        <v>1500000</v>
      </c>
      <c r="H40" s="31">
        <f>C29</f>
        <v>28232.64701710362</v>
      </c>
    </row>
    <row r="41" spans="2:12" ht="15.75" customHeight="1" x14ac:dyDescent="0.25">
      <c r="C41" s="34"/>
      <c r="D41" s="24"/>
      <c r="E41" s="24"/>
      <c r="F41" s="35" t="s">
        <v>31</v>
      </c>
      <c r="G41" s="24"/>
      <c r="H41" s="33"/>
    </row>
    <row r="42" spans="2:12" ht="15.75" customHeight="1" x14ac:dyDescent="0.25">
      <c r="C42" s="77" t="s">
        <v>47</v>
      </c>
      <c r="D42" s="36"/>
      <c r="E42" s="28"/>
      <c r="F42" s="29">
        <f>1/5</f>
        <v>0.2</v>
      </c>
      <c r="G42" s="30">
        <v>1200000</v>
      </c>
      <c r="H42" s="31">
        <f>D29</f>
        <v>-977413.88238631655</v>
      </c>
    </row>
    <row r="43" spans="2:12" ht="15.75" customHeight="1" x14ac:dyDescent="0.25">
      <c r="C43" s="78"/>
      <c r="D43" s="36"/>
      <c r="E43" s="24"/>
      <c r="F43" s="37" t="s">
        <v>29</v>
      </c>
      <c r="G43" s="24"/>
      <c r="H43" s="33"/>
    </row>
    <row r="44" spans="2:12" ht="15.75" customHeight="1" x14ac:dyDescent="0.25">
      <c r="C44" s="79"/>
      <c r="D44" s="36"/>
      <c r="E44" s="28"/>
      <c r="F44" s="29">
        <f>2/5</f>
        <v>0.4</v>
      </c>
      <c r="G44" s="30">
        <v>800000</v>
      </c>
      <c r="H44" s="31">
        <f>F29</f>
        <v>681724.0784091223</v>
      </c>
    </row>
    <row r="45" spans="2:12" ht="15.75" customHeight="1" x14ac:dyDescent="0.25">
      <c r="C45" s="38"/>
      <c r="D45" s="24"/>
      <c r="E45" s="24"/>
      <c r="F45" s="37" t="s">
        <v>30</v>
      </c>
      <c r="G45" s="24"/>
      <c r="H45" s="33"/>
    </row>
    <row r="46" spans="2:12" ht="15.75" customHeight="1" x14ac:dyDescent="0.25">
      <c r="C46" s="24"/>
      <c r="D46" s="24"/>
      <c r="E46" s="28"/>
      <c r="F46" s="29">
        <f>2/5</f>
        <v>0.4</v>
      </c>
      <c r="G46" s="30">
        <v>700000</v>
      </c>
      <c r="H46" s="31">
        <f>G29</f>
        <v>346508.56860798178</v>
      </c>
    </row>
    <row r="47" spans="2:12" ht="15.75" customHeight="1" x14ac:dyDescent="0.25">
      <c r="C47" s="24"/>
      <c r="D47" s="24"/>
      <c r="E47" s="24"/>
      <c r="F47" s="37" t="s">
        <v>31</v>
      </c>
      <c r="G47" s="24"/>
      <c r="H47" s="33"/>
    </row>
    <row r="48" spans="2:12" ht="15.75" customHeight="1" x14ac:dyDescent="0.25">
      <c r="C48" s="23" t="s">
        <v>43</v>
      </c>
      <c r="D48" s="24">
        <f>SUMPRODUCT(F44:F48,H44:H48)</f>
        <v>413551.67056820996</v>
      </c>
      <c r="E48" s="28"/>
      <c r="F48" s="29">
        <f>1/5</f>
        <v>0.2</v>
      </c>
      <c r="G48" s="30">
        <v>600000</v>
      </c>
      <c r="H48" s="31">
        <f>H29</f>
        <v>11293.058806841727</v>
      </c>
    </row>
    <row r="49" spans="3:8" ht="15.75" customHeight="1" x14ac:dyDescent="0.25">
      <c r="C49" s="23" t="s">
        <v>48</v>
      </c>
      <c r="D49" s="24">
        <f>((H44-D48)^2*F44+(H46-D48)^2*F46+(H48-D48)^2*F48)^(1/2)</f>
        <v>250852.31768172584</v>
      </c>
      <c r="E49" s="24"/>
      <c r="F49" s="38"/>
      <c r="G49" s="24"/>
      <c r="H49" s="38"/>
    </row>
    <row r="50" spans="3:8" ht="15.75" customHeight="1" x14ac:dyDescent="0.25">
      <c r="C50" s="24" t="s">
        <v>46</v>
      </c>
      <c r="D50" s="39">
        <f>D49/D48</f>
        <v>0.60658035146384692</v>
      </c>
      <c r="E50" s="24"/>
      <c r="F50" s="24"/>
      <c r="G50" s="24"/>
      <c r="H50" s="24"/>
    </row>
    <row r="51" spans="3:8" ht="15.75" customHeight="1" x14ac:dyDescent="0.2"/>
    <row r="52" spans="3:8" ht="15.75" customHeight="1" x14ac:dyDescent="0.25">
      <c r="G52" s="13"/>
      <c r="H52" s="40"/>
    </row>
    <row r="53" spans="3:8" ht="15.75" customHeight="1" x14ac:dyDescent="0.25">
      <c r="G53" s="13"/>
      <c r="H53" s="41"/>
    </row>
    <row r="54" spans="3:8" ht="15.75" customHeight="1" x14ac:dyDescent="0.25">
      <c r="G54" s="13"/>
      <c r="H54" s="40"/>
    </row>
    <row r="55" spans="3:8" ht="15.75" customHeight="1" x14ac:dyDescent="0.25">
      <c r="G55" s="13"/>
      <c r="H55" s="41"/>
    </row>
    <row r="56" spans="3:8" ht="15.75" customHeight="1" x14ac:dyDescent="0.25">
      <c r="G56" s="13"/>
      <c r="H56" s="40"/>
    </row>
    <row r="57" spans="3:8" ht="15.75" customHeight="1" x14ac:dyDescent="0.25">
      <c r="G57" s="13"/>
      <c r="H57" s="41"/>
    </row>
    <row r="58" spans="3:8" ht="15.75" customHeight="1" x14ac:dyDescent="0.2"/>
    <row r="59" spans="3:8" ht="15.75" customHeight="1" x14ac:dyDescent="0.2"/>
    <row r="60" spans="3:8" ht="15.75" customHeight="1" x14ac:dyDescent="0.2"/>
    <row r="61" spans="3:8" ht="15.75" customHeight="1" x14ac:dyDescent="0.2"/>
    <row r="62" spans="3:8" ht="15.75" customHeight="1" x14ac:dyDescent="0.2"/>
    <row r="63" spans="3:8" ht="15.75" customHeight="1" x14ac:dyDescent="0.2"/>
    <row r="64" spans="3: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</sheetData>
  <mergeCells count="10">
    <mergeCell ref="C42:C44"/>
    <mergeCell ref="J22:L30"/>
    <mergeCell ref="J33:L35"/>
    <mergeCell ref="C1:H13"/>
    <mergeCell ref="B15:D15"/>
    <mergeCell ref="F15:H15"/>
    <mergeCell ref="B16:C16"/>
    <mergeCell ref="F16:G16"/>
    <mergeCell ref="B21:D21"/>
    <mergeCell ref="F21:H21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Q995"/>
  <sheetViews>
    <sheetView workbookViewId="0"/>
  </sheetViews>
  <sheetFormatPr defaultColWidth="12.625" defaultRowHeight="15" customHeight="1" x14ac:dyDescent="0.2"/>
  <cols>
    <col min="1" max="1" width="8" customWidth="1"/>
    <col min="2" max="2" width="25.125" customWidth="1"/>
    <col min="3" max="3" width="14.125" customWidth="1"/>
    <col min="4" max="4" width="9.375" customWidth="1"/>
    <col min="5" max="5" width="10.75" customWidth="1"/>
    <col min="6" max="6" width="14.125" customWidth="1"/>
    <col min="7" max="7" width="8.75" customWidth="1"/>
    <col min="8" max="8" width="10.25" customWidth="1"/>
    <col min="9" max="11" width="8" customWidth="1"/>
    <col min="12" max="12" width="10" customWidth="1"/>
    <col min="13" max="13" width="8" customWidth="1"/>
    <col min="14" max="14" width="11.25" customWidth="1"/>
    <col min="15" max="26" width="8" customWidth="1"/>
  </cols>
  <sheetData>
    <row r="3" spans="1:13" ht="14.25" customHeight="1" x14ac:dyDescent="0.2">
      <c r="B3" s="83" t="s">
        <v>49</v>
      </c>
      <c r="C3" s="65"/>
      <c r="D3" s="65"/>
      <c r="E3" s="65"/>
      <c r="F3" s="65"/>
      <c r="G3" s="65"/>
      <c r="H3" s="42"/>
      <c r="I3" s="42"/>
      <c r="J3" s="42"/>
      <c r="K3" s="42"/>
    </row>
    <row r="4" spans="1:13" x14ac:dyDescent="0.2">
      <c r="B4" s="65"/>
      <c r="C4" s="65"/>
      <c r="D4" s="65"/>
      <c r="E4" s="65"/>
      <c r="F4" s="65"/>
      <c r="G4" s="65"/>
      <c r="H4" s="42"/>
      <c r="I4" s="42"/>
      <c r="J4" s="42"/>
      <c r="K4" s="42"/>
    </row>
    <row r="5" spans="1:13" x14ac:dyDescent="0.2">
      <c r="B5" s="65"/>
      <c r="C5" s="65"/>
      <c r="D5" s="65"/>
      <c r="E5" s="65"/>
      <c r="F5" s="65"/>
      <c r="G5" s="65"/>
      <c r="H5" s="42"/>
      <c r="I5" s="42"/>
      <c r="J5" s="42"/>
      <c r="K5" s="42"/>
    </row>
    <row r="6" spans="1:13" x14ac:dyDescent="0.2">
      <c r="B6" s="65"/>
      <c r="C6" s="65"/>
      <c r="D6" s="65"/>
      <c r="E6" s="65"/>
      <c r="F6" s="65"/>
      <c r="G6" s="65"/>
      <c r="H6" s="42"/>
      <c r="I6" s="42"/>
      <c r="J6" s="42"/>
      <c r="K6" s="42"/>
    </row>
    <row r="7" spans="1:13" x14ac:dyDescent="0.2">
      <c r="B7" s="65"/>
      <c r="C7" s="65"/>
      <c r="D7" s="65"/>
      <c r="E7" s="65"/>
      <c r="F7" s="65"/>
      <c r="G7" s="65"/>
      <c r="H7" s="42"/>
      <c r="I7" s="42"/>
      <c r="J7" s="42"/>
      <c r="K7" s="42"/>
    </row>
    <row r="8" spans="1:13" x14ac:dyDescent="0.2">
      <c r="B8" s="65"/>
      <c r="C8" s="65"/>
      <c r="D8" s="65"/>
      <c r="E8" s="65"/>
      <c r="F8" s="65"/>
      <c r="G8" s="65"/>
      <c r="H8" s="42"/>
      <c r="I8" s="42"/>
      <c r="J8" s="42"/>
      <c r="K8" s="42"/>
    </row>
    <row r="9" spans="1:13" x14ac:dyDescent="0.2">
      <c r="B9" s="65"/>
      <c r="C9" s="65"/>
      <c r="D9" s="65"/>
      <c r="E9" s="65"/>
      <c r="F9" s="65"/>
      <c r="G9" s="65"/>
      <c r="H9" s="42"/>
      <c r="I9" s="42"/>
      <c r="J9" s="42"/>
      <c r="K9" s="42"/>
    </row>
    <row r="11" spans="1:13" x14ac:dyDescent="0.25">
      <c r="B11" s="2" t="s">
        <v>50</v>
      </c>
      <c r="C11" s="13">
        <v>210000</v>
      </c>
    </row>
    <row r="13" spans="1:13" x14ac:dyDescent="0.25">
      <c r="B13" s="84" t="s">
        <v>51</v>
      </c>
      <c r="C13" s="65"/>
      <c r="D13" s="65"/>
    </row>
    <row r="14" spans="1:13" x14ac:dyDescent="0.25">
      <c r="A14" s="43" t="s">
        <v>52</v>
      </c>
      <c r="B14" s="44">
        <v>0.3</v>
      </c>
      <c r="D14" s="13">
        <v>-30000</v>
      </c>
      <c r="G14" s="85" t="s">
        <v>53</v>
      </c>
      <c r="H14" s="65"/>
      <c r="I14" s="65"/>
      <c r="J14" s="65"/>
      <c r="K14" s="65"/>
      <c r="L14" s="65"/>
      <c r="M14" s="65"/>
    </row>
    <row r="15" spans="1:13" x14ac:dyDescent="0.25">
      <c r="A15" s="86" t="s">
        <v>54</v>
      </c>
      <c r="B15" s="87">
        <v>0.7</v>
      </c>
      <c r="C15" s="45">
        <v>0.5</v>
      </c>
      <c r="D15" s="46">
        <v>185000</v>
      </c>
      <c r="E15" s="47" t="s">
        <v>55</v>
      </c>
      <c r="F15" s="48">
        <v>333000</v>
      </c>
      <c r="G15" s="65"/>
      <c r="H15" s="65"/>
      <c r="I15" s="65"/>
      <c r="J15" s="65"/>
      <c r="K15" s="65"/>
      <c r="L15" s="65"/>
      <c r="M15" s="65"/>
    </row>
    <row r="16" spans="1:13" ht="15.75" customHeight="1" x14ac:dyDescent="0.25">
      <c r="A16" s="69"/>
      <c r="B16" s="65"/>
      <c r="C16" s="12">
        <v>0.3</v>
      </c>
      <c r="D16" s="13">
        <v>415000</v>
      </c>
      <c r="E16" s="49" t="s">
        <v>56</v>
      </c>
      <c r="F16" s="50">
        <v>158653.71095565334</v>
      </c>
      <c r="G16" s="65"/>
      <c r="H16" s="65"/>
      <c r="I16" s="65"/>
      <c r="J16" s="65"/>
      <c r="K16" s="65"/>
      <c r="L16" s="65"/>
      <c r="M16" s="65"/>
    </row>
    <row r="17" spans="1:17" ht="15.75" customHeight="1" x14ac:dyDescent="0.25">
      <c r="A17" s="71"/>
      <c r="B17" s="72"/>
      <c r="C17" s="51">
        <v>0.2</v>
      </c>
      <c r="D17" s="52">
        <v>580000</v>
      </c>
      <c r="E17" s="53" t="s">
        <v>57</v>
      </c>
      <c r="F17" s="54">
        <f>F16/F15</f>
        <v>0.47643757043739743</v>
      </c>
      <c r="G17" s="65"/>
      <c r="H17" s="65"/>
      <c r="I17" s="65"/>
      <c r="J17" s="65"/>
      <c r="K17" s="65"/>
      <c r="L17" s="65"/>
      <c r="M17" s="65"/>
    </row>
    <row r="18" spans="1:17" ht="15.75" customHeight="1" x14ac:dyDescent="0.2">
      <c r="G18" s="65"/>
      <c r="H18" s="65"/>
      <c r="I18" s="65"/>
      <c r="J18" s="65"/>
      <c r="K18" s="65"/>
      <c r="L18" s="65"/>
      <c r="M18" s="65"/>
    </row>
    <row r="19" spans="1:17" ht="15.75" customHeight="1" x14ac:dyDescent="0.2">
      <c r="G19" s="65"/>
      <c r="H19" s="65"/>
      <c r="I19" s="65"/>
      <c r="J19" s="65"/>
      <c r="K19" s="65"/>
      <c r="L19" s="65"/>
      <c r="M19" s="65"/>
    </row>
    <row r="20" spans="1:17" ht="15.75" customHeight="1" x14ac:dyDescent="0.25">
      <c r="B20" s="1" t="s">
        <v>58</v>
      </c>
      <c r="C20" s="55">
        <f>D14*B14+F15*B15</f>
        <v>224099.99999999997</v>
      </c>
      <c r="G20" s="65"/>
      <c r="H20" s="65"/>
      <c r="I20" s="65"/>
      <c r="J20" s="65"/>
      <c r="K20" s="65"/>
      <c r="L20" s="65"/>
      <c r="M20" s="65"/>
    </row>
    <row r="21" spans="1:17" ht="15.75" customHeight="1" x14ac:dyDescent="0.25">
      <c r="B21" s="2" t="s">
        <v>59</v>
      </c>
      <c r="C21" s="56">
        <f>((D14-C20)^2*B14+(F15-C20)^2*B15)^(1/2)</f>
        <v>166347.49772689698</v>
      </c>
      <c r="G21" s="65"/>
      <c r="H21" s="65"/>
      <c r="I21" s="65"/>
      <c r="J21" s="65"/>
      <c r="K21" s="65"/>
      <c r="L21" s="65"/>
      <c r="M21" s="65"/>
    </row>
    <row r="22" spans="1:17" ht="15.75" customHeight="1" x14ac:dyDescent="0.25">
      <c r="B22" s="2" t="s">
        <v>60</v>
      </c>
      <c r="C22" s="57">
        <f>C21/C20</f>
        <v>0.74229137763006248</v>
      </c>
      <c r="G22" s="65"/>
      <c r="H22" s="65"/>
      <c r="I22" s="65"/>
      <c r="J22" s="65"/>
      <c r="K22" s="65"/>
      <c r="L22" s="65"/>
      <c r="M22" s="65"/>
    </row>
    <row r="23" spans="1:17" ht="15.75" customHeight="1" x14ac:dyDescent="0.2">
      <c r="G23" s="65"/>
      <c r="H23" s="65"/>
      <c r="I23" s="65"/>
      <c r="J23" s="65"/>
      <c r="K23" s="65"/>
      <c r="L23" s="65"/>
      <c r="M23" s="65"/>
    </row>
    <row r="24" spans="1:17" ht="15.75" customHeight="1" x14ac:dyDescent="0.2"/>
    <row r="25" spans="1:17" ht="15.75" customHeight="1" x14ac:dyDescent="0.25">
      <c r="C25" s="2" t="s">
        <v>61</v>
      </c>
    </row>
    <row r="26" spans="1:17" ht="15.75" customHeight="1" x14ac:dyDescent="0.25">
      <c r="B26" s="43" t="s">
        <v>52</v>
      </c>
      <c r="C26" s="13"/>
      <c r="I26" s="80" t="s">
        <v>62</v>
      </c>
      <c r="J26" s="67"/>
      <c r="K26" s="68"/>
    </row>
    <row r="27" spans="1:17" ht="15.75" customHeight="1" x14ac:dyDescent="0.25">
      <c r="B27" s="83" t="s">
        <v>54</v>
      </c>
      <c r="C27" s="13">
        <f>(D15-$F$16)^2*C15</f>
        <v>347063473.20413041</v>
      </c>
      <c r="I27" s="71"/>
      <c r="J27" s="72"/>
      <c r="K27" s="73"/>
    </row>
    <row r="28" spans="1:17" ht="15.75" customHeight="1" x14ac:dyDescent="0.25">
      <c r="B28" s="65"/>
      <c r="C28" s="13">
        <f>(D16-$F$16)^2*C16</f>
        <v>19714025972.042316</v>
      </c>
    </row>
    <row r="29" spans="1:17" ht="15.75" customHeight="1" x14ac:dyDescent="0.25">
      <c r="B29" s="65"/>
      <c r="C29" s="13">
        <f>(D17-$F$16)^2*C17</f>
        <v>35506539058.288422</v>
      </c>
    </row>
    <row r="30" spans="1:17" ht="15.75" customHeight="1" x14ac:dyDescent="0.2">
      <c r="F30" s="88"/>
    </row>
    <row r="31" spans="1:17" ht="15.75" customHeight="1" x14ac:dyDescent="0.2">
      <c r="F31" s="79"/>
    </row>
    <row r="32" spans="1:17" ht="15.75" customHeight="1" x14ac:dyDescent="0.25">
      <c r="N32" s="58" t="s">
        <v>63</v>
      </c>
      <c r="O32" s="59">
        <v>0.3</v>
      </c>
      <c r="P32" s="58" t="s">
        <v>52</v>
      </c>
      <c r="Q32" s="58">
        <v>-30000</v>
      </c>
    </row>
    <row r="33" spans="7:17" ht="15.75" customHeight="1" x14ac:dyDescent="0.2"/>
    <row r="34" spans="7:17" ht="15.75" customHeight="1" x14ac:dyDescent="0.2"/>
    <row r="35" spans="7:17" ht="15.75" customHeight="1" x14ac:dyDescent="0.2"/>
    <row r="36" spans="7:17" ht="15.75" customHeight="1" x14ac:dyDescent="0.2"/>
    <row r="37" spans="7:17" ht="15.75" customHeight="1" x14ac:dyDescent="0.25">
      <c r="N37" s="58" t="s">
        <v>63</v>
      </c>
      <c r="O37" s="60">
        <v>0.7</v>
      </c>
      <c r="P37" s="58" t="s">
        <v>64</v>
      </c>
      <c r="Q37" s="58">
        <f>Q41*N41+Q43*N43+Q45*N45</f>
        <v>333000</v>
      </c>
    </row>
    <row r="38" spans="7:17" ht="15.75" customHeight="1" x14ac:dyDescent="0.2"/>
    <row r="39" spans="7:17" ht="15.75" customHeight="1" x14ac:dyDescent="0.25">
      <c r="N39" s="58" t="s">
        <v>65</v>
      </c>
      <c r="O39" s="81" t="s">
        <v>66</v>
      </c>
      <c r="P39" s="82"/>
      <c r="Q39" s="58" t="s">
        <v>67</v>
      </c>
    </row>
    <row r="40" spans="7:17" ht="15.75" customHeight="1" x14ac:dyDescent="0.25">
      <c r="G40" s="61" t="s">
        <v>68</v>
      </c>
      <c r="H40" s="62">
        <f>Q32*O32+Q37*O37</f>
        <v>224099.99999999997</v>
      </c>
    </row>
    <row r="41" spans="7:17" ht="15.75" customHeight="1" x14ac:dyDescent="0.25">
      <c r="G41" s="58" t="s">
        <v>69</v>
      </c>
      <c r="H41" s="62">
        <f>(((Q32-H40)^2*O32)+((Q37-H40)^2*O37))^(1/2)</f>
        <v>166347.49772689698</v>
      </c>
      <c r="N41" s="60">
        <v>0.2</v>
      </c>
      <c r="O41" s="81" t="s">
        <v>29</v>
      </c>
      <c r="P41" s="82"/>
      <c r="Q41" s="58">
        <v>580000</v>
      </c>
    </row>
    <row r="42" spans="7:17" ht="15.75" customHeight="1" x14ac:dyDescent="0.25">
      <c r="G42" s="58" t="s">
        <v>70</v>
      </c>
      <c r="H42" s="63">
        <f>H41/H40</f>
        <v>0.74229137763006248</v>
      </c>
    </row>
    <row r="43" spans="7:17" ht="15.75" customHeight="1" x14ac:dyDescent="0.25">
      <c r="N43" s="60">
        <v>0.3</v>
      </c>
      <c r="O43" s="81" t="s">
        <v>71</v>
      </c>
      <c r="P43" s="82"/>
      <c r="Q43" s="58">
        <v>415000</v>
      </c>
    </row>
    <row r="44" spans="7:17" ht="15.75" customHeight="1" x14ac:dyDescent="0.2"/>
    <row r="45" spans="7:17" ht="15.75" customHeight="1" x14ac:dyDescent="0.25">
      <c r="N45" s="60">
        <v>0.5</v>
      </c>
      <c r="O45" s="81" t="s">
        <v>31</v>
      </c>
      <c r="P45" s="82"/>
      <c r="Q45" s="58">
        <v>185000</v>
      </c>
    </row>
    <row r="46" spans="7:17" ht="15.75" customHeight="1" x14ac:dyDescent="0.25">
      <c r="K46" s="58" t="s">
        <v>69</v>
      </c>
      <c r="L46" s="62">
        <f>(((Q41-Q37)^2*N41)+((Q43-Q37)^2*N43)+((Q45-Q37)^2*N45))^(1/2)</f>
        <v>158653.71095565334</v>
      </c>
    </row>
    <row r="47" spans="7:17" ht="15.75" customHeight="1" x14ac:dyDescent="0.25">
      <c r="K47" s="58" t="s">
        <v>70</v>
      </c>
      <c r="L47" s="63">
        <f>L46/Q37</f>
        <v>0.47643757043739743</v>
      </c>
    </row>
    <row r="48" spans="7:1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mergeCells count="12">
    <mergeCell ref="B27:B29"/>
    <mergeCell ref="F30:F31"/>
    <mergeCell ref="B3:G9"/>
    <mergeCell ref="B13:D13"/>
    <mergeCell ref="G14:M23"/>
    <mergeCell ref="A15:A17"/>
    <mergeCell ref="B15:B17"/>
    <mergeCell ref="I26:K27"/>
    <mergeCell ref="O39:P39"/>
    <mergeCell ref="O41:P41"/>
    <mergeCell ref="O43:P43"/>
    <mergeCell ref="O45:P45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Nombres</vt:lpstr>
      <vt:lpstr>Punto 1</vt:lpstr>
      <vt:lpstr>Punto 2</vt:lpstr>
      <vt:lpstr>Punto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Lenovo</cp:lastModifiedBy>
  <dcterms:created xsi:type="dcterms:W3CDTF">2021-04-21T16:51:08Z</dcterms:created>
  <dcterms:modified xsi:type="dcterms:W3CDTF">2021-04-28T21:17:53Z</dcterms:modified>
</cp:coreProperties>
</file>