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finanzas-avanzadas\Parciales\Parcial_1\"/>
    </mc:Choice>
  </mc:AlternateContent>
  <xr:revisionPtr revIDLastSave="0" documentId="8_{BE9C48A8-2D94-4E6E-A50F-99254B3469A8}" xr6:coauthVersionLast="46" xr6:coauthVersionMax="46" xr10:uidLastSave="{00000000-0000-0000-0000-000000000000}"/>
  <bookViews>
    <workbookView xWindow="-120" yWindow="-120" windowWidth="20730" windowHeight="11160" activeTab="3" xr2:uid="{00000000-000D-0000-FFFF-FFFF00000000}"/>
  </bookViews>
  <sheets>
    <sheet name="Integrantes" sheetId="3" r:id="rId1"/>
    <sheet name="Características proyectos" sheetId="1" r:id="rId2"/>
    <sheet name="FCN para cada escenario" sheetId="4" r:id="rId3"/>
    <sheet name="Arbol de Decisión" sheetId="5" r:id="rId4"/>
  </sheets>
  <definedNames>
    <definedName name="Gastos_de_publicidad" localSheetId="3">'Arbol de Decisión'!$B$11</definedName>
    <definedName name="Gastos_de_publicidad" localSheetId="2">'FCN para cada escenario'!$B$10</definedName>
    <definedName name="Gastos_de_publicidad">'Características proyectos'!#REF!</definedName>
    <definedName name="TREMA" localSheetId="3">'Arbol de Decisión'!$B$7</definedName>
    <definedName name="TREMA" localSheetId="2">'FCN para cada escenario'!$B$6</definedName>
    <definedName name="TREMA">'Características proyectos'!#REF!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4" i="5" l="1"/>
  <c r="F54" i="5"/>
  <c r="E54" i="5"/>
  <c r="G53" i="5"/>
  <c r="F53" i="5"/>
  <c r="E53" i="5"/>
  <c r="G52" i="5"/>
  <c r="F52" i="5"/>
  <c r="E52" i="5"/>
  <c r="G45" i="5"/>
  <c r="F45" i="5"/>
  <c r="E45" i="5"/>
  <c r="G44" i="5"/>
  <c r="F44" i="5"/>
  <c r="E44" i="5"/>
  <c r="G43" i="5"/>
  <c r="F43" i="5"/>
  <c r="E43" i="5"/>
  <c r="G42" i="5"/>
  <c r="F42" i="5"/>
  <c r="E42" i="5"/>
  <c r="G41" i="5"/>
  <c r="F41" i="5"/>
  <c r="E41" i="5"/>
  <c r="G36" i="5"/>
  <c r="F36" i="5"/>
  <c r="E36" i="5"/>
  <c r="G35" i="5"/>
  <c r="F35" i="5"/>
  <c r="E35" i="5"/>
  <c r="G34" i="5"/>
  <c r="F34" i="5"/>
  <c r="E34" i="5"/>
  <c r="G27" i="5"/>
  <c r="F27" i="5"/>
  <c r="E27" i="5"/>
  <c r="G26" i="5"/>
  <c r="F26" i="5"/>
  <c r="E26" i="5"/>
  <c r="G25" i="5"/>
  <c r="F25" i="5"/>
  <c r="E25" i="5"/>
  <c r="G24" i="5"/>
  <c r="F24" i="5"/>
  <c r="E24" i="5"/>
  <c r="G23" i="5"/>
  <c r="F23" i="5"/>
  <c r="E23" i="5"/>
  <c r="F18" i="5"/>
  <c r="E18" i="5"/>
  <c r="F17" i="5"/>
  <c r="E17" i="5"/>
  <c r="F16" i="5"/>
  <c r="E16" i="5"/>
  <c r="F15" i="5"/>
  <c r="E15" i="5"/>
  <c r="G14" i="5"/>
  <c r="F14" i="5"/>
  <c r="E14" i="5"/>
  <c r="F9" i="5"/>
  <c r="E9" i="5"/>
  <c r="F8" i="5"/>
  <c r="E8" i="5"/>
  <c r="F7" i="5"/>
  <c r="E7" i="5"/>
  <c r="F6" i="5"/>
  <c r="E6" i="5"/>
  <c r="F5" i="5"/>
  <c r="E5" i="5"/>
  <c r="G53" i="4"/>
  <c r="F53" i="4"/>
  <c r="E53" i="4"/>
  <c r="G52" i="4"/>
  <c r="F52" i="4"/>
  <c r="E52" i="4"/>
  <c r="G51" i="4"/>
  <c r="F51" i="4"/>
  <c r="E51" i="4"/>
  <c r="G44" i="4"/>
  <c r="H44" i="4" s="1"/>
  <c r="F44" i="4"/>
  <c r="E44" i="4"/>
  <c r="G43" i="4"/>
  <c r="F43" i="4"/>
  <c r="E43" i="4"/>
  <c r="G42" i="4"/>
  <c r="F42" i="4"/>
  <c r="E42" i="4"/>
  <c r="G41" i="4"/>
  <c r="F41" i="4"/>
  <c r="E41" i="4"/>
  <c r="G40" i="4"/>
  <c r="F40" i="4"/>
  <c r="E40" i="4"/>
  <c r="G35" i="4"/>
  <c r="F35" i="4"/>
  <c r="E35" i="4"/>
  <c r="G34" i="4"/>
  <c r="F34" i="4"/>
  <c r="E34" i="4"/>
  <c r="G33" i="4"/>
  <c r="F33" i="4"/>
  <c r="E33" i="4"/>
  <c r="G26" i="4"/>
  <c r="F26" i="4"/>
  <c r="E26" i="4"/>
  <c r="G25" i="4"/>
  <c r="F25" i="4"/>
  <c r="E25" i="4"/>
  <c r="G24" i="4"/>
  <c r="F24" i="4"/>
  <c r="E24" i="4"/>
  <c r="H24" i="4" s="1"/>
  <c r="G23" i="4"/>
  <c r="F23" i="4"/>
  <c r="E23" i="4"/>
  <c r="G22" i="4"/>
  <c r="F22" i="4"/>
  <c r="E22" i="4"/>
  <c r="F17" i="4"/>
  <c r="E17" i="4"/>
  <c r="H17" i="4" s="1"/>
  <c r="F16" i="4"/>
  <c r="E16" i="4"/>
  <c r="F15" i="4"/>
  <c r="E15" i="4"/>
  <c r="F14" i="4"/>
  <c r="E14" i="4"/>
  <c r="G13" i="4"/>
  <c r="F13" i="4"/>
  <c r="E13" i="4"/>
  <c r="F8" i="4"/>
  <c r="E8" i="4"/>
  <c r="H8" i="4" s="1"/>
  <c r="F7" i="4"/>
  <c r="E7" i="4"/>
  <c r="H7" i="4" s="1"/>
  <c r="F6" i="4"/>
  <c r="E6" i="4"/>
  <c r="F5" i="4"/>
  <c r="E5" i="4"/>
  <c r="F4" i="4"/>
  <c r="E4" i="4"/>
  <c r="H13" i="4" l="1"/>
  <c r="H15" i="4"/>
  <c r="H23" i="4"/>
  <c r="H6" i="4"/>
  <c r="H16" i="4"/>
  <c r="H7" i="5"/>
  <c r="H6" i="5"/>
  <c r="H16" i="5"/>
  <c r="H17" i="5"/>
  <c r="H23" i="5"/>
  <c r="H27" i="5"/>
  <c r="H35" i="5"/>
  <c r="H43" i="5"/>
  <c r="H8" i="5"/>
  <c r="H15" i="5"/>
  <c r="H36" i="5"/>
  <c r="H5" i="5"/>
  <c r="H26" i="5"/>
  <c r="H34" i="5"/>
  <c r="H42" i="5"/>
  <c r="H52" i="5"/>
  <c r="H54" i="5"/>
  <c r="H9" i="5"/>
  <c r="H14" i="5"/>
  <c r="H18" i="5"/>
  <c r="H25" i="5"/>
  <c r="H45" i="5"/>
  <c r="H24" i="5"/>
  <c r="H44" i="5"/>
  <c r="H41" i="5"/>
  <c r="H53" i="5"/>
  <c r="H35" i="4"/>
  <c r="H43" i="4"/>
  <c r="H14" i="4"/>
  <c r="H22" i="4"/>
  <c r="H27" i="4" s="1" a="1"/>
  <c r="H27" i="4" s="1"/>
  <c r="H26" i="4"/>
  <c r="H34" i="4"/>
  <c r="H42" i="4"/>
  <c r="H5" i="4"/>
  <c r="H9" i="4" s="1"/>
  <c r="H4" i="4"/>
  <c r="H25" i="4"/>
  <c r="H33" i="4"/>
  <c r="H36" i="4" s="1"/>
  <c r="H41" i="4"/>
  <c r="H51" i="4"/>
  <c r="H53" i="4"/>
  <c r="H54" i="4"/>
  <c r="H40" i="4"/>
  <c r="H45" i="4" s="1"/>
  <c r="H52" i="4"/>
  <c r="H18" i="4"/>
  <c r="H19" i="5" l="1"/>
  <c r="Y8" i="5" s="1"/>
  <c r="H10" i="5"/>
  <c r="H55" i="5"/>
  <c r="Z28" i="5" s="1"/>
  <c r="H37" i="5"/>
  <c r="Z19" i="5" s="1"/>
  <c r="H46" i="5"/>
  <c r="Z24" i="5" s="1"/>
  <c r="H28" i="5" a="1"/>
  <c r="H28" i="5" s="1"/>
  <c r="Z15" i="5" s="1"/>
  <c r="Y4" i="5"/>
  <c r="L12" i="5"/>
  <c r="L29" i="4"/>
  <c r="L30" i="4" s="1"/>
  <c r="L46" i="4"/>
  <c r="L11" i="4"/>
  <c r="L47" i="4"/>
  <c r="L47" i="5" l="1"/>
  <c r="X31" i="5" s="1"/>
  <c r="O38" i="4"/>
  <c r="L31" i="4"/>
  <c r="L48" i="5"/>
  <c r="X32" i="5" s="1"/>
  <c r="L30" i="5"/>
  <c r="V3" i="5"/>
  <c r="S13" i="5" s="1"/>
  <c r="L13" i="5"/>
  <c r="L48" i="4"/>
  <c r="L12" i="4"/>
  <c r="O39" i="4" l="1"/>
  <c r="L49" i="5"/>
  <c r="X33" i="5" s="1"/>
  <c r="L31" i="5"/>
  <c r="X11" i="5"/>
  <c r="O39" i="5"/>
  <c r="V4" i="5"/>
  <c r="L14" i="5"/>
  <c r="V5" i="5" s="1"/>
  <c r="L13" i="4"/>
  <c r="O40" i="4" l="1"/>
  <c r="V24" i="5"/>
  <c r="O40" i="5"/>
  <c r="L32" i="5"/>
  <c r="X13" i="5" s="1"/>
  <c r="X12" i="5"/>
  <c r="V25" i="5" l="1"/>
  <c r="O41" i="5"/>
  <c r="V2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<sst xmlns="http://schemas.openxmlformats.org/spreadsheetml/2006/main" count="266" uniqueCount="71">
  <si>
    <t>Costo unitaria de vente (costo variable)</t>
  </si>
  <si>
    <t>Ventas inciales</t>
  </si>
  <si>
    <t>Bajar Precio</t>
  </si>
  <si>
    <t>Precio por unidad incial de venta</t>
  </si>
  <si>
    <t>Ventas</t>
  </si>
  <si>
    <t>Bajar Precio (Año 1 y 2)</t>
  </si>
  <si>
    <t>ventas</t>
  </si>
  <si>
    <t>Éxito</t>
  </si>
  <si>
    <t>Fracaso</t>
  </si>
  <si>
    <t>probabilidad</t>
  </si>
  <si>
    <t>Año 3 - 4</t>
  </si>
  <si>
    <t>Reacciona</t>
  </si>
  <si>
    <t xml:space="preserve">Bajar Precio </t>
  </si>
  <si>
    <t>No reacciona</t>
  </si>
  <si>
    <t>No Reacciona</t>
  </si>
  <si>
    <t>Características generales de los proyectos</t>
  </si>
  <si>
    <t>Precio por unidad proyecto que baja precio</t>
  </si>
  <si>
    <t>Gastos de publicidad (Costos fijos) proyecto precio se sostiene</t>
  </si>
  <si>
    <t xml:space="preserve">Mariana Garzón </t>
  </si>
  <si>
    <t xml:space="preserve">Oscar Medina </t>
  </si>
  <si>
    <t xml:space="preserve">Juan Ramírez </t>
  </si>
  <si>
    <t xml:space="preserve">Germán Rodriguez </t>
  </si>
  <si>
    <t>Integrantes:</t>
  </si>
  <si>
    <t>TREMA</t>
  </si>
  <si>
    <t>Año</t>
  </si>
  <si>
    <t>Ingreso</t>
  </si>
  <si>
    <t>Costos variables</t>
  </si>
  <si>
    <t>Costos Fijos</t>
  </si>
  <si>
    <t>Flujo de Caja</t>
  </si>
  <si>
    <t>Bajar Precio - Competencia no reacciona</t>
  </si>
  <si>
    <t>Sostener Precio - éxito - Competencia reacciona</t>
  </si>
  <si>
    <t>Sostener Precio - éxito- Competencia no reacciona</t>
  </si>
  <si>
    <t>Sostener Precio - fracaso - Competencia reacciona</t>
  </si>
  <si>
    <t>Sostener Precio - fracaso - Competencia  no reacciona</t>
  </si>
  <si>
    <t>VPN</t>
  </si>
  <si>
    <t>Bajar Precio - Competencia reacciona (P = 0.7)</t>
  </si>
  <si>
    <t>E(VPN)</t>
  </si>
  <si>
    <t>CV</t>
  </si>
  <si>
    <t>Desv Est</t>
  </si>
  <si>
    <t>Sostener precio y aumentar publicidad (Año 1 y 2)</t>
  </si>
  <si>
    <t>Sostener precio y aumentar publicidad</t>
  </si>
  <si>
    <t>Sostener precio y aumentar publicidad - exito</t>
  </si>
  <si>
    <t>Sostener precio y aumentar publicidad - fracaso</t>
  </si>
  <si>
    <t>Bajar precio</t>
  </si>
  <si>
    <t xml:space="preserve">No reacciona </t>
  </si>
  <si>
    <t>Sostener el precio y aumentar publicidad</t>
  </si>
  <si>
    <t xml:space="preserve">Reacciona </t>
  </si>
  <si>
    <t xml:space="preserve">Fracaso </t>
  </si>
  <si>
    <t xml:space="preserve">Éxito </t>
  </si>
  <si>
    <t xml:space="preserve">Probabilidad </t>
  </si>
  <si>
    <t>VNA</t>
  </si>
  <si>
    <t>Características inciales de la empresa (Año base)</t>
  </si>
  <si>
    <t>Bajar Precio - Competencia reacciona</t>
  </si>
  <si>
    <t>Característica Proyectos año 1 y 2</t>
  </si>
  <si>
    <t>Estrategia</t>
  </si>
  <si>
    <t>Probabilidad</t>
  </si>
  <si>
    <t>Unidades anuales vendidas</t>
  </si>
  <si>
    <t>1 (éxito)</t>
  </si>
  <si>
    <t>0.8 (éxito)</t>
  </si>
  <si>
    <t>0.2 (fracaso)</t>
  </si>
  <si>
    <t>Reacción del competidor</t>
  </si>
  <si>
    <t>Característica proyectos año 3 a 5</t>
  </si>
  <si>
    <t xml:space="preserve">0.6 (éxito) </t>
  </si>
  <si>
    <t xml:space="preserve">0.4 (éxito) </t>
  </si>
  <si>
    <t xml:space="preserve">0.2 (fracaso) </t>
  </si>
  <si>
    <t xml:space="preserve">0.8 (fracaso) </t>
  </si>
  <si>
    <t>Precio por unidad inicial de venta</t>
  </si>
  <si>
    <t>Costo unitario de venta (costo variable)</t>
  </si>
  <si>
    <t>Características iniciales de la empresa (Año base)</t>
  </si>
  <si>
    <t>0.7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</si>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</sst>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5">
    <xf numFmtId="0" fontId="0" fillId="0" borderId="0" xfId="0"/>
    <xf numFmtId="44" fontId="0" fillId="0" borderId="0" xfId="1" applyFont="1"/>
    <xf numFmtId="164" fontId="0" fillId="0" borderId="0" xfId="1" applyNumberFormat="1" applyFont="1"/>
    <xf numFmtId="0" fontId="2" fillId="0" borderId="0" xfId="0" applyFont="1"/>
    <xf numFmtId="0" fontId="0" fillId="0" borderId="0" xfId="1" applyNumberFormat="1" applyFont="1"/>
    <xf numFmtId="0" fontId="0" fillId="0" borderId="0" xfId="0" applyFont="1"/>
    <xf numFmtId="0" fontId="3" fillId="0" borderId="0" xfId="0" applyFont="1"/>
    <xf numFmtId="9" fontId="0" fillId="0" borderId="0" xfId="2" applyFont="1"/>
    <xf numFmtId="8" fontId="0" fillId="0" borderId="0" xfId="0" applyNumberFormat="1"/>
    <xf numFmtId="164" fontId="0" fillId="0" borderId="0" xfId="0" applyNumberFormat="1"/>
    <xf numFmtId="6" fontId="0" fillId="0" borderId="0" xfId="0" applyNumberFormat="1"/>
    <xf numFmtId="44" fontId="1" fillId="0" borderId="0" xfId="1" applyFont="1"/>
    <xf numFmtId="8" fontId="0" fillId="0" borderId="0" xfId="1" applyNumberFormat="1" applyFont="1"/>
    <xf numFmtId="6" fontId="0" fillId="2" borderId="0" xfId="0" applyNumberFormat="1" applyFill="1"/>
    <xf numFmtId="6" fontId="0" fillId="3" borderId="0" xfId="0" applyNumberFormat="1" applyFill="1"/>
    <xf numFmtId="0" fontId="0" fillId="0" borderId="0" xfId="0" applyAlignment="1">
      <alignment horizontal="right"/>
    </xf>
    <xf numFmtId="9" fontId="0" fillId="0" borderId="1" xfId="0" applyNumberFormat="1" applyBorder="1"/>
    <xf numFmtId="8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6" fontId="0" fillId="0" borderId="1" xfId="0" applyNumberForma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6" fontId="0" fillId="3" borderId="7" xfId="0" applyNumberFormat="1" applyFill="1" applyBorder="1"/>
    <xf numFmtId="8" fontId="0" fillId="0" borderId="8" xfId="0" applyNumberFormat="1" applyBorder="1"/>
    <xf numFmtId="0" fontId="0" fillId="0" borderId="9" xfId="0" applyBorder="1"/>
    <xf numFmtId="6" fontId="0" fillId="0" borderId="7" xfId="0" applyNumberFormat="1" applyBorder="1"/>
    <xf numFmtId="6" fontId="0" fillId="2" borderId="7" xfId="0" applyNumberFormat="1" applyFill="1" applyBorder="1"/>
    <xf numFmtId="6" fontId="0" fillId="0" borderId="8" xfId="0" applyNumberFormat="1" applyBorder="1"/>
    <xf numFmtId="0" fontId="2" fillId="0" borderId="13" xfId="0" applyFont="1" applyBorder="1"/>
    <xf numFmtId="0" fontId="0" fillId="0" borderId="0" xfId="0" applyBorder="1"/>
    <xf numFmtId="44" fontId="0" fillId="0" borderId="0" xfId="1" applyFont="1" applyBorder="1"/>
    <xf numFmtId="0" fontId="0" fillId="0" borderId="16" xfId="0" applyBorder="1"/>
    <xf numFmtId="0" fontId="2" fillId="0" borderId="5" xfId="0" applyFont="1" applyBorder="1"/>
    <xf numFmtId="0" fontId="0" fillId="0" borderId="18" xfId="0" applyBorder="1"/>
    <xf numFmtId="0" fontId="0" fillId="0" borderId="6" xfId="0" applyBorder="1"/>
    <xf numFmtId="0" fontId="2" fillId="0" borderId="0" xfId="0" applyFont="1" applyBorder="1"/>
    <xf numFmtId="0" fontId="0" fillId="0" borderId="19" xfId="0" applyBorder="1"/>
    <xf numFmtId="164" fontId="0" fillId="0" borderId="20" xfId="1" applyNumberFormat="1" applyFont="1" applyBorder="1"/>
    <xf numFmtId="0" fontId="0" fillId="0" borderId="21" xfId="0" applyBorder="1"/>
    <xf numFmtId="44" fontId="0" fillId="0" borderId="22" xfId="1" applyFont="1" applyBorder="1"/>
    <xf numFmtId="44" fontId="0" fillId="0" borderId="8" xfId="1" applyFont="1" applyBorder="1"/>
    <xf numFmtId="44" fontId="0" fillId="0" borderId="9" xfId="1" applyFont="1" applyBorder="1"/>
    <xf numFmtId="0" fontId="0" fillId="0" borderId="4" xfId="0" applyBorder="1"/>
    <xf numFmtId="164" fontId="0" fillId="0" borderId="0" xfId="0" applyNumberFormat="1" applyBorder="1"/>
    <xf numFmtId="164" fontId="0" fillId="0" borderId="20" xfId="0" applyNumberFormat="1" applyBorder="1"/>
    <xf numFmtId="164" fontId="0" fillId="0" borderId="22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44" fontId="0" fillId="0" borderId="20" xfId="1" applyFont="1" applyBorder="1"/>
    <xf numFmtId="164" fontId="0" fillId="0" borderId="8" xfId="1" applyNumberFormat="1" applyFont="1" applyBorder="1"/>
    <xf numFmtId="44" fontId="1" fillId="0" borderId="8" xfId="1" applyFont="1" applyBorder="1"/>
    <xf numFmtId="6" fontId="0" fillId="3" borderId="20" xfId="0" applyNumberFormat="1" applyFill="1" applyBorder="1"/>
    <xf numFmtId="8" fontId="0" fillId="0" borderId="20" xfId="0" applyNumberFormat="1" applyBorder="1"/>
    <xf numFmtId="0" fontId="0" fillId="0" borderId="23" xfId="0" applyBorder="1"/>
    <xf numFmtId="6" fontId="0" fillId="0" borderId="20" xfId="0" applyNumberFormat="1" applyBorder="1"/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14" xfId="0" applyFont="1" applyBorder="1"/>
    <xf numFmtId="164" fontId="0" fillId="0" borderId="15" xfId="1" applyNumberFormat="1" applyFont="1" applyBorder="1"/>
    <xf numFmtId="164" fontId="0" fillId="0" borderId="16" xfId="1" applyNumberFormat="1" applyFont="1" applyBorder="1"/>
    <xf numFmtId="0" fontId="0" fillId="0" borderId="16" xfId="1" applyNumberFormat="1" applyFont="1" applyBorder="1"/>
    <xf numFmtId="9" fontId="0" fillId="0" borderId="17" xfId="2" applyFont="1" applyBorder="1"/>
    <xf numFmtId="165" fontId="0" fillId="0" borderId="14" xfId="3" applyNumberFormat="1" applyFont="1" applyBorder="1"/>
    <xf numFmtId="44" fontId="0" fillId="0" borderId="16" xfId="1" applyFont="1" applyBorder="1"/>
    <xf numFmtId="165" fontId="0" fillId="0" borderId="17" xfId="3" applyNumberFormat="1" applyFont="1" applyBorder="1"/>
    <xf numFmtId="164" fontId="0" fillId="0" borderId="16" xfId="0" applyNumberFormat="1" applyBorder="1"/>
    <xf numFmtId="6" fontId="0" fillId="0" borderId="1" xfId="0" applyNumberFormat="1" applyBorder="1" applyAlignment="1">
      <alignment horizontal="center"/>
    </xf>
    <xf numFmtId="8" fontId="0" fillId="0" borderId="1" xfId="1" applyNumberFormat="1" applyFont="1" applyBorder="1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6" fontId="0" fillId="0" borderId="20" xfId="0" applyNumberFormat="1" applyFill="1" applyBorder="1"/>
    <xf numFmtId="0" fontId="2" fillId="0" borderId="24" xfId="0" applyFont="1" applyBorder="1" applyAlignment="1">
      <alignment horizontal="center"/>
    </xf>
    <xf numFmtId="44" fontId="0" fillId="0" borderId="13" xfId="1" applyFont="1" applyBorder="1" applyAlignment="1">
      <alignment horizontal="left" vertical="center"/>
    </xf>
    <xf numFmtId="44" fontId="0" fillId="0" borderId="13" xfId="1" applyFont="1" applyBorder="1" applyAlignment="1">
      <alignment horizontal="left" vertical="center"/>
    </xf>
    <xf numFmtId="6" fontId="0" fillId="0" borderId="20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8" fontId="0" fillId="0" borderId="20" xfId="0" applyNumberFormat="1" applyBorder="1" applyAlignment="1">
      <alignment horizontal="center"/>
    </xf>
    <xf numFmtId="6" fontId="0" fillId="3" borderId="10" xfId="0" applyNumberFormat="1" applyFill="1" applyBorder="1" applyAlignment="1">
      <alignment horizontal="center" vertical="center"/>
    </xf>
    <xf numFmtId="6" fontId="0" fillId="3" borderId="12" xfId="0" applyNumberFormat="1" applyFill="1" applyBorder="1" applyAlignment="1">
      <alignment horizontal="center" vertical="center"/>
    </xf>
    <xf numFmtId="6" fontId="0" fillId="3" borderId="15" xfId="0" applyNumberFormat="1" applyFill="1" applyBorder="1" applyAlignment="1">
      <alignment horizontal="center" vertical="center"/>
    </xf>
    <xf numFmtId="6" fontId="0" fillId="3" borderId="17" xfId="0" applyNumberFormat="1" applyFill="1" applyBorder="1" applyAlignment="1">
      <alignment horizontal="center" vertical="center"/>
    </xf>
    <xf numFmtId="44" fontId="0" fillId="0" borderId="13" xfId="1" applyFont="1" applyBorder="1" applyAlignment="1">
      <alignment horizontal="left" vertical="center" wrapText="1"/>
    </xf>
    <xf numFmtId="44" fontId="0" fillId="0" borderId="15" xfId="1" applyFont="1" applyBorder="1" applyAlignment="1">
      <alignment horizontal="left" vertical="center" wrapText="1"/>
    </xf>
    <xf numFmtId="0" fontId="2" fillId="0" borderId="3" xfId="0" applyFont="1" applyBorder="1" applyAlignment="1">
      <alignment wrapText="1"/>
    </xf>
    <xf numFmtId="0" fontId="2" fillId="0" borderId="24" xfId="0" applyFont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1040946</xdr:colOff>
      <xdr:row>5</xdr:row>
      <xdr:rowOff>99331</xdr:rowOff>
    </xdr:from>
    <xdr:to>
      <xdr:col>21</xdr:col>
      <xdr:colOff>1154906</xdr:colOff>
      <xdr:row>8</xdr:row>
      <xdr:rowOff>99331</xdr:rowOff>
    </xdr:to>
    <xdr:sp macro="" textlink="">
      <xdr:nvSpPr>
        <xdr:cNvPr id="99" name="Elipse 1" descr="$13,745,894,400 &#10;">
          <a:extLst>
            <a:ext uri="{FF2B5EF4-FFF2-40B4-BE49-F238E27FC236}">
              <a16:creationId xmlns:a16="http://schemas.microsoft.com/office/drawing/2014/main" id="{59C24CFE-1969-4CD8-84E2-6A16D0342933}"/>
            </a:ext>
          </a:extLst>
        </xdr:cNvPr>
        <xdr:cNvSpPr/>
      </xdr:nvSpPr>
      <xdr:spPr>
        <a:xfrm>
          <a:off x="2957852" y="861331"/>
          <a:ext cx="1816554" cy="571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$13.745.894.400 </a:t>
          </a:r>
          <a:endParaRPr lang="es-CO" sz="1100" b="1"/>
        </a:p>
      </xdr:txBody>
    </xdr:sp>
    <xdr:clientData/>
  </xdr:twoCellAnchor>
  <xdr:twoCellAnchor>
    <xdr:from>
      <xdr:col>20</xdr:col>
      <xdr:colOff>1081088</xdr:colOff>
      <xdr:row>17</xdr:row>
      <xdr:rowOff>145256</xdr:rowOff>
    </xdr:from>
    <xdr:to>
      <xdr:col>21</xdr:col>
      <xdr:colOff>1297780</xdr:colOff>
      <xdr:row>20</xdr:row>
      <xdr:rowOff>145256</xdr:rowOff>
    </xdr:to>
    <xdr:sp macro="" textlink="">
      <xdr:nvSpPr>
        <xdr:cNvPr id="96" name="Elipse 2">
          <a:extLst>
            <a:ext uri="{FF2B5EF4-FFF2-40B4-BE49-F238E27FC236}">
              <a16:creationId xmlns:a16="http://schemas.microsoft.com/office/drawing/2014/main" id="{0A4403E0-6C31-40EE-8E7B-C359147D9D2F}"/>
            </a:ext>
          </a:extLst>
        </xdr:cNvPr>
        <xdr:cNvSpPr/>
      </xdr:nvSpPr>
      <xdr:spPr>
        <a:xfrm>
          <a:off x="2997994" y="3193256"/>
          <a:ext cx="1919286" cy="571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$12.423.591.936 </a:t>
          </a:r>
          <a:endParaRPr lang="es-CO" sz="1100" b="1"/>
        </a:p>
      </xdr:txBody>
    </xdr:sp>
    <xdr:clientData/>
  </xdr:twoCellAnchor>
  <xdr:twoCellAnchor>
    <xdr:from>
      <xdr:col>20</xdr:col>
      <xdr:colOff>11906</xdr:colOff>
      <xdr:row>7</xdr:row>
      <xdr:rowOff>27215</xdr:rowOff>
    </xdr:from>
    <xdr:to>
      <xdr:col>20</xdr:col>
      <xdr:colOff>1034143</xdr:colOff>
      <xdr:row>13</xdr:row>
      <xdr:rowOff>23812</xdr:rowOff>
    </xdr:to>
    <xdr:cxnSp macro="">
      <xdr:nvCxnSpPr>
        <xdr:cNvPr id="98" name="Conector recto 4">
          <a:extLst>
            <a:ext uri="{FF2B5EF4-FFF2-40B4-BE49-F238E27FC236}">
              <a16:creationId xmlns:a16="http://schemas.microsoft.com/office/drawing/2014/main" id="{444E529A-80E0-48BD-B94A-BAED48319AEE}"/>
            </a:ext>
          </a:extLst>
        </xdr:cNvPr>
        <xdr:cNvCxnSpPr>
          <a:cxnSpLocks/>
        </xdr:cNvCxnSpPr>
      </xdr:nvCxnSpPr>
      <xdr:spPr>
        <a:xfrm flipV="1">
          <a:off x="1928812" y="1170215"/>
          <a:ext cx="1022237" cy="113959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13</xdr:row>
      <xdr:rowOff>59531</xdr:rowOff>
    </xdr:from>
    <xdr:to>
      <xdr:col>20</xdr:col>
      <xdr:colOff>1081088</xdr:colOff>
      <xdr:row>19</xdr:row>
      <xdr:rowOff>50006</xdr:rowOff>
    </xdr:to>
    <xdr:cxnSp macro="">
      <xdr:nvCxnSpPr>
        <xdr:cNvPr id="97" name="Conector recto 9">
          <a:extLst>
            <a:ext uri="{FF2B5EF4-FFF2-40B4-BE49-F238E27FC236}">
              <a16:creationId xmlns:a16="http://schemas.microsoft.com/office/drawing/2014/main" id="{9C64F183-4048-4EB5-AB4A-8E75361B17E8}"/>
            </a:ext>
          </a:extLst>
        </xdr:cNvPr>
        <xdr:cNvCxnSpPr>
          <a:cxnSpLocks/>
          <a:endCxn id="96" idx="2"/>
        </xdr:cNvCxnSpPr>
      </xdr:nvCxnSpPr>
      <xdr:spPr>
        <a:xfrm>
          <a:off x="1916906" y="2345531"/>
          <a:ext cx="1081088" cy="1133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1154906</xdr:colOff>
      <xdr:row>3</xdr:row>
      <xdr:rowOff>130969</xdr:rowOff>
    </xdr:from>
    <xdr:to>
      <xdr:col>22</xdr:col>
      <xdr:colOff>892968</xdr:colOff>
      <xdr:row>7</xdr:row>
      <xdr:rowOff>4081</xdr:rowOff>
    </xdr:to>
    <xdr:cxnSp macro="">
      <xdr:nvCxnSpPr>
        <xdr:cNvPr id="106" name="Conector recto 11">
          <a:extLst>
            <a:ext uri="{FF2B5EF4-FFF2-40B4-BE49-F238E27FC236}">
              <a16:creationId xmlns:a16="http://schemas.microsoft.com/office/drawing/2014/main" id="{4A4CBFC7-7484-4B66-9CC0-DD75DFB28756}"/>
            </a:ext>
          </a:extLst>
        </xdr:cNvPr>
        <xdr:cNvCxnSpPr>
          <a:cxnSpLocks/>
          <a:stCxn id="99" idx="6"/>
        </xdr:cNvCxnSpPr>
      </xdr:nvCxnSpPr>
      <xdr:spPr>
        <a:xfrm flipV="1">
          <a:off x="4774406" y="511969"/>
          <a:ext cx="1238250" cy="6351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1154906</xdr:colOff>
      <xdr:row>7</xdr:row>
      <xdr:rowOff>4081</xdr:rowOff>
    </xdr:from>
    <xdr:to>
      <xdr:col>22</xdr:col>
      <xdr:colOff>916781</xdr:colOff>
      <xdr:row>7</xdr:row>
      <xdr:rowOff>119062</xdr:rowOff>
    </xdr:to>
    <xdr:cxnSp macro="">
      <xdr:nvCxnSpPr>
        <xdr:cNvPr id="100" name="Conector recto 13">
          <a:extLst>
            <a:ext uri="{FF2B5EF4-FFF2-40B4-BE49-F238E27FC236}">
              <a16:creationId xmlns:a16="http://schemas.microsoft.com/office/drawing/2014/main" id="{7E0D9762-B2F4-4F47-B7C7-F447DBA171F6}"/>
            </a:ext>
          </a:extLst>
        </xdr:cNvPr>
        <xdr:cNvCxnSpPr>
          <a:cxnSpLocks/>
          <a:stCxn id="99" idx="6"/>
        </xdr:cNvCxnSpPr>
      </xdr:nvCxnSpPr>
      <xdr:spPr>
        <a:xfrm>
          <a:off x="4774406" y="1147081"/>
          <a:ext cx="1262063" cy="1149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119061</xdr:colOff>
      <xdr:row>15</xdr:row>
      <xdr:rowOff>0</xdr:rowOff>
    </xdr:from>
    <xdr:to>
      <xdr:col>23</xdr:col>
      <xdr:colOff>1754980</xdr:colOff>
      <xdr:row>18</xdr:row>
      <xdr:rowOff>0</xdr:rowOff>
    </xdr:to>
    <xdr:sp macro="" textlink="">
      <xdr:nvSpPr>
        <xdr:cNvPr id="89" name="Elipse 16">
          <a:extLst>
            <a:ext uri="{FF2B5EF4-FFF2-40B4-BE49-F238E27FC236}">
              <a16:creationId xmlns:a16="http://schemas.microsoft.com/office/drawing/2014/main" id="{7B615130-24F3-4148-A642-53D793B82B15}"/>
            </a:ext>
          </a:extLst>
        </xdr:cNvPr>
        <xdr:cNvSpPr/>
      </xdr:nvSpPr>
      <xdr:spPr>
        <a:xfrm>
          <a:off x="5548311" y="2667000"/>
          <a:ext cx="1635919" cy="571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$</a:t>
          </a:r>
          <a:r>
            <a:rPr lang="es-CO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12.882.227.200</a:t>
          </a:r>
          <a:r>
            <a:rPr lang="es-CO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s-CO" sz="1100"/>
        </a:p>
      </xdr:txBody>
    </xdr:sp>
    <xdr:clientData/>
  </xdr:twoCellAnchor>
  <xdr:twoCellAnchor>
    <xdr:from>
      <xdr:col>23</xdr:col>
      <xdr:colOff>178592</xdr:colOff>
      <xdr:row>23</xdr:row>
      <xdr:rowOff>109538</xdr:rowOff>
    </xdr:from>
    <xdr:to>
      <xdr:col>23</xdr:col>
      <xdr:colOff>1809749</xdr:colOff>
      <xdr:row>26</xdr:row>
      <xdr:rowOff>109538</xdr:rowOff>
    </xdr:to>
    <xdr:sp macro="" textlink="">
      <xdr:nvSpPr>
        <xdr:cNvPr id="88" name="Elipse 17">
          <a:extLst>
            <a:ext uri="{FF2B5EF4-FFF2-40B4-BE49-F238E27FC236}">
              <a16:creationId xmlns:a16="http://schemas.microsoft.com/office/drawing/2014/main" id="{D8ADBBFB-E87D-42C1-9140-6519E6B06C15}"/>
            </a:ext>
          </a:extLst>
        </xdr:cNvPr>
        <xdr:cNvSpPr/>
      </xdr:nvSpPr>
      <xdr:spPr>
        <a:xfrm>
          <a:off x="5595936" y="4300538"/>
          <a:ext cx="1631157" cy="571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$10.589.050.880 </a:t>
          </a:r>
          <a:endParaRPr lang="es-CO" sz="1100" b="1"/>
        </a:p>
      </xdr:txBody>
    </xdr:sp>
    <xdr:clientData/>
  </xdr:twoCellAnchor>
  <xdr:twoCellAnchor>
    <xdr:from>
      <xdr:col>21</xdr:col>
      <xdr:colOff>1297780</xdr:colOff>
      <xdr:row>16</xdr:row>
      <xdr:rowOff>95250</xdr:rowOff>
    </xdr:from>
    <xdr:to>
      <xdr:col>23</xdr:col>
      <xdr:colOff>119061</xdr:colOff>
      <xdr:row>19</xdr:row>
      <xdr:rowOff>50006</xdr:rowOff>
    </xdr:to>
    <xdr:cxnSp macro="">
      <xdr:nvCxnSpPr>
        <xdr:cNvPr id="67" name="Conector recto 19">
          <a:extLst>
            <a:ext uri="{FF2B5EF4-FFF2-40B4-BE49-F238E27FC236}">
              <a16:creationId xmlns:a16="http://schemas.microsoft.com/office/drawing/2014/main" id="{30AA6BE3-9BAB-4BC9-8239-F13F700A8DAF}"/>
            </a:ext>
          </a:extLst>
        </xdr:cNvPr>
        <xdr:cNvCxnSpPr>
          <a:cxnSpLocks/>
          <a:stCxn id="96" idx="6"/>
          <a:endCxn id="89" idx="2"/>
        </xdr:cNvCxnSpPr>
      </xdr:nvCxnSpPr>
      <xdr:spPr>
        <a:xfrm flipV="1">
          <a:off x="4930887" y="2952750"/>
          <a:ext cx="1256960" cy="5262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1754980</xdr:colOff>
      <xdr:row>14</xdr:row>
      <xdr:rowOff>95251</xdr:rowOff>
    </xdr:from>
    <xdr:to>
      <xdr:col>24</xdr:col>
      <xdr:colOff>0</xdr:colOff>
      <xdr:row>16</xdr:row>
      <xdr:rowOff>95250</xdr:rowOff>
    </xdr:to>
    <xdr:cxnSp macro="">
      <xdr:nvCxnSpPr>
        <xdr:cNvPr id="79" name="Conector recto 35">
          <a:extLst>
            <a:ext uri="{FF2B5EF4-FFF2-40B4-BE49-F238E27FC236}">
              <a16:creationId xmlns:a16="http://schemas.microsoft.com/office/drawing/2014/main" id="{564D0C19-3074-48AF-9392-B42FCA4F9199}"/>
            </a:ext>
          </a:extLst>
        </xdr:cNvPr>
        <xdr:cNvCxnSpPr>
          <a:cxnSpLocks/>
          <a:stCxn id="89" idx="6"/>
        </xdr:cNvCxnSpPr>
      </xdr:nvCxnSpPr>
      <xdr:spPr>
        <a:xfrm flipV="1">
          <a:off x="7184230" y="2571751"/>
          <a:ext cx="445295" cy="3809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1754980</xdr:colOff>
      <xdr:row>16</xdr:row>
      <xdr:rowOff>95250</xdr:rowOff>
    </xdr:from>
    <xdr:to>
      <xdr:col>24</xdr:col>
      <xdr:colOff>14654</xdr:colOff>
      <xdr:row>18</xdr:row>
      <xdr:rowOff>29308</xdr:rowOff>
    </xdr:to>
    <xdr:cxnSp macro="">
      <xdr:nvCxnSpPr>
        <xdr:cNvPr id="80" name="Conector recto 37">
          <a:extLst>
            <a:ext uri="{FF2B5EF4-FFF2-40B4-BE49-F238E27FC236}">
              <a16:creationId xmlns:a16="http://schemas.microsoft.com/office/drawing/2014/main" id="{F4AC047B-6CCA-42ED-AFCA-3B56D21D3273}"/>
            </a:ext>
          </a:extLst>
        </xdr:cNvPr>
        <xdr:cNvCxnSpPr>
          <a:cxnSpLocks/>
          <a:stCxn id="89" idx="6"/>
        </xdr:cNvCxnSpPr>
      </xdr:nvCxnSpPr>
      <xdr:spPr>
        <a:xfrm>
          <a:off x="9023288" y="3143250"/>
          <a:ext cx="1087866" cy="3150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1297780</xdr:colOff>
      <xdr:row>19</xdr:row>
      <xdr:rowOff>50006</xdr:rowOff>
    </xdr:from>
    <xdr:to>
      <xdr:col>23</xdr:col>
      <xdr:colOff>178592</xdr:colOff>
      <xdr:row>25</xdr:row>
      <xdr:rowOff>14288</xdr:rowOff>
    </xdr:to>
    <xdr:cxnSp macro="">
      <xdr:nvCxnSpPr>
        <xdr:cNvPr id="84" name="Conector recto 39">
          <a:extLst>
            <a:ext uri="{FF2B5EF4-FFF2-40B4-BE49-F238E27FC236}">
              <a16:creationId xmlns:a16="http://schemas.microsoft.com/office/drawing/2014/main" id="{A9E63C84-DF55-47EE-BCD3-C91A5E3CED03}"/>
            </a:ext>
          </a:extLst>
        </xdr:cNvPr>
        <xdr:cNvCxnSpPr>
          <a:cxnSpLocks/>
          <a:stCxn id="96" idx="6"/>
          <a:endCxn id="88" idx="2"/>
        </xdr:cNvCxnSpPr>
      </xdr:nvCxnSpPr>
      <xdr:spPr>
        <a:xfrm>
          <a:off x="4930887" y="3479006"/>
          <a:ext cx="1316491" cy="11072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1809749</xdr:colOff>
      <xdr:row>23</xdr:row>
      <xdr:rowOff>119064</xdr:rowOff>
    </xdr:from>
    <xdr:to>
      <xdr:col>24</xdr:col>
      <xdr:colOff>0</xdr:colOff>
      <xdr:row>25</xdr:row>
      <xdr:rowOff>14288</xdr:rowOff>
    </xdr:to>
    <xdr:cxnSp macro="">
      <xdr:nvCxnSpPr>
        <xdr:cNvPr id="70" name="Conector recto 42">
          <a:extLst>
            <a:ext uri="{FF2B5EF4-FFF2-40B4-BE49-F238E27FC236}">
              <a16:creationId xmlns:a16="http://schemas.microsoft.com/office/drawing/2014/main" id="{344E5916-7B5C-4B97-88BC-23B724F39908}"/>
            </a:ext>
          </a:extLst>
        </xdr:cNvPr>
        <xdr:cNvCxnSpPr>
          <a:cxnSpLocks/>
          <a:stCxn id="88" idx="6"/>
        </xdr:cNvCxnSpPr>
      </xdr:nvCxnSpPr>
      <xdr:spPr>
        <a:xfrm flipV="1">
          <a:off x="7238999" y="4310064"/>
          <a:ext cx="390526" cy="2762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1809749</xdr:colOff>
      <xdr:row>25</xdr:row>
      <xdr:rowOff>14288</xdr:rowOff>
    </xdr:from>
    <xdr:to>
      <xdr:col>24</xdr:col>
      <xdr:colOff>11906</xdr:colOff>
      <xdr:row>27</xdr:row>
      <xdr:rowOff>71437</xdr:rowOff>
    </xdr:to>
    <xdr:cxnSp macro="">
      <xdr:nvCxnSpPr>
        <xdr:cNvPr id="71" name="Conector recto 44">
          <a:extLst>
            <a:ext uri="{FF2B5EF4-FFF2-40B4-BE49-F238E27FC236}">
              <a16:creationId xmlns:a16="http://schemas.microsoft.com/office/drawing/2014/main" id="{4BFD48DD-59D3-460D-A541-4E52E09B3550}"/>
            </a:ext>
          </a:extLst>
        </xdr:cNvPr>
        <xdr:cNvCxnSpPr>
          <a:cxnSpLocks/>
          <a:stCxn id="88" idx="6"/>
        </xdr:cNvCxnSpPr>
      </xdr:nvCxnSpPr>
      <xdr:spPr>
        <a:xfrm>
          <a:off x="7238999" y="4586288"/>
          <a:ext cx="402432" cy="4381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7"/>
  <sheetViews>
    <sheetView workbookViewId="0">
      <selection activeCell="G15" sqref="G15"/>
    </sheetView>
  </sheetViews>
  <sheetFormatPr defaultColWidth="9.140625" defaultRowHeight="15" x14ac:dyDescent="0.25"/>
  <cols>
    <col min="2" max="2" width="18" bestFit="1" customWidth="1"/>
  </cols>
  <sheetData>
    <row r="2" spans="2:2" x14ac:dyDescent="0.25">
      <c r="B2" t="s">
        <v>22</v>
      </c>
    </row>
    <row r="4" spans="2:2" x14ac:dyDescent="0.25">
      <c r="B4" s="6" t="s">
        <v>18</v>
      </c>
    </row>
    <row r="5" spans="2:2" x14ac:dyDescent="0.25">
      <c r="B5" s="6" t="s">
        <v>19</v>
      </c>
    </row>
    <row r="6" spans="2:2" x14ac:dyDescent="0.25">
      <c r="B6" s="6" t="s">
        <v>20</v>
      </c>
    </row>
    <row r="7" spans="2:2" x14ac:dyDescent="0.25">
      <c r="B7" s="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6"/>
  <sheetViews>
    <sheetView workbookViewId="0">
      <selection activeCell="F12" sqref="F12"/>
    </sheetView>
  </sheetViews>
  <sheetFormatPr defaultColWidth="9.140625" defaultRowHeight="15" x14ac:dyDescent="0.25"/>
  <cols>
    <col min="1" max="1" width="21.85546875" customWidth="1"/>
    <col min="2" max="2" width="21.140625" customWidth="1"/>
    <col min="3" max="3" width="24.5703125" customWidth="1"/>
    <col min="4" max="4" width="17.42578125" customWidth="1"/>
    <col min="7" max="7" width="11.7109375" customWidth="1"/>
    <col min="8" max="8" width="26.7109375" bestFit="1" customWidth="1"/>
    <col min="10" max="10" width="12.140625" customWidth="1"/>
    <col min="11" max="11" width="24" bestFit="1" customWidth="1"/>
    <col min="12" max="12" width="21.85546875" customWidth="1"/>
    <col min="13" max="13" width="18.140625" customWidth="1"/>
    <col min="14" max="14" width="13.42578125" customWidth="1"/>
    <col min="15" max="15" width="15.42578125" bestFit="1" customWidth="1"/>
    <col min="16" max="16" width="15.42578125" customWidth="1"/>
    <col min="19" max="19" width="15.42578125" bestFit="1" customWidth="1"/>
  </cols>
  <sheetData>
    <row r="1" spans="1:5" x14ac:dyDescent="0.25">
      <c r="A1" s="70" t="s">
        <v>68</v>
      </c>
      <c r="B1" s="71"/>
      <c r="C1" s="71"/>
      <c r="D1" s="72"/>
    </row>
    <row r="2" spans="1:5" x14ac:dyDescent="0.25">
      <c r="A2" s="30" t="s">
        <v>66</v>
      </c>
      <c r="B2" s="37" t="s">
        <v>67</v>
      </c>
      <c r="C2" s="37" t="s">
        <v>1</v>
      </c>
      <c r="D2" s="59" t="s">
        <v>23</v>
      </c>
    </row>
    <row r="3" spans="1:5" x14ac:dyDescent="0.25">
      <c r="A3" s="60">
        <v>1000000</v>
      </c>
      <c r="B3" s="61">
        <v>600000</v>
      </c>
      <c r="C3" s="62">
        <v>10000</v>
      </c>
      <c r="D3" s="63">
        <v>0.25</v>
      </c>
    </row>
    <row r="5" spans="1:5" x14ac:dyDescent="0.25">
      <c r="A5" s="73" t="s">
        <v>53</v>
      </c>
      <c r="B5" s="80"/>
      <c r="C5" s="74"/>
    </row>
    <row r="6" spans="1:5" x14ac:dyDescent="0.25">
      <c r="A6" s="30" t="s">
        <v>54</v>
      </c>
      <c r="B6" s="37" t="s">
        <v>55</v>
      </c>
      <c r="C6" s="59" t="s">
        <v>56</v>
      </c>
      <c r="E6" s="3"/>
    </row>
    <row r="7" spans="1:5" x14ac:dyDescent="0.25">
      <c r="A7" s="81" t="s">
        <v>43</v>
      </c>
      <c r="B7" s="32" t="s">
        <v>57</v>
      </c>
      <c r="C7" s="64">
        <v>14000</v>
      </c>
    </row>
    <row r="8" spans="1:5" x14ac:dyDescent="0.25">
      <c r="A8" s="90" t="s">
        <v>40</v>
      </c>
      <c r="B8" s="32" t="s">
        <v>58</v>
      </c>
      <c r="C8" s="64">
        <v>13000</v>
      </c>
    </row>
    <row r="9" spans="1:5" x14ac:dyDescent="0.25">
      <c r="A9" s="91"/>
      <c r="B9" s="65" t="s">
        <v>59</v>
      </c>
      <c r="C9" s="66">
        <v>11500</v>
      </c>
    </row>
    <row r="10" spans="1:5" x14ac:dyDescent="0.25">
      <c r="A10" s="1"/>
      <c r="B10" s="1"/>
    </row>
    <row r="11" spans="1:5" x14ac:dyDescent="0.25">
      <c r="A11" s="1"/>
      <c r="B11" s="1"/>
    </row>
    <row r="12" spans="1:5" x14ac:dyDescent="0.25">
      <c r="A12" s="70" t="s">
        <v>61</v>
      </c>
      <c r="B12" s="71"/>
      <c r="C12" s="71"/>
      <c r="D12" s="72"/>
    </row>
    <row r="13" spans="1:5" ht="27" customHeight="1" x14ac:dyDescent="0.25">
      <c r="A13" s="94" t="s">
        <v>54</v>
      </c>
      <c r="B13" s="93" t="s">
        <v>49</v>
      </c>
      <c r="C13" s="93" t="s">
        <v>60</v>
      </c>
      <c r="D13" s="92" t="s">
        <v>56</v>
      </c>
    </row>
    <row r="14" spans="1:5" x14ac:dyDescent="0.25">
      <c r="A14" s="82" t="s">
        <v>43</v>
      </c>
      <c r="B14" s="31" t="s">
        <v>69</v>
      </c>
      <c r="C14" s="31" t="s">
        <v>11</v>
      </c>
      <c r="D14" s="64">
        <v>15000</v>
      </c>
    </row>
    <row r="15" spans="1:5" x14ac:dyDescent="0.25">
      <c r="A15" s="82"/>
      <c r="B15" s="31" t="s">
        <v>70</v>
      </c>
      <c r="C15" s="31" t="s">
        <v>13</v>
      </c>
      <c r="D15" s="64">
        <v>16000</v>
      </c>
    </row>
    <row r="16" spans="1:5" x14ac:dyDescent="0.25">
      <c r="A16" s="90" t="s">
        <v>40</v>
      </c>
      <c r="B16" s="45" t="s">
        <v>62</v>
      </c>
      <c r="C16" s="31" t="s">
        <v>11</v>
      </c>
      <c r="D16" s="64">
        <v>14500</v>
      </c>
    </row>
    <row r="17" spans="1:4" x14ac:dyDescent="0.25">
      <c r="A17" s="90"/>
      <c r="B17" s="45" t="s">
        <v>63</v>
      </c>
      <c r="C17" s="31" t="s">
        <v>13</v>
      </c>
      <c r="D17" s="64">
        <v>16000</v>
      </c>
    </row>
    <row r="18" spans="1:4" x14ac:dyDescent="0.25">
      <c r="A18" s="90"/>
      <c r="B18" s="45" t="s">
        <v>64</v>
      </c>
      <c r="C18" s="31" t="s">
        <v>11</v>
      </c>
      <c r="D18" s="64">
        <v>12000</v>
      </c>
    </row>
    <row r="19" spans="1:4" x14ac:dyDescent="0.25">
      <c r="A19" s="91"/>
      <c r="B19" s="67" t="s">
        <v>65</v>
      </c>
      <c r="C19" s="33" t="s">
        <v>13</v>
      </c>
      <c r="D19" s="66">
        <v>12300</v>
      </c>
    </row>
    <row r="20" spans="1:4" x14ac:dyDescent="0.25">
      <c r="A20" s="9"/>
      <c r="B20" s="9"/>
    </row>
    <row r="23" spans="1:4" x14ac:dyDescent="0.25">
      <c r="A23" s="3"/>
    </row>
    <row r="25" spans="1:4" x14ac:dyDescent="0.25">
      <c r="A25" s="1"/>
      <c r="B25" s="1"/>
    </row>
    <row r="26" spans="1:4" x14ac:dyDescent="0.25">
      <c r="A26" s="1"/>
      <c r="B26" s="1"/>
    </row>
    <row r="27" spans="1:4" x14ac:dyDescent="0.25">
      <c r="A27" s="1"/>
      <c r="B27" s="1"/>
    </row>
    <row r="28" spans="1:4" x14ac:dyDescent="0.25">
      <c r="A28" s="1"/>
      <c r="B28" s="1"/>
    </row>
    <row r="29" spans="1:4" x14ac:dyDescent="0.25">
      <c r="A29" s="1"/>
      <c r="B29" s="1"/>
    </row>
    <row r="32" spans="1:4" x14ac:dyDescent="0.25">
      <c r="A32" s="3"/>
    </row>
    <row r="34" spans="1:2" x14ac:dyDescent="0.25">
      <c r="A34" s="1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41" spans="1:2" x14ac:dyDescent="0.25">
      <c r="A41" s="3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50" spans="1:2" x14ac:dyDescent="0.25">
      <c r="A50" s="3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</sheetData>
  <mergeCells count="6">
    <mergeCell ref="A1:D1"/>
    <mergeCell ref="A5:C5"/>
    <mergeCell ref="A8:A9"/>
    <mergeCell ref="A14:A15"/>
    <mergeCell ref="A16:A19"/>
    <mergeCell ref="A12:D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C7CCC-2C3A-4E59-86DF-4E1BF388A5AF}">
  <dimension ref="A1:O54"/>
  <sheetViews>
    <sheetView topLeftCell="F25" workbookViewId="0">
      <selection activeCell="L13" sqref="L13"/>
    </sheetView>
  </sheetViews>
  <sheetFormatPr defaultColWidth="9.140625" defaultRowHeight="15" x14ac:dyDescent="0.25"/>
  <cols>
    <col min="1" max="1" width="57.5703125" hidden="1" customWidth="1"/>
    <col min="2" max="2" width="18.42578125" hidden="1" customWidth="1"/>
    <col min="3" max="3" width="9.140625" hidden="1" customWidth="1"/>
    <col min="5" max="5" width="19" bestFit="1" customWidth="1"/>
    <col min="6" max="6" width="18" bestFit="1" customWidth="1"/>
    <col min="7" max="7" width="18.42578125" bestFit="1" customWidth="1"/>
    <col min="8" max="8" width="18.28515625" bestFit="1" customWidth="1"/>
    <col min="11" max="11" width="11.7109375" customWidth="1"/>
    <col min="12" max="12" width="30.140625" customWidth="1"/>
    <col min="14" max="14" width="12.140625" customWidth="1"/>
    <col min="15" max="15" width="24" bestFit="1" customWidth="1"/>
    <col min="16" max="16" width="21.85546875" customWidth="1"/>
    <col min="17" max="17" width="18.140625" customWidth="1"/>
    <col min="18" max="18" width="13.42578125" customWidth="1"/>
  </cols>
  <sheetData>
    <row r="1" spans="1:12" x14ac:dyDescent="0.25">
      <c r="A1" s="3" t="s">
        <v>51</v>
      </c>
    </row>
    <row r="2" spans="1:12" x14ac:dyDescent="0.25">
      <c r="D2" s="31"/>
      <c r="E2" s="37" t="s">
        <v>52</v>
      </c>
      <c r="F2" s="31"/>
      <c r="G2" s="31"/>
      <c r="H2" s="31"/>
    </row>
    <row r="3" spans="1:12" x14ac:dyDescent="0.25">
      <c r="A3" t="s">
        <v>3</v>
      </c>
      <c r="B3" s="2">
        <v>1000000</v>
      </c>
      <c r="D3" s="34" t="s">
        <v>24</v>
      </c>
      <c r="E3" s="44" t="s">
        <v>25</v>
      </c>
      <c r="F3" s="35" t="s">
        <v>26</v>
      </c>
      <c r="G3" s="44" t="s">
        <v>27</v>
      </c>
      <c r="H3" s="36" t="s">
        <v>28</v>
      </c>
    </row>
    <row r="4" spans="1:12" x14ac:dyDescent="0.25">
      <c r="A4" t="s">
        <v>0</v>
      </c>
      <c r="B4" s="2">
        <v>600000</v>
      </c>
      <c r="D4" s="38">
        <v>1</v>
      </c>
      <c r="E4" s="42">
        <f>$B$9 * $B$15</f>
        <v>13300000000</v>
      </c>
      <c r="F4" s="32">
        <f>$B$15*$B$4</f>
        <v>8400000000</v>
      </c>
      <c r="G4" s="42">
        <v>0</v>
      </c>
      <c r="H4" s="39">
        <f>E4 - F4 - G4</f>
        <v>4900000000</v>
      </c>
    </row>
    <row r="5" spans="1:12" x14ac:dyDescent="0.25">
      <c r="A5" t="s">
        <v>1</v>
      </c>
      <c r="B5" s="4">
        <v>10000</v>
      </c>
      <c r="D5" s="38">
        <v>2</v>
      </c>
      <c r="E5" s="42">
        <f>$B$9 * $B$15</f>
        <v>13300000000</v>
      </c>
      <c r="F5" s="32">
        <f>$B$15*$B$4</f>
        <v>8400000000</v>
      </c>
      <c r="G5" s="42">
        <v>0</v>
      </c>
      <c r="H5" s="39">
        <f>E5 - F5 - G5</f>
        <v>4900000000</v>
      </c>
    </row>
    <row r="6" spans="1:12" x14ac:dyDescent="0.25">
      <c r="A6" t="s">
        <v>23</v>
      </c>
      <c r="B6" s="7">
        <v>0.25</v>
      </c>
      <c r="D6" s="38">
        <v>3</v>
      </c>
      <c r="E6" s="42">
        <f>$B$32 * $B$9</f>
        <v>14250000000</v>
      </c>
      <c r="F6" s="32">
        <f>$B$32 * $B$4</f>
        <v>9000000000</v>
      </c>
      <c r="G6" s="42">
        <v>0</v>
      </c>
      <c r="H6" s="39">
        <f>E6 - F6 - G6</f>
        <v>5250000000</v>
      </c>
    </row>
    <row r="7" spans="1:12" x14ac:dyDescent="0.25">
      <c r="B7" s="4"/>
      <c r="D7" s="38">
        <v>4</v>
      </c>
      <c r="E7" s="42">
        <f>$B$32 * $B$9</f>
        <v>14250000000</v>
      </c>
      <c r="F7" s="32">
        <f>$B$32 * $B$4</f>
        <v>9000000000</v>
      </c>
      <c r="G7" s="42">
        <v>0</v>
      </c>
      <c r="H7" s="39">
        <f>E7 - F7 - G7</f>
        <v>5250000000</v>
      </c>
    </row>
    <row r="8" spans="1:12" x14ac:dyDescent="0.25">
      <c r="A8" s="3" t="s">
        <v>15</v>
      </c>
      <c r="B8" s="4"/>
      <c r="D8" s="40">
        <v>5</v>
      </c>
      <c r="E8" s="43">
        <f>$B$32 * $B$9</f>
        <v>14250000000</v>
      </c>
      <c r="F8" s="41">
        <f>$B$32 * $B$4</f>
        <v>9000000000</v>
      </c>
      <c r="G8" s="42">
        <v>0</v>
      </c>
      <c r="H8" s="39">
        <f>E8 - F8 - G8</f>
        <v>5250000000</v>
      </c>
    </row>
    <row r="9" spans="1:12" x14ac:dyDescent="0.25">
      <c r="A9" t="s">
        <v>16</v>
      </c>
      <c r="B9" s="2">
        <v>950000</v>
      </c>
      <c r="D9" s="31"/>
      <c r="E9" s="31"/>
      <c r="F9" s="31"/>
      <c r="G9" s="19" t="s">
        <v>34</v>
      </c>
      <c r="H9" s="17">
        <f>NPV($B$6,H4:H8)</f>
        <v>13614720000</v>
      </c>
    </row>
    <row r="10" spans="1:12" x14ac:dyDescent="0.25">
      <c r="A10" t="s">
        <v>17</v>
      </c>
      <c r="B10" s="2">
        <v>800000000</v>
      </c>
      <c r="K10" s="75" t="s">
        <v>2</v>
      </c>
      <c r="L10" s="76"/>
    </row>
    <row r="11" spans="1:12" x14ac:dyDescent="0.25">
      <c r="B11" s="4"/>
      <c r="E11" s="3" t="s">
        <v>29</v>
      </c>
      <c r="K11" s="21" t="s">
        <v>36</v>
      </c>
      <c r="L11" s="24">
        <f xml:space="preserve"> H9 * B31 + H18 * B34</f>
        <v>13745894400</v>
      </c>
    </row>
    <row r="12" spans="1:12" x14ac:dyDescent="0.25">
      <c r="D12" s="34" t="s">
        <v>24</v>
      </c>
      <c r="E12" s="44" t="s">
        <v>25</v>
      </c>
      <c r="F12" s="35" t="s">
        <v>26</v>
      </c>
      <c r="G12" s="44" t="s">
        <v>27</v>
      </c>
      <c r="H12" s="36" t="s">
        <v>28</v>
      </c>
      <c r="K12" s="22" t="s">
        <v>38</v>
      </c>
      <c r="L12" s="25">
        <f xml:space="preserve"> (B31 * (H9 - L11)^2 + B34 * (H18 - L11)^2)^(1/2)</f>
        <v>200372205.7468051</v>
      </c>
    </row>
    <row r="13" spans="1:12" x14ac:dyDescent="0.25">
      <c r="A13" s="3" t="s">
        <v>5</v>
      </c>
      <c r="D13" s="38">
        <v>1</v>
      </c>
      <c r="E13" s="48">
        <f>$B$9 * $B$15</f>
        <v>13300000000</v>
      </c>
      <c r="F13" s="45">
        <f>$B$15 * $B$4</f>
        <v>8400000000</v>
      </c>
      <c r="G13" s="42">
        <f xml:space="preserve"> 0</f>
        <v>0</v>
      </c>
      <c r="H13" s="46">
        <f xml:space="preserve"> E13 - F13 -G13</f>
        <v>4900000000</v>
      </c>
      <c r="K13" s="23" t="s">
        <v>37</v>
      </c>
      <c r="L13" s="26">
        <f xml:space="preserve"> L12 / L11</f>
        <v>1.4576876550630646E-2</v>
      </c>
    </row>
    <row r="14" spans="1:12" x14ac:dyDescent="0.25">
      <c r="D14" s="38">
        <v>2</v>
      </c>
      <c r="E14" s="48">
        <f>$B$9 * $B$15</f>
        <v>13300000000</v>
      </c>
      <c r="F14" s="45">
        <f>$B$15 * $B$4</f>
        <v>8400000000</v>
      </c>
      <c r="G14" s="42">
        <v>0</v>
      </c>
      <c r="H14" s="46">
        <f>E14 - F14 -G14</f>
        <v>4900000000</v>
      </c>
    </row>
    <row r="15" spans="1:12" x14ac:dyDescent="0.25">
      <c r="A15" t="s">
        <v>4</v>
      </c>
      <c r="B15">
        <v>14000</v>
      </c>
      <c r="D15" s="38">
        <v>3</v>
      </c>
      <c r="E15" s="48">
        <f xml:space="preserve"> $B$9 * $B$35</f>
        <v>15200000000</v>
      </c>
      <c r="F15" s="45">
        <f>$B$35 * $B$4</f>
        <v>9600000000</v>
      </c>
      <c r="G15" s="42">
        <v>0</v>
      </c>
      <c r="H15" s="46">
        <f>E15 - F15 -G15</f>
        <v>5600000000</v>
      </c>
    </row>
    <row r="16" spans="1:12" x14ac:dyDescent="0.25">
      <c r="D16" s="38">
        <v>4</v>
      </c>
      <c r="E16" s="48">
        <f xml:space="preserve"> $B$9 * $B$35</f>
        <v>15200000000</v>
      </c>
      <c r="F16" s="45">
        <f>$B$35 * $B$4</f>
        <v>9600000000</v>
      </c>
      <c r="G16" s="42">
        <v>0</v>
      </c>
      <c r="H16" s="46">
        <f xml:space="preserve"> E16 - F16 - G16</f>
        <v>5600000000</v>
      </c>
    </row>
    <row r="17" spans="1:12" x14ac:dyDescent="0.25">
      <c r="A17" s="3" t="s">
        <v>39</v>
      </c>
      <c r="D17" s="40">
        <v>5</v>
      </c>
      <c r="E17" s="49">
        <f xml:space="preserve"> $B$9 * $B$35</f>
        <v>15200000000</v>
      </c>
      <c r="F17" s="47">
        <f>$B$35 * $B$4</f>
        <v>9600000000</v>
      </c>
      <c r="G17" s="42">
        <v>0</v>
      </c>
      <c r="H17" s="46">
        <f xml:space="preserve"> E17 - F17 - G17</f>
        <v>5600000000</v>
      </c>
    </row>
    <row r="18" spans="1:12" x14ac:dyDescent="0.25">
      <c r="A18" s="3"/>
      <c r="G18" s="19" t="s">
        <v>34</v>
      </c>
      <c r="H18" s="17">
        <f>NPV($B$6,H13:H17)</f>
        <v>14051968000</v>
      </c>
    </row>
    <row r="19" spans="1:12" x14ac:dyDescent="0.25">
      <c r="A19" s="3" t="s">
        <v>7</v>
      </c>
    </row>
    <row r="20" spans="1:12" x14ac:dyDescent="0.25">
      <c r="A20" s="5" t="s">
        <v>9</v>
      </c>
      <c r="B20">
        <v>0.8</v>
      </c>
      <c r="E20" s="3" t="s">
        <v>30</v>
      </c>
    </row>
    <row r="21" spans="1:12" x14ac:dyDescent="0.25">
      <c r="A21" t="s">
        <v>6</v>
      </c>
      <c r="B21">
        <v>13000</v>
      </c>
      <c r="D21" s="34" t="s">
        <v>24</v>
      </c>
      <c r="E21" s="44" t="s">
        <v>25</v>
      </c>
      <c r="F21" s="35" t="s">
        <v>26</v>
      </c>
      <c r="G21" s="44" t="s">
        <v>27</v>
      </c>
      <c r="H21" s="36" t="s">
        <v>28</v>
      </c>
    </row>
    <row r="22" spans="1:12" x14ac:dyDescent="0.25">
      <c r="D22" s="38">
        <v>1</v>
      </c>
      <c r="E22" s="42">
        <f xml:space="preserve"> $B$21 * $B$3</f>
        <v>13000000000</v>
      </c>
      <c r="F22" s="32">
        <f xml:space="preserve"> $B$4 * $B$21</f>
        <v>7800000000</v>
      </c>
      <c r="G22" s="51">
        <f xml:space="preserve"> $B$10</f>
        <v>800000000</v>
      </c>
      <c r="H22" s="50">
        <f xml:space="preserve"> E22   - F22 - G22</f>
        <v>4400000000</v>
      </c>
    </row>
    <row r="23" spans="1:12" x14ac:dyDescent="0.25">
      <c r="A23" s="3" t="s">
        <v>8</v>
      </c>
      <c r="D23" s="38">
        <v>2</v>
      </c>
      <c r="E23" s="42">
        <f xml:space="preserve"> $B$21 * $B$3</f>
        <v>13000000000</v>
      </c>
      <c r="F23" s="32">
        <f xml:space="preserve"> $B$4 * $B$21</f>
        <v>7800000000</v>
      </c>
      <c r="G23" s="51">
        <f xml:space="preserve"> $B$10</f>
        <v>800000000</v>
      </c>
      <c r="H23" s="50">
        <f xml:space="preserve"> E23   - F23 - G23</f>
        <v>4400000000</v>
      </c>
    </row>
    <row r="24" spans="1:12" x14ac:dyDescent="0.25">
      <c r="A24" s="5" t="s">
        <v>9</v>
      </c>
      <c r="B24">
        <v>0.2</v>
      </c>
      <c r="D24" s="38">
        <v>3</v>
      </c>
      <c r="E24" s="42">
        <f xml:space="preserve"> $B$41 * $B$3</f>
        <v>14500000000</v>
      </c>
      <c r="F24" s="32">
        <f xml:space="preserve"> $B$4 * $B$41</f>
        <v>8700000000</v>
      </c>
      <c r="G24" s="51">
        <f xml:space="preserve"> $B$10</f>
        <v>800000000</v>
      </c>
      <c r="H24" s="50">
        <f xml:space="preserve"> E24 - F24 - G24</f>
        <v>5000000000</v>
      </c>
    </row>
    <row r="25" spans="1:12" x14ac:dyDescent="0.25">
      <c r="A25" t="s">
        <v>6</v>
      </c>
      <c r="B25">
        <v>11500</v>
      </c>
      <c r="D25" s="38">
        <v>4</v>
      </c>
      <c r="E25" s="42">
        <f xml:space="preserve"> $B$41 * $B$3</f>
        <v>14500000000</v>
      </c>
      <c r="F25" s="32">
        <f xml:space="preserve"> $B$4 * $B$41</f>
        <v>8700000000</v>
      </c>
      <c r="G25" s="51">
        <f xml:space="preserve"> $B$10</f>
        <v>800000000</v>
      </c>
      <c r="H25" s="50">
        <f xml:space="preserve"> E25 - F25 - G25</f>
        <v>5000000000</v>
      </c>
    </row>
    <row r="26" spans="1:12" x14ac:dyDescent="0.25">
      <c r="D26" s="40">
        <v>5</v>
      </c>
      <c r="E26" s="43">
        <f xml:space="preserve"> $B$41 * $B$3</f>
        <v>14500000000</v>
      </c>
      <c r="F26" s="41">
        <f xml:space="preserve"> $B$4 * $B$41</f>
        <v>8700000000</v>
      </c>
      <c r="G26" s="51">
        <f xml:space="preserve"> $B$10</f>
        <v>800000000</v>
      </c>
      <c r="H26" s="50">
        <f xml:space="preserve"> E26 - F26 - G26</f>
        <v>5000000000</v>
      </c>
    </row>
    <row r="27" spans="1:12" x14ac:dyDescent="0.25">
      <c r="A27" s="3" t="s">
        <v>10</v>
      </c>
      <c r="G27" s="19" t="s">
        <v>34</v>
      </c>
      <c r="H27" s="69" cm="1">
        <f t="array" ref="H27">NPV(TREMA,H22:H26)</f>
        <v>12582400000</v>
      </c>
    </row>
    <row r="28" spans="1:12" x14ac:dyDescent="0.25">
      <c r="A28" s="3"/>
      <c r="K28" s="75" t="s">
        <v>41</v>
      </c>
      <c r="L28" s="76"/>
    </row>
    <row r="29" spans="1:12" x14ac:dyDescent="0.25">
      <c r="A29" s="3" t="s">
        <v>12</v>
      </c>
      <c r="E29" s="3" t="s">
        <v>31</v>
      </c>
      <c r="K29" s="21" t="s">
        <v>36</v>
      </c>
      <c r="L29" s="27">
        <f xml:space="preserve"> H27 * B40 + H36 * B43</f>
        <v>12882227200</v>
      </c>
    </row>
    <row r="30" spans="1:12" x14ac:dyDescent="0.25">
      <c r="A30" s="3" t="s">
        <v>11</v>
      </c>
      <c r="D30" s="34" t="s">
        <v>24</v>
      </c>
      <c r="E30" s="44" t="s">
        <v>25</v>
      </c>
      <c r="F30" s="35" t="s">
        <v>26</v>
      </c>
      <c r="G30" s="44" t="s">
        <v>27</v>
      </c>
      <c r="H30" s="36" t="s">
        <v>28</v>
      </c>
      <c r="K30" s="22" t="s">
        <v>38</v>
      </c>
      <c r="L30" s="25">
        <f xml:space="preserve"> (B40 * (H27 - L29)^2 + B43 * (H36 - L29)^2)^(1/2)</f>
        <v>367211825.50370026</v>
      </c>
    </row>
    <row r="31" spans="1:12" x14ac:dyDescent="0.25">
      <c r="A31" s="5" t="s">
        <v>9</v>
      </c>
      <c r="B31">
        <v>0.7</v>
      </c>
      <c r="D31" s="38">
        <v>1</v>
      </c>
      <c r="E31" s="52">
        <v>13000000000</v>
      </c>
      <c r="F31" s="32">
        <v>7800000000</v>
      </c>
      <c r="G31" s="51">
        <v>800000000</v>
      </c>
      <c r="H31" s="50">
        <v>4400000000</v>
      </c>
      <c r="K31" s="23" t="s">
        <v>37</v>
      </c>
      <c r="L31" s="26">
        <f>L30/L29</f>
        <v>2.8505305783125781E-2</v>
      </c>
    </row>
    <row r="32" spans="1:12" x14ac:dyDescent="0.25">
      <c r="A32" s="5" t="s">
        <v>6</v>
      </c>
      <c r="B32">
        <v>15000</v>
      </c>
      <c r="D32" s="38">
        <v>2</v>
      </c>
      <c r="E32" s="42">
        <v>13000000000</v>
      </c>
      <c r="F32" s="32">
        <v>7800000000</v>
      </c>
      <c r="G32" s="51">
        <v>800000000</v>
      </c>
      <c r="H32" s="50">
        <v>4400000000</v>
      </c>
    </row>
    <row r="33" spans="1:15" x14ac:dyDescent="0.25">
      <c r="A33" s="3" t="s">
        <v>13</v>
      </c>
      <c r="D33" s="38">
        <v>3</v>
      </c>
      <c r="E33" s="42">
        <f xml:space="preserve"> $B$44 * $B$3</f>
        <v>16000000000</v>
      </c>
      <c r="F33" s="32">
        <f xml:space="preserve"> $B$44 * $B$4</f>
        <v>9600000000</v>
      </c>
      <c r="G33" s="51">
        <f>Gastos_de_publicidad</f>
        <v>800000000</v>
      </c>
      <c r="H33" s="50">
        <f xml:space="preserve"> E33- F33 - G33</f>
        <v>5600000000</v>
      </c>
    </row>
    <row r="34" spans="1:15" x14ac:dyDescent="0.25">
      <c r="A34" s="5" t="s">
        <v>9</v>
      </c>
      <c r="B34">
        <v>0.3</v>
      </c>
      <c r="D34" s="38">
        <v>4</v>
      </c>
      <c r="E34" s="42">
        <f xml:space="preserve"> $B$44 * $B$3</f>
        <v>16000000000</v>
      </c>
      <c r="F34" s="32">
        <f xml:space="preserve"> $B$44 * $B$4</f>
        <v>9600000000</v>
      </c>
      <c r="G34" s="51">
        <f>Gastos_de_publicidad</f>
        <v>800000000</v>
      </c>
      <c r="H34" s="50">
        <f t="shared" ref="H34:H35" si="0" xml:space="preserve"> E34- F34 - G34</f>
        <v>5600000000</v>
      </c>
    </row>
    <row r="35" spans="1:15" x14ac:dyDescent="0.25">
      <c r="A35" s="5" t="s">
        <v>6</v>
      </c>
      <c r="B35">
        <v>16000</v>
      </c>
      <c r="D35" s="40">
        <v>5</v>
      </c>
      <c r="E35" s="43">
        <f xml:space="preserve"> $B$44 * $B$3</f>
        <v>16000000000</v>
      </c>
      <c r="F35" s="41">
        <f xml:space="preserve"> $B$44 * $B$4</f>
        <v>9600000000</v>
      </c>
      <c r="G35" s="51">
        <f>Gastos_de_publicidad</f>
        <v>800000000</v>
      </c>
      <c r="H35" s="50">
        <f t="shared" si="0"/>
        <v>5600000000</v>
      </c>
    </row>
    <row r="36" spans="1:15" x14ac:dyDescent="0.25">
      <c r="G36" s="19" t="s">
        <v>34</v>
      </c>
      <c r="H36" s="69">
        <f>NPV(TREMA,H31:H35)</f>
        <v>13331968000</v>
      </c>
    </row>
    <row r="37" spans="1:15" x14ac:dyDescent="0.25">
      <c r="A37" s="3" t="s">
        <v>40</v>
      </c>
      <c r="N37" s="75" t="s">
        <v>40</v>
      </c>
      <c r="O37" s="76"/>
    </row>
    <row r="38" spans="1:15" x14ac:dyDescent="0.25">
      <c r="A38" s="3" t="s">
        <v>7</v>
      </c>
      <c r="E38" s="3" t="s">
        <v>32</v>
      </c>
      <c r="N38" s="21" t="s">
        <v>36</v>
      </c>
      <c r="O38" s="28">
        <f xml:space="preserve"> L29 * B20 + L46 * B24</f>
        <v>12423591936</v>
      </c>
    </row>
    <row r="39" spans="1:15" x14ac:dyDescent="0.25">
      <c r="A39" s="3" t="s">
        <v>11</v>
      </c>
      <c r="D39" s="34" t="s">
        <v>24</v>
      </c>
      <c r="E39" s="44" t="s">
        <v>25</v>
      </c>
      <c r="F39" s="35" t="s">
        <v>26</v>
      </c>
      <c r="G39" s="44" t="s">
        <v>27</v>
      </c>
      <c r="H39" s="36" t="s">
        <v>28</v>
      </c>
      <c r="N39" s="22" t="s">
        <v>38</v>
      </c>
      <c r="O39" s="29">
        <f xml:space="preserve"> (B20 * (L11 - O38)^2 + B24 * (L46 - O38)^2)^(1/2)</f>
        <v>1439407941.5753882</v>
      </c>
    </row>
    <row r="40" spans="1:15" x14ac:dyDescent="0.25">
      <c r="A40" s="5" t="s">
        <v>9</v>
      </c>
      <c r="B40">
        <v>0.6</v>
      </c>
      <c r="D40" s="38">
        <v>1</v>
      </c>
      <c r="E40" s="42">
        <f xml:space="preserve"> $B$25 * $B$3</f>
        <v>11500000000</v>
      </c>
      <c r="F40" s="32">
        <f xml:space="preserve"> $B$25 * $B$4</f>
        <v>6900000000</v>
      </c>
      <c r="G40" s="51">
        <f>Gastos_de_publicidad</f>
        <v>800000000</v>
      </c>
      <c r="H40" s="50">
        <f xml:space="preserve"> E40 - F40 - G40</f>
        <v>3800000000</v>
      </c>
      <c r="N40" s="23" t="s">
        <v>37</v>
      </c>
      <c r="O40" s="26">
        <f xml:space="preserve"> O39 / O38</f>
        <v>0.1158608515951331</v>
      </c>
    </row>
    <row r="41" spans="1:15" x14ac:dyDescent="0.25">
      <c r="A41" s="5" t="s">
        <v>6</v>
      </c>
      <c r="B41">
        <v>14500</v>
      </c>
      <c r="D41" s="38">
        <v>2</v>
      </c>
      <c r="E41" s="42">
        <f xml:space="preserve"> $B$25 * $B$3</f>
        <v>11500000000</v>
      </c>
      <c r="F41" s="32">
        <f xml:space="preserve"> $B$25 * $B$4</f>
        <v>6900000000</v>
      </c>
      <c r="G41" s="51">
        <f>Gastos_de_publicidad</f>
        <v>800000000</v>
      </c>
      <c r="H41" s="50">
        <f xml:space="preserve"> E41 - F41 - G41</f>
        <v>3800000000</v>
      </c>
    </row>
    <row r="42" spans="1:15" x14ac:dyDescent="0.25">
      <c r="A42" s="3" t="s">
        <v>14</v>
      </c>
      <c r="D42" s="38">
        <v>3</v>
      </c>
      <c r="E42" s="42">
        <f xml:space="preserve"> $B$48 * $B$3</f>
        <v>12000000000</v>
      </c>
      <c r="F42" s="32">
        <f xml:space="preserve"> $B$48 * $B$4</f>
        <v>7200000000</v>
      </c>
      <c r="G42" s="51">
        <f>Gastos_de_publicidad</f>
        <v>800000000</v>
      </c>
      <c r="H42" s="50">
        <f xml:space="preserve"> E42 - F42 - G42</f>
        <v>4000000000</v>
      </c>
    </row>
    <row r="43" spans="1:15" x14ac:dyDescent="0.25">
      <c r="A43" s="5" t="s">
        <v>9</v>
      </c>
      <c r="B43">
        <v>0.4</v>
      </c>
      <c r="D43" s="38">
        <v>4</v>
      </c>
      <c r="E43" s="42">
        <f xml:space="preserve"> $B$48 * $B$3</f>
        <v>12000000000</v>
      </c>
      <c r="F43" s="32">
        <f xml:space="preserve"> $B$48 * $B$4</f>
        <v>7200000000</v>
      </c>
      <c r="G43" s="51">
        <f>Gastos_de_publicidad</f>
        <v>800000000</v>
      </c>
      <c r="H43" s="50">
        <f t="shared" ref="H43:H44" si="1" xml:space="preserve"> E43 - F43 - G43</f>
        <v>4000000000</v>
      </c>
    </row>
    <row r="44" spans="1:15" x14ac:dyDescent="0.25">
      <c r="A44" s="5" t="s">
        <v>6</v>
      </c>
      <c r="B44">
        <v>16000</v>
      </c>
      <c r="D44" s="40">
        <v>5</v>
      </c>
      <c r="E44" s="43">
        <f xml:space="preserve"> $B$48 * $B$3</f>
        <v>12000000000</v>
      </c>
      <c r="F44" s="41">
        <f xml:space="preserve"> $B$48 * $B$4</f>
        <v>7200000000</v>
      </c>
      <c r="G44" s="51">
        <f>Gastos_de_publicidad</f>
        <v>800000000</v>
      </c>
      <c r="H44" s="50">
        <f t="shared" si="1"/>
        <v>4000000000</v>
      </c>
    </row>
    <row r="45" spans="1:15" x14ac:dyDescent="0.25">
      <c r="A45" s="3" t="s">
        <v>8</v>
      </c>
      <c r="G45" s="19" t="s">
        <v>34</v>
      </c>
      <c r="H45" s="69">
        <f>NPV(TREMA,H40:H44)</f>
        <v>10469120000</v>
      </c>
      <c r="K45" s="75" t="s">
        <v>42</v>
      </c>
      <c r="L45" s="76"/>
    </row>
    <row r="46" spans="1:15" x14ac:dyDescent="0.25">
      <c r="A46" s="3" t="s">
        <v>11</v>
      </c>
      <c r="K46" s="21" t="s">
        <v>36</v>
      </c>
      <c r="L46" s="27">
        <f xml:space="preserve"> H45 * B47 + H54 * B50</f>
        <v>10589050880</v>
      </c>
    </row>
    <row r="47" spans="1:15" x14ac:dyDescent="0.25">
      <c r="A47" s="5" t="s">
        <v>9</v>
      </c>
      <c r="B47">
        <v>0.2</v>
      </c>
      <c r="E47" s="3" t="s">
        <v>33</v>
      </c>
      <c r="K47" s="22" t="s">
        <v>38</v>
      </c>
      <c r="L47" s="29">
        <f xml:space="preserve"> (B47 * (H45 - L46)^2 + B50 * (H54 - L46)^2)^(1/2)</f>
        <v>59965440</v>
      </c>
    </row>
    <row r="48" spans="1:15" x14ac:dyDescent="0.25">
      <c r="A48" s="5" t="s">
        <v>6</v>
      </c>
      <c r="B48">
        <v>12000</v>
      </c>
      <c r="D48" s="34" t="s">
        <v>24</v>
      </c>
      <c r="E48" s="44" t="s">
        <v>25</v>
      </c>
      <c r="F48" s="35" t="s">
        <v>26</v>
      </c>
      <c r="G48" s="44" t="s">
        <v>27</v>
      </c>
      <c r="H48" s="36" t="s">
        <v>28</v>
      </c>
      <c r="K48" s="23" t="s">
        <v>37</v>
      </c>
      <c r="L48" s="26">
        <f xml:space="preserve"> L47 / L46</f>
        <v>5.6629664622028899E-3</v>
      </c>
    </row>
    <row r="49" spans="1:8" x14ac:dyDescent="0.25">
      <c r="A49" s="3" t="s">
        <v>14</v>
      </c>
      <c r="D49" s="38">
        <v>1</v>
      </c>
      <c r="E49" s="42">
        <v>11500000000</v>
      </c>
      <c r="F49" s="32">
        <v>6900000000</v>
      </c>
      <c r="G49" s="51">
        <v>800000000</v>
      </c>
      <c r="H49" s="50">
        <v>3800000000</v>
      </c>
    </row>
    <row r="50" spans="1:8" x14ac:dyDescent="0.25">
      <c r="A50" s="5" t="s">
        <v>9</v>
      </c>
      <c r="B50">
        <v>0.8</v>
      </c>
      <c r="D50" s="38">
        <v>2</v>
      </c>
      <c r="E50" s="42">
        <v>11500000000</v>
      </c>
      <c r="F50" s="32">
        <v>6900000000</v>
      </c>
      <c r="G50" s="51">
        <v>800000000</v>
      </c>
      <c r="H50" s="50">
        <v>3800000000</v>
      </c>
    </row>
    <row r="51" spans="1:8" x14ac:dyDescent="0.25">
      <c r="A51" s="5" t="s">
        <v>6</v>
      </c>
      <c r="B51">
        <v>12300</v>
      </c>
      <c r="D51" s="38">
        <v>3</v>
      </c>
      <c r="E51" s="42">
        <f xml:space="preserve"> $B$51 * $B$3</f>
        <v>12300000000</v>
      </c>
      <c r="F51" s="32">
        <f>$B$51 * $B$4</f>
        <v>7380000000</v>
      </c>
      <c r="G51" s="51">
        <f>Gastos_de_publicidad</f>
        <v>800000000</v>
      </c>
      <c r="H51" s="50">
        <f xml:space="preserve"> E51 - F51 - G51</f>
        <v>4120000000</v>
      </c>
    </row>
    <row r="52" spans="1:8" x14ac:dyDescent="0.25">
      <c r="D52" s="38">
        <v>4</v>
      </c>
      <c r="E52" s="42">
        <f xml:space="preserve"> $B$51 * $B$3</f>
        <v>12300000000</v>
      </c>
      <c r="F52" s="32">
        <f>$B$51 * $B$4</f>
        <v>7380000000</v>
      </c>
      <c r="G52" s="51">
        <f>Gastos_de_publicidad</f>
        <v>800000000</v>
      </c>
      <c r="H52" s="50">
        <f t="shared" ref="H52:H53" si="2" xml:space="preserve"> E52 - F52 - G52</f>
        <v>4120000000</v>
      </c>
    </row>
    <row r="53" spans="1:8" x14ac:dyDescent="0.25">
      <c r="D53" s="40">
        <v>5</v>
      </c>
      <c r="E53" s="43">
        <f xml:space="preserve"> $B$51 * $B$3</f>
        <v>12300000000</v>
      </c>
      <c r="F53" s="41">
        <f>$B$51 * $B$4</f>
        <v>7380000000</v>
      </c>
      <c r="G53" s="51">
        <f>Gastos_de_publicidad</f>
        <v>800000000</v>
      </c>
      <c r="H53" s="50">
        <f t="shared" si="2"/>
        <v>4120000000</v>
      </c>
    </row>
    <row r="54" spans="1:8" x14ac:dyDescent="0.25">
      <c r="G54" s="19" t="s">
        <v>34</v>
      </c>
      <c r="H54" s="69">
        <f>NPV(TREMA,H49:H53)</f>
        <v>10619033600</v>
      </c>
    </row>
  </sheetData>
  <mergeCells count="4">
    <mergeCell ref="K10:L10"/>
    <mergeCell ref="K28:L28"/>
    <mergeCell ref="N37:O37"/>
    <mergeCell ref="K45:L4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3BBC-7366-450E-BAF5-AB4F226D7C73}">
  <dimension ref="A2:Z55"/>
  <sheetViews>
    <sheetView showGridLines="0" tabSelected="1" topLeftCell="R1" zoomScale="65" zoomScaleNormal="65" workbookViewId="0">
      <selection activeCell="V26" sqref="V26"/>
    </sheetView>
  </sheetViews>
  <sheetFormatPr defaultColWidth="9.140625" defaultRowHeight="15" x14ac:dyDescent="0.25"/>
  <cols>
    <col min="1" max="1" width="57.5703125" hidden="1" customWidth="1"/>
    <col min="2" max="2" width="18.42578125" hidden="1" customWidth="1"/>
    <col min="3" max="4" width="0" hidden="1" customWidth="1"/>
    <col min="5" max="5" width="19" hidden="1" customWidth="1"/>
    <col min="6" max="6" width="18" hidden="1" customWidth="1"/>
    <col min="7" max="7" width="18.42578125" hidden="1" customWidth="1"/>
    <col min="8" max="8" width="18.28515625" hidden="1" customWidth="1"/>
    <col min="9" max="10" width="0" hidden="1" customWidth="1"/>
    <col min="11" max="11" width="11.7109375" hidden="1" customWidth="1"/>
    <col min="12" max="12" width="26.7109375" hidden="1" customWidth="1"/>
    <col min="13" max="13" width="0" hidden="1" customWidth="1"/>
    <col min="14" max="14" width="12.140625" hidden="1" customWidth="1"/>
    <col min="15" max="15" width="24" hidden="1" customWidth="1"/>
    <col min="16" max="16" width="21.85546875" hidden="1" customWidth="1"/>
    <col min="17" max="17" width="18.140625" hidden="1" customWidth="1"/>
    <col min="18" max="18" width="18.140625" customWidth="1"/>
    <col min="19" max="19" width="13.42578125" customWidth="1"/>
    <col min="20" max="20" width="15.42578125" bestFit="1" customWidth="1"/>
    <col min="21" max="21" width="25.5703125" customWidth="1"/>
    <col min="22" max="22" width="22.42578125" customWidth="1"/>
    <col min="23" max="23" width="14" customWidth="1"/>
    <col min="24" max="24" width="42.42578125" customWidth="1"/>
    <col min="25" max="25" width="22.5703125" bestFit="1" customWidth="1"/>
    <col min="26" max="26" width="19.7109375" bestFit="1" customWidth="1"/>
    <col min="29" max="29" width="32.85546875" customWidth="1"/>
    <col min="32" max="32" width="25.140625" customWidth="1"/>
  </cols>
  <sheetData>
    <row r="2" spans="1:26" x14ac:dyDescent="0.25">
      <c r="A2" s="3" t="s">
        <v>51</v>
      </c>
      <c r="U2" s="75" t="s">
        <v>2</v>
      </c>
      <c r="V2" s="76"/>
      <c r="X2" s="18" t="s">
        <v>49</v>
      </c>
      <c r="Y2" s="18" t="s">
        <v>50</v>
      </c>
    </row>
    <row r="3" spans="1:26" x14ac:dyDescent="0.25">
      <c r="E3" s="3" t="s">
        <v>35</v>
      </c>
      <c r="U3" s="21" t="s">
        <v>36</v>
      </c>
      <c r="V3" s="53">
        <f>+L12</f>
        <v>13745894400</v>
      </c>
    </row>
    <row r="4" spans="1:26" x14ac:dyDescent="0.25">
      <c r="A4" t="s">
        <v>3</v>
      </c>
      <c r="B4" s="2">
        <v>1000000</v>
      </c>
      <c r="D4" s="3" t="s">
        <v>24</v>
      </c>
      <c r="E4" t="s">
        <v>25</v>
      </c>
      <c r="F4" t="s">
        <v>26</v>
      </c>
      <c r="G4" t="s">
        <v>27</v>
      </c>
      <c r="H4" t="s">
        <v>28</v>
      </c>
      <c r="U4" s="22" t="s">
        <v>38</v>
      </c>
      <c r="V4" s="54">
        <f>+L13</f>
        <v>200372205.7468051</v>
      </c>
      <c r="W4" t="s">
        <v>44</v>
      </c>
      <c r="X4" s="16">
        <v>0.7</v>
      </c>
      <c r="Y4" s="17">
        <f>+H10</f>
        <v>13614720000</v>
      </c>
    </row>
    <row r="5" spans="1:26" x14ac:dyDescent="0.25">
      <c r="A5" t="s">
        <v>0</v>
      </c>
      <c r="B5" s="2">
        <v>600000</v>
      </c>
      <c r="D5">
        <v>1</v>
      </c>
      <c r="E5" s="1">
        <f>$B$10 * $B$16</f>
        <v>13300000000</v>
      </c>
      <c r="F5" s="1">
        <f>$B$16*$B$5</f>
        <v>8400000000</v>
      </c>
      <c r="G5" s="1">
        <v>0</v>
      </c>
      <c r="H5" s="2">
        <f>E5 - F5 - G5</f>
        <v>4900000000</v>
      </c>
      <c r="U5" s="23" t="s">
        <v>37</v>
      </c>
      <c r="V5" s="55">
        <f>+L14</f>
        <v>1.4576876550630646E-2</v>
      </c>
    </row>
    <row r="6" spans="1:26" x14ac:dyDescent="0.25">
      <c r="A6" t="s">
        <v>1</v>
      </c>
      <c r="B6" s="4">
        <v>10000</v>
      </c>
      <c r="D6">
        <v>2</v>
      </c>
      <c r="E6" s="1">
        <f>$B$10 * $B$16</f>
        <v>13300000000</v>
      </c>
      <c r="F6" s="1">
        <f>$B$16*$B$5</f>
        <v>8400000000</v>
      </c>
      <c r="G6" s="1">
        <v>0</v>
      </c>
      <c r="H6" s="2">
        <f>E6 - F6 - G6</f>
        <v>4900000000</v>
      </c>
    </row>
    <row r="7" spans="1:26" x14ac:dyDescent="0.25">
      <c r="A7" t="s">
        <v>23</v>
      </c>
      <c r="B7" s="7">
        <v>0.25</v>
      </c>
      <c r="D7">
        <v>3</v>
      </c>
      <c r="E7" s="1">
        <f>$B$33 * $B$10</f>
        <v>14250000000</v>
      </c>
      <c r="F7" s="1">
        <f>$B$33 * $B$5</f>
        <v>9000000000</v>
      </c>
      <c r="G7" s="1">
        <v>0</v>
      </c>
      <c r="H7" s="2">
        <f>E7 - F7 - G7</f>
        <v>5250000000</v>
      </c>
    </row>
    <row r="8" spans="1:26" x14ac:dyDescent="0.25">
      <c r="B8" s="4"/>
      <c r="D8">
        <v>4</v>
      </c>
      <c r="E8" s="1">
        <f>$B$33 * $B$10</f>
        <v>14250000000</v>
      </c>
      <c r="F8" s="1">
        <f>$B$33 * $B$5</f>
        <v>9000000000</v>
      </c>
      <c r="G8" s="1">
        <v>0</v>
      </c>
      <c r="H8" s="2">
        <f>E8 - F8 - G8</f>
        <v>5250000000</v>
      </c>
      <c r="U8" t="s">
        <v>43</v>
      </c>
      <c r="W8" t="s">
        <v>11</v>
      </c>
      <c r="X8" s="16">
        <v>0.3</v>
      </c>
      <c r="Y8" s="17">
        <f>+H19</f>
        <v>14051968000</v>
      </c>
    </row>
    <row r="9" spans="1:26" x14ac:dyDescent="0.25">
      <c r="A9" s="3" t="s">
        <v>15</v>
      </c>
      <c r="B9" s="4"/>
      <c r="D9">
        <v>5</v>
      </c>
      <c r="E9" s="1">
        <f>$B$33 * $B$10</f>
        <v>14250000000</v>
      </c>
      <c r="F9" s="1">
        <f>$B$33 * $B$5</f>
        <v>9000000000</v>
      </c>
      <c r="G9" s="1">
        <v>0</v>
      </c>
      <c r="H9" s="2">
        <f>E9 - F9 - G9</f>
        <v>5250000000</v>
      </c>
    </row>
    <row r="10" spans="1:26" x14ac:dyDescent="0.25">
      <c r="A10" t="s">
        <v>16</v>
      </c>
      <c r="B10" s="2">
        <v>950000</v>
      </c>
      <c r="G10" s="3" t="s">
        <v>34</v>
      </c>
      <c r="H10" s="8">
        <f>NPV($B$7,H5:H9)</f>
        <v>13614720000</v>
      </c>
      <c r="W10" s="57" t="s">
        <v>41</v>
      </c>
      <c r="X10" s="58"/>
    </row>
    <row r="11" spans="1:26" x14ac:dyDescent="0.25">
      <c r="A11" t="s">
        <v>17</v>
      </c>
      <c r="B11" s="2">
        <v>800000000</v>
      </c>
      <c r="K11" s="3" t="s">
        <v>2</v>
      </c>
      <c r="V11" s="3"/>
      <c r="W11" s="21" t="s">
        <v>36</v>
      </c>
      <c r="X11" s="83">
        <f>+L30</f>
        <v>12882227200</v>
      </c>
    </row>
    <row r="12" spans="1:26" x14ac:dyDescent="0.25">
      <c r="B12" s="4"/>
      <c r="E12" s="3" t="s">
        <v>29</v>
      </c>
      <c r="K12" s="3" t="s">
        <v>36</v>
      </c>
      <c r="L12" s="14">
        <f xml:space="preserve"> H10 * B32 + H19 * B35</f>
        <v>13745894400</v>
      </c>
      <c r="W12" s="22" t="s">
        <v>38</v>
      </c>
      <c r="X12" s="85">
        <f>+L31</f>
        <v>367211825.50370026</v>
      </c>
    </row>
    <row r="13" spans="1:26" x14ac:dyDescent="0.25">
      <c r="D13" s="3" t="s">
        <v>24</v>
      </c>
      <c r="E13" t="s">
        <v>25</v>
      </c>
      <c r="F13" t="s">
        <v>26</v>
      </c>
      <c r="G13" t="s">
        <v>27</v>
      </c>
      <c r="H13" t="s">
        <v>28</v>
      </c>
      <c r="K13" s="3" t="s">
        <v>38</v>
      </c>
      <c r="L13" s="8">
        <f xml:space="preserve"> (B32 * (H10 - L12)^2 + B35 * (H19 - L12)^2)^(1/2)</f>
        <v>200372205.7468051</v>
      </c>
      <c r="S13" s="86">
        <f>V3</f>
        <v>13745894400</v>
      </c>
      <c r="T13" s="87"/>
      <c r="W13" s="23" t="s">
        <v>37</v>
      </c>
      <c r="X13" s="84">
        <f>+L32</f>
        <v>2.8505305783125781E-2</v>
      </c>
      <c r="Y13" s="18" t="s">
        <v>49</v>
      </c>
      <c r="Z13" s="18" t="s">
        <v>50</v>
      </c>
    </row>
    <row r="14" spans="1:26" x14ac:dyDescent="0.25">
      <c r="A14" s="3" t="s">
        <v>5</v>
      </c>
      <c r="D14">
        <v>1</v>
      </c>
      <c r="E14" s="9">
        <f>$B$10 * $B$16</f>
        <v>13300000000</v>
      </c>
      <c r="F14" s="9">
        <f>$B$16 * $B$5</f>
        <v>8400000000</v>
      </c>
      <c r="G14" s="1">
        <f xml:space="preserve"> 0</f>
        <v>0</v>
      </c>
      <c r="H14" s="9">
        <f xml:space="preserve"> E14 - F14 -G14</f>
        <v>4900000000</v>
      </c>
      <c r="K14" s="3" t="s">
        <v>37</v>
      </c>
      <c r="L14">
        <f xml:space="preserve"> L13 / L12</f>
        <v>1.4576876550630646E-2</v>
      </c>
      <c r="S14" s="88"/>
      <c r="T14" s="89"/>
    </row>
    <row r="15" spans="1:26" x14ac:dyDescent="0.25">
      <c r="D15">
        <v>2</v>
      </c>
      <c r="E15" s="9">
        <f>$B$10 * $B$16</f>
        <v>13300000000</v>
      </c>
      <c r="F15" s="9">
        <f>$B$16 * $B$5</f>
        <v>8400000000</v>
      </c>
      <c r="G15" s="1">
        <v>0</v>
      </c>
      <c r="H15" s="9">
        <f>E15 - F15 -G15</f>
        <v>4900000000</v>
      </c>
      <c r="X15" s="15" t="s">
        <v>11</v>
      </c>
      <c r="Y15" s="16">
        <v>0.6</v>
      </c>
      <c r="Z15" s="20">
        <f>+H28</f>
        <v>12582400000</v>
      </c>
    </row>
    <row r="16" spans="1:26" x14ac:dyDescent="0.25">
      <c r="A16" t="s">
        <v>4</v>
      </c>
      <c r="B16">
        <v>14000</v>
      </c>
      <c r="D16">
        <v>3</v>
      </c>
      <c r="E16" s="9">
        <f xml:space="preserve"> $B$10 * $B$36</f>
        <v>15200000000</v>
      </c>
      <c r="F16" s="9">
        <f>$B$36 * $B$5</f>
        <v>9600000000</v>
      </c>
      <c r="G16" s="1">
        <v>0</v>
      </c>
      <c r="H16" s="9">
        <f>E16 - F16 -G16</f>
        <v>5600000000</v>
      </c>
      <c r="Z16" s="10"/>
    </row>
    <row r="17" spans="1:26" x14ac:dyDescent="0.25">
      <c r="D17">
        <v>4</v>
      </c>
      <c r="E17" s="9">
        <f xml:space="preserve"> $B$10 * $B$36</f>
        <v>15200000000</v>
      </c>
      <c r="F17" s="9">
        <f>$B$36 * $B$5</f>
        <v>9600000000</v>
      </c>
      <c r="G17" s="1">
        <v>0</v>
      </c>
      <c r="H17" s="9">
        <f xml:space="preserve"> E17 - F17 - G17</f>
        <v>5600000000</v>
      </c>
      <c r="W17" s="15" t="s">
        <v>48</v>
      </c>
      <c r="Z17" s="10"/>
    </row>
    <row r="18" spans="1:26" x14ac:dyDescent="0.25">
      <c r="A18" s="3" t="s">
        <v>39</v>
      </c>
      <c r="D18">
        <v>5</v>
      </c>
      <c r="E18" s="9">
        <f xml:space="preserve"> $B$10 * $B$36</f>
        <v>15200000000</v>
      </c>
      <c r="F18" s="9">
        <f>$B$36 * $B$5</f>
        <v>9600000000</v>
      </c>
      <c r="G18" s="1">
        <v>0</v>
      </c>
      <c r="H18" s="9">
        <f xml:space="preserve"> E18 - F18 - G18</f>
        <v>5600000000</v>
      </c>
      <c r="S18" t="s">
        <v>45</v>
      </c>
      <c r="Z18" s="10"/>
    </row>
    <row r="19" spans="1:26" x14ac:dyDescent="0.25">
      <c r="A19" s="3"/>
      <c r="G19" s="3" t="s">
        <v>34</v>
      </c>
      <c r="H19" s="8">
        <f>NPV($B$7,H14:H18)</f>
        <v>14051968000</v>
      </c>
      <c r="X19" s="15" t="s">
        <v>13</v>
      </c>
      <c r="Y19" s="16">
        <v>0.4</v>
      </c>
      <c r="Z19" s="20">
        <f>+H37</f>
        <v>13331968000</v>
      </c>
    </row>
    <row r="20" spans="1:26" x14ac:dyDescent="0.25">
      <c r="A20" s="3" t="s">
        <v>7</v>
      </c>
      <c r="Z20" s="10"/>
    </row>
    <row r="21" spans="1:26" x14ac:dyDescent="0.25">
      <c r="A21" s="5" t="s">
        <v>9</v>
      </c>
      <c r="B21">
        <v>0.8</v>
      </c>
      <c r="E21" s="3" t="s">
        <v>30</v>
      </c>
      <c r="Z21" s="10"/>
    </row>
    <row r="22" spans="1:26" x14ac:dyDescent="0.25">
      <c r="A22" t="s">
        <v>6</v>
      </c>
      <c r="B22">
        <v>13000</v>
      </c>
      <c r="D22" s="3" t="s">
        <v>24</v>
      </c>
      <c r="E22" t="s">
        <v>25</v>
      </c>
      <c r="F22" t="s">
        <v>26</v>
      </c>
      <c r="G22" t="s">
        <v>27</v>
      </c>
      <c r="H22" t="s">
        <v>28</v>
      </c>
      <c r="Y22" s="18" t="s">
        <v>49</v>
      </c>
      <c r="Z22" s="68" t="s">
        <v>50</v>
      </c>
    </row>
    <row r="23" spans="1:26" x14ac:dyDescent="0.25">
      <c r="D23">
        <v>1</v>
      </c>
      <c r="E23" s="1">
        <f xml:space="preserve"> $B$22 * $B$4</f>
        <v>13000000000</v>
      </c>
      <c r="F23" s="1">
        <f xml:space="preserve"> $B$5 * $B$22</f>
        <v>7800000000</v>
      </c>
      <c r="G23" s="2">
        <f xml:space="preserve"> $B$11</f>
        <v>800000000</v>
      </c>
      <c r="H23" s="1">
        <f xml:space="preserve"> E23   - F23 - G23</f>
        <v>4400000000</v>
      </c>
      <c r="U23" s="75" t="s">
        <v>40</v>
      </c>
      <c r="V23" s="76"/>
      <c r="Z23" s="10"/>
    </row>
    <row r="24" spans="1:26" x14ac:dyDescent="0.25">
      <c r="A24" s="3" t="s">
        <v>8</v>
      </c>
      <c r="D24">
        <v>2</v>
      </c>
      <c r="E24" s="1">
        <f xml:space="preserve"> $B$22 * $B$4</f>
        <v>13000000000</v>
      </c>
      <c r="F24" s="1">
        <f xml:space="preserve"> $B$5 * $B$22</f>
        <v>7800000000</v>
      </c>
      <c r="G24" s="2">
        <f xml:space="preserve"> $B$11</f>
        <v>800000000</v>
      </c>
      <c r="H24" s="1">
        <f xml:space="preserve"> E24   - F24 - G24</f>
        <v>4400000000</v>
      </c>
      <c r="U24" s="21" t="s">
        <v>36</v>
      </c>
      <c r="V24" s="79">
        <f>+O39</f>
        <v>12423591936</v>
      </c>
      <c r="X24" s="15" t="s">
        <v>46</v>
      </c>
      <c r="Y24" s="16">
        <v>0.2</v>
      </c>
      <c r="Z24" s="20">
        <f>+H46</f>
        <v>10469120000</v>
      </c>
    </row>
    <row r="25" spans="1:26" x14ac:dyDescent="0.25">
      <c r="A25" s="5" t="s">
        <v>9</v>
      </c>
      <c r="B25">
        <v>0.2</v>
      </c>
      <c r="D25">
        <v>3</v>
      </c>
      <c r="E25" s="1">
        <f xml:space="preserve"> $B$42 * $B$4</f>
        <v>14500000000</v>
      </c>
      <c r="F25" s="1">
        <f xml:space="preserve"> $B$5 * $B$42</f>
        <v>8700000000</v>
      </c>
      <c r="G25" s="2">
        <f xml:space="preserve"> $B$11</f>
        <v>800000000</v>
      </c>
      <c r="H25" s="1">
        <f xml:space="preserve"> E25 - F25 - G25</f>
        <v>5000000000</v>
      </c>
      <c r="U25" s="22" t="s">
        <v>38</v>
      </c>
      <c r="V25" s="56">
        <f>+O40</f>
        <v>1439407941.5753882</v>
      </c>
      <c r="W25" s="15" t="s">
        <v>47</v>
      </c>
      <c r="Z25" s="10"/>
    </row>
    <row r="26" spans="1:26" x14ac:dyDescent="0.25">
      <c r="A26" t="s">
        <v>6</v>
      </c>
      <c r="B26">
        <v>11500</v>
      </c>
      <c r="D26">
        <v>4</v>
      </c>
      <c r="E26" s="1">
        <f xml:space="preserve"> $B$42 * $B$4</f>
        <v>14500000000</v>
      </c>
      <c r="F26" s="1">
        <f xml:space="preserve"> $B$5 * $B$42</f>
        <v>8700000000</v>
      </c>
      <c r="G26" s="2">
        <f xml:space="preserve"> $B$11</f>
        <v>800000000</v>
      </c>
      <c r="H26" s="1">
        <f xml:space="preserve"> E26 - F26 - G26</f>
        <v>5000000000</v>
      </c>
      <c r="U26" s="23" t="s">
        <v>37</v>
      </c>
      <c r="V26" s="55">
        <f>+O41</f>
        <v>0.1158608515951331</v>
      </c>
      <c r="Z26" s="10"/>
    </row>
    <row r="27" spans="1:26" x14ac:dyDescent="0.25">
      <c r="D27">
        <v>5</v>
      </c>
      <c r="E27" s="1">
        <f xml:space="preserve"> $B$42 * $B$4</f>
        <v>14500000000</v>
      </c>
      <c r="F27" s="1">
        <f xml:space="preserve"> $B$5 * $B$42</f>
        <v>8700000000</v>
      </c>
      <c r="G27" s="2">
        <f xml:space="preserve"> $B$11</f>
        <v>800000000</v>
      </c>
      <c r="H27" s="1">
        <f xml:space="preserve"> E27 - F27 - G27</f>
        <v>5000000000</v>
      </c>
      <c r="Z27" s="10"/>
    </row>
    <row r="28" spans="1:26" x14ac:dyDescent="0.25">
      <c r="A28" s="3" t="s">
        <v>10</v>
      </c>
      <c r="G28" s="3" t="s">
        <v>34</v>
      </c>
      <c r="H28" s="12" cm="1">
        <f t="array" ref="H28">NPV(TREMA,H23:H27)</f>
        <v>12582400000</v>
      </c>
      <c r="X28" s="15" t="s">
        <v>13</v>
      </c>
      <c r="Y28" s="16">
        <v>0.8</v>
      </c>
      <c r="Z28" s="20">
        <f>+H55</f>
        <v>10619033600</v>
      </c>
    </row>
    <row r="29" spans="1:26" x14ac:dyDescent="0.25">
      <c r="A29" s="3"/>
      <c r="K29" s="3" t="s">
        <v>41</v>
      </c>
    </row>
    <row r="30" spans="1:26" x14ac:dyDescent="0.25">
      <c r="A30" s="3" t="s">
        <v>12</v>
      </c>
      <c r="E30" s="3" t="s">
        <v>31</v>
      </c>
      <c r="K30" s="3" t="s">
        <v>36</v>
      </c>
      <c r="L30" s="10">
        <f xml:space="preserve"> H28 * B41 + H37 * B44</f>
        <v>12882227200</v>
      </c>
      <c r="W30" s="77" t="s">
        <v>42</v>
      </c>
      <c r="X30" s="78"/>
    </row>
    <row r="31" spans="1:26" x14ac:dyDescent="0.25">
      <c r="A31" s="3" t="s">
        <v>11</v>
      </c>
      <c r="D31" s="3" t="s">
        <v>24</v>
      </c>
      <c r="E31" t="s">
        <v>25</v>
      </c>
      <c r="F31" t="s">
        <v>26</v>
      </c>
      <c r="G31" t="s">
        <v>27</v>
      </c>
      <c r="H31" t="s">
        <v>28</v>
      </c>
      <c r="K31" s="3" t="s">
        <v>38</v>
      </c>
      <c r="L31" s="8">
        <f xml:space="preserve"> (B41 * (H28 - L30)^2 + B44 * (H37 - L30)^2)^(1/2)</f>
        <v>367211825.50370026</v>
      </c>
      <c r="W31" s="21" t="s">
        <v>36</v>
      </c>
      <c r="X31" s="83">
        <f>+L47</f>
        <v>10589050880</v>
      </c>
    </row>
    <row r="32" spans="1:26" x14ac:dyDescent="0.25">
      <c r="A32" s="5" t="s">
        <v>9</v>
      </c>
      <c r="B32">
        <v>0.7</v>
      </c>
      <c r="D32">
        <v>1</v>
      </c>
      <c r="E32" s="11">
        <v>13000000000</v>
      </c>
      <c r="F32" s="1">
        <v>7800000000</v>
      </c>
      <c r="G32" s="2">
        <v>800000000</v>
      </c>
      <c r="H32" s="1">
        <v>4400000000</v>
      </c>
      <c r="K32" s="3" t="s">
        <v>37</v>
      </c>
      <c r="L32">
        <f>L31/L30</f>
        <v>2.8505305783125781E-2</v>
      </c>
      <c r="W32" s="22" t="s">
        <v>38</v>
      </c>
      <c r="X32" s="83">
        <f>+L48</f>
        <v>59965440</v>
      </c>
    </row>
    <row r="33" spans="1:24" x14ac:dyDescent="0.25">
      <c r="A33" s="5" t="s">
        <v>6</v>
      </c>
      <c r="B33">
        <v>15000</v>
      </c>
      <c r="D33">
        <v>2</v>
      </c>
      <c r="E33" s="1">
        <v>13000000000</v>
      </c>
      <c r="F33" s="1">
        <v>7800000000</v>
      </c>
      <c r="G33" s="2">
        <v>800000000</v>
      </c>
      <c r="H33" s="1">
        <v>4400000000</v>
      </c>
      <c r="W33" s="23" t="s">
        <v>37</v>
      </c>
      <c r="X33" s="84">
        <f>+L49</f>
        <v>5.6629664622028899E-3</v>
      </c>
    </row>
    <row r="34" spans="1:24" x14ac:dyDescent="0.25">
      <c r="A34" s="3" t="s">
        <v>13</v>
      </c>
      <c r="D34">
        <v>3</v>
      </c>
      <c r="E34" s="1">
        <f xml:space="preserve"> $B$45 * $B$4</f>
        <v>16000000000</v>
      </c>
      <c r="F34" s="1">
        <f xml:space="preserve"> $B$45 * $B$5</f>
        <v>9600000000</v>
      </c>
      <c r="G34" s="2">
        <f>Gastos_de_publicidad</f>
        <v>800000000</v>
      </c>
      <c r="H34" s="1">
        <f xml:space="preserve"> E34- F34 - G34</f>
        <v>5600000000</v>
      </c>
    </row>
    <row r="35" spans="1:24" x14ac:dyDescent="0.25">
      <c r="A35" s="5" t="s">
        <v>9</v>
      </c>
      <c r="B35">
        <v>0.3</v>
      </c>
      <c r="D35">
        <v>4</v>
      </c>
      <c r="E35" s="1">
        <f xml:space="preserve"> $B$45 * $B$4</f>
        <v>16000000000</v>
      </c>
      <c r="F35" s="1">
        <f xml:space="preserve"> $B$45 * $B$5</f>
        <v>9600000000</v>
      </c>
      <c r="G35" s="2">
        <f>Gastos_de_publicidad</f>
        <v>800000000</v>
      </c>
      <c r="H35" s="1">
        <f t="shared" ref="H35:H36" si="0" xml:space="preserve"> E35- F35 - G35</f>
        <v>5600000000</v>
      </c>
    </row>
    <row r="36" spans="1:24" x14ac:dyDescent="0.25">
      <c r="A36" s="5" t="s">
        <v>6</v>
      </c>
      <c r="B36">
        <v>16000</v>
      </c>
      <c r="D36">
        <v>5</v>
      </c>
      <c r="E36" s="1">
        <f xml:space="preserve"> $B$45 * $B$4</f>
        <v>16000000000</v>
      </c>
      <c r="F36" s="1">
        <f xml:space="preserve"> $B$45 * $B$5</f>
        <v>9600000000</v>
      </c>
      <c r="G36" s="2">
        <f>Gastos_de_publicidad</f>
        <v>800000000</v>
      </c>
      <c r="H36" s="1">
        <f t="shared" si="0"/>
        <v>5600000000</v>
      </c>
    </row>
    <row r="37" spans="1:24" x14ac:dyDescent="0.25">
      <c r="G37" s="3" t="s">
        <v>34</v>
      </c>
      <c r="H37" s="12">
        <f>NPV(TREMA,H32:H36)</f>
        <v>13331968000</v>
      </c>
    </row>
    <row r="38" spans="1:24" x14ac:dyDescent="0.25">
      <c r="A38" s="3" t="s">
        <v>40</v>
      </c>
      <c r="N38" s="3" t="s">
        <v>40</v>
      </c>
    </row>
    <row r="39" spans="1:24" x14ac:dyDescent="0.25">
      <c r="A39" s="3" t="s">
        <v>7</v>
      </c>
      <c r="E39" s="3" t="s">
        <v>32</v>
      </c>
      <c r="N39" s="3" t="s">
        <v>36</v>
      </c>
      <c r="O39" s="13">
        <f xml:space="preserve"> L30 * B21 + L47 * B25</f>
        <v>12423591936</v>
      </c>
    </row>
    <row r="40" spans="1:24" x14ac:dyDescent="0.25">
      <c r="A40" s="3" t="s">
        <v>11</v>
      </c>
      <c r="D40" s="3" t="s">
        <v>24</v>
      </c>
      <c r="E40" t="s">
        <v>25</v>
      </c>
      <c r="F40" t="s">
        <v>26</v>
      </c>
      <c r="G40" t="s">
        <v>27</v>
      </c>
      <c r="H40" t="s">
        <v>28</v>
      </c>
      <c r="N40" s="3" t="s">
        <v>38</v>
      </c>
      <c r="O40" s="10">
        <f xml:space="preserve"> (B21 * (L12 - O39)^2 + B25 * (L47 - O39)^2)^(1/2)</f>
        <v>1439407941.5753882</v>
      </c>
    </row>
    <row r="41" spans="1:24" x14ac:dyDescent="0.25">
      <c r="A41" s="5" t="s">
        <v>9</v>
      </c>
      <c r="B41">
        <v>0.6</v>
      </c>
      <c r="D41">
        <v>1</v>
      </c>
      <c r="E41" s="1">
        <f xml:space="preserve"> $B$26 * $B$4</f>
        <v>11500000000</v>
      </c>
      <c r="F41" s="1">
        <f xml:space="preserve"> $B$26 * $B$5</f>
        <v>6900000000</v>
      </c>
      <c r="G41" s="2">
        <f>Gastos_de_publicidad</f>
        <v>800000000</v>
      </c>
      <c r="H41" s="1">
        <f xml:space="preserve"> E41 - F41 - G41</f>
        <v>3800000000</v>
      </c>
      <c r="N41" s="3" t="s">
        <v>37</v>
      </c>
      <c r="O41">
        <f xml:space="preserve"> O40 / O39</f>
        <v>0.1158608515951331</v>
      </c>
    </row>
    <row r="42" spans="1:24" x14ac:dyDescent="0.25">
      <c r="A42" s="5" t="s">
        <v>6</v>
      </c>
      <c r="B42">
        <v>14500</v>
      </c>
      <c r="D42">
        <v>2</v>
      </c>
      <c r="E42" s="1">
        <f xml:space="preserve"> $B$26 * $B$4</f>
        <v>11500000000</v>
      </c>
      <c r="F42" s="1">
        <f xml:space="preserve"> $B$26 * $B$5</f>
        <v>6900000000</v>
      </c>
      <c r="G42" s="2">
        <f>Gastos_de_publicidad</f>
        <v>800000000</v>
      </c>
      <c r="H42" s="1">
        <f xml:space="preserve"> E42 - F42 - G42</f>
        <v>3800000000</v>
      </c>
    </row>
    <row r="43" spans="1:24" x14ac:dyDescent="0.25">
      <c r="A43" s="3" t="s">
        <v>14</v>
      </c>
      <c r="D43">
        <v>3</v>
      </c>
      <c r="E43" s="1">
        <f xml:space="preserve"> $B$49 * $B$4</f>
        <v>12000000000</v>
      </c>
      <c r="F43" s="1">
        <f xml:space="preserve"> $B$49 * $B$5</f>
        <v>7200000000</v>
      </c>
      <c r="G43" s="2">
        <f>Gastos_de_publicidad</f>
        <v>800000000</v>
      </c>
      <c r="H43" s="1">
        <f xml:space="preserve"> E43 - F43 - G43</f>
        <v>4000000000</v>
      </c>
    </row>
    <row r="44" spans="1:24" x14ac:dyDescent="0.25">
      <c r="A44" s="5" t="s">
        <v>9</v>
      </c>
      <c r="B44">
        <v>0.4</v>
      </c>
      <c r="D44">
        <v>4</v>
      </c>
      <c r="E44" s="1">
        <f xml:space="preserve"> $B$49 * $B$4</f>
        <v>12000000000</v>
      </c>
      <c r="F44" s="1">
        <f xml:space="preserve"> $B$49 * $B$5</f>
        <v>7200000000</v>
      </c>
      <c r="G44" s="2">
        <f>Gastos_de_publicidad</f>
        <v>800000000</v>
      </c>
      <c r="H44" s="1">
        <f t="shared" ref="H44:H45" si="1" xml:space="preserve"> E44 - F44 - G44</f>
        <v>4000000000</v>
      </c>
    </row>
    <row r="45" spans="1:24" x14ac:dyDescent="0.25">
      <c r="A45" s="5" t="s">
        <v>6</v>
      </c>
      <c r="B45">
        <v>16000</v>
      </c>
      <c r="D45">
        <v>5</v>
      </c>
      <c r="E45" s="1">
        <f xml:space="preserve"> $B$49 * $B$4</f>
        <v>12000000000</v>
      </c>
      <c r="F45" s="1">
        <f xml:space="preserve"> $B$49 * $B$5</f>
        <v>7200000000</v>
      </c>
      <c r="G45" s="2">
        <f>Gastos_de_publicidad</f>
        <v>800000000</v>
      </c>
      <c r="H45" s="1">
        <f t="shared" si="1"/>
        <v>4000000000</v>
      </c>
    </row>
    <row r="46" spans="1:24" x14ac:dyDescent="0.25">
      <c r="A46" s="3" t="s">
        <v>8</v>
      </c>
      <c r="G46" s="3" t="s">
        <v>34</v>
      </c>
      <c r="H46" s="12">
        <f>NPV(TREMA,H41:H45)</f>
        <v>10469120000</v>
      </c>
      <c r="K46" s="3" t="s">
        <v>42</v>
      </c>
    </row>
    <row r="47" spans="1:24" x14ac:dyDescent="0.25">
      <c r="A47" s="3" t="s">
        <v>11</v>
      </c>
      <c r="K47" s="3" t="s">
        <v>36</v>
      </c>
      <c r="L47" s="10">
        <f xml:space="preserve"> H46 * B48 + H55 * B51</f>
        <v>10589050880</v>
      </c>
    </row>
    <row r="48" spans="1:24" x14ac:dyDescent="0.25">
      <c r="A48" s="5" t="s">
        <v>9</v>
      </c>
      <c r="B48">
        <v>0.2</v>
      </c>
      <c r="E48" s="3" t="s">
        <v>33</v>
      </c>
      <c r="K48" s="3" t="s">
        <v>38</v>
      </c>
      <c r="L48" s="10">
        <f xml:space="preserve"> (B48 * (H46 - L47)^2 + B51 * (H55 - L47)^2)^(1/2)</f>
        <v>59965440</v>
      </c>
    </row>
    <row r="49" spans="1:12" x14ac:dyDescent="0.25">
      <c r="A49" s="5" t="s">
        <v>6</v>
      </c>
      <c r="B49">
        <v>12000</v>
      </c>
      <c r="D49" s="3" t="s">
        <v>24</v>
      </c>
      <c r="E49" t="s">
        <v>25</v>
      </c>
      <c r="F49" t="s">
        <v>26</v>
      </c>
      <c r="G49" t="s">
        <v>27</v>
      </c>
      <c r="H49" t="s">
        <v>28</v>
      </c>
      <c r="K49" s="3" t="s">
        <v>37</v>
      </c>
      <c r="L49">
        <f xml:space="preserve"> L48 / L47</f>
        <v>5.6629664622028899E-3</v>
      </c>
    </row>
    <row r="50" spans="1:12" x14ac:dyDescent="0.25">
      <c r="A50" s="3" t="s">
        <v>14</v>
      </c>
      <c r="D50">
        <v>1</v>
      </c>
      <c r="E50" s="1">
        <v>11500000000</v>
      </c>
      <c r="F50" s="1">
        <v>6900000000</v>
      </c>
      <c r="G50" s="2">
        <v>800000000</v>
      </c>
      <c r="H50" s="1">
        <v>3800000000</v>
      </c>
    </row>
    <row r="51" spans="1:12" x14ac:dyDescent="0.25">
      <c r="A51" s="5" t="s">
        <v>9</v>
      </c>
      <c r="B51">
        <v>0.8</v>
      </c>
      <c r="D51">
        <v>2</v>
      </c>
      <c r="E51" s="1">
        <v>11500000000</v>
      </c>
      <c r="F51" s="1">
        <v>6900000000</v>
      </c>
      <c r="G51" s="2">
        <v>800000000</v>
      </c>
      <c r="H51" s="1">
        <v>3800000000</v>
      </c>
    </row>
    <row r="52" spans="1:12" x14ac:dyDescent="0.25">
      <c r="A52" s="5" t="s">
        <v>6</v>
      </c>
      <c r="B52">
        <v>12300</v>
      </c>
      <c r="D52">
        <v>3</v>
      </c>
      <c r="E52" s="1">
        <f xml:space="preserve"> $B$52 * $B$4</f>
        <v>12300000000</v>
      </c>
      <c r="F52" s="1">
        <f>$B$52 * $B$5</f>
        <v>7380000000</v>
      </c>
      <c r="G52" s="2">
        <f>Gastos_de_publicidad</f>
        <v>800000000</v>
      </c>
      <c r="H52" s="1">
        <f xml:space="preserve"> E52 - F52 - G52</f>
        <v>4120000000</v>
      </c>
    </row>
    <row r="53" spans="1:12" x14ac:dyDescent="0.25">
      <c r="D53">
        <v>4</v>
      </c>
      <c r="E53" s="1">
        <f xml:space="preserve"> $B$52 * $B$4</f>
        <v>12300000000</v>
      </c>
      <c r="F53" s="1">
        <f>$B$52 * $B$5</f>
        <v>7380000000</v>
      </c>
      <c r="G53" s="2">
        <f>Gastos_de_publicidad</f>
        <v>800000000</v>
      </c>
      <c r="H53" s="1">
        <f t="shared" ref="H53:H54" si="2" xml:space="preserve"> E53 - F53 - G53</f>
        <v>4120000000</v>
      </c>
    </row>
    <row r="54" spans="1:12" x14ac:dyDescent="0.25">
      <c r="D54">
        <v>5</v>
      </c>
      <c r="E54" s="1">
        <f xml:space="preserve"> $B$52 * $B$4</f>
        <v>12300000000</v>
      </c>
      <c r="F54" s="1">
        <f>$B$52 * $B$5</f>
        <v>7380000000</v>
      </c>
      <c r="G54" s="2">
        <f>Gastos_de_publicidad</f>
        <v>800000000</v>
      </c>
      <c r="H54" s="1">
        <f t="shared" si="2"/>
        <v>4120000000</v>
      </c>
    </row>
    <row r="55" spans="1:12" x14ac:dyDescent="0.25">
      <c r="G55" s="3" t="s">
        <v>34</v>
      </c>
      <c r="H55" s="12">
        <f>NPV(TREMA,H50:H54)</f>
        <v>10619033600</v>
      </c>
    </row>
  </sheetData>
  <mergeCells count="4">
    <mergeCell ref="S13:T14"/>
    <mergeCell ref="W30:X30"/>
    <mergeCell ref="U2:V2"/>
    <mergeCell ref="U23:V23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415B4991F41841B1A250D659A23981" ma:contentTypeVersion="4" ma:contentTypeDescription="Crear nuevo documento." ma:contentTypeScope="" ma:versionID="3c4ff1bafb9110d3d03555dafbf01e38">
  <xsd:schema xmlns:xsd="http://www.w3.org/2001/XMLSchema" xmlns:xs="http://www.w3.org/2001/XMLSchema" xmlns:p="http://schemas.microsoft.com/office/2006/metadata/properties" xmlns:ns3="dbbedc70-ead9-41c7-bee8-2c47823ea795" targetNamespace="http://schemas.microsoft.com/office/2006/metadata/properties" ma:root="true" ma:fieldsID="3b52df99d31d117fbaae1fe2338cbd0a" ns3:_="">
    <xsd:import namespace="dbbedc70-ead9-41c7-bee8-2c47823ea7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bedc70-ead9-41c7-bee8-2c47823ea7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C7816F-CAD6-43C1-9307-61BB6208A7D5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dbbedc70-ead9-41c7-bee8-2c47823ea795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94CDFB6D-0CC5-40D4-88ED-197D054C79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451D6F-F095-44B7-BD09-A0CD906D19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bedc70-ead9-41c7-bee8-2c47823ea7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Integrantes</vt:lpstr>
      <vt:lpstr>Características proyectos</vt:lpstr>
      <vt:lpstr>FCN para cada escenario</vt:lpstr>
      <vt:lpstr>Arbol de Decisión</vt:lpstr>
      <vt:lpstr>'Arbol de Decisión'!Gastos_de_publicidad</vt:lpstr>
      <vt:lpstr>'FCN para cada escenario'!Gastos_de_publicidad</vt:lpstr>
      <vt:lpstr>'Arbol de Decisión'!TREMA</vt:lpstr>
      <vt:lpstr>'FCN para cada escenario'!TREMA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Nancy Perilla Amaya</cp:lastModifiedBy>
  <dcterms:created xsi:type="dcterms:W3CDTF">2021-04-28T17:49:40Z</dcterms:created>
  <dcterms:modified xsi:type="dcterms:W3CDTF">2021-05-02T21:18:38Z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0x01010027415B4991F41841B1A250D659A23981</vt:lpwstr>
  </property>
</Properties>
</file>