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hared\Egnyte Projects\BU 101\500 Estimating\Estimate Templates\BIMrxDBS FAB Estimator\Programming ONLY\"/>
    </mc:Choice>
  </mc:AlternateContent>
  <xr:revisionPtr revIDLastSave="0" documentId="8_{6BB6A230-DDFE-4277-9772-77240BB7A300}" xr6:coauthVersionLast="47" xr6:coauthVersionMax="47" xr10:uidLastSave="{00000000-0000-0000-0000-000000000000}"/>
  <bookViews>
    <workbookView xWindow="-49365" yWindow="-3765" windowWidth="17280" windowHeight="8880" tabRatio="942" activeTab="7" xr2:uid="{00000000-000D-0000-FFFF-FFFF00000000}"/>
  </bookViews>
  <sheets>
    <sheet name="Quote" sheetId="17" r:id="rId1"/>
    <sheet name="PD WORKSHEET" sheetId="18" r:id="rId2"/>
    <sheet name="CSV Table" sheetId="49" state="hidden" r:id="rId3"/>
    <sheet name="Reporting" sheetId="51" state="hidden" r:id="rId4"/>
    <sheet name="BOM PVF" sheetId="53" r:id="rId5"/>
    <sheet name="Cut List" sheetId="41" r:id="rId6"/>
    <sheet name="Cut List LB" sheetId="42" r:id="rId7"/>
    <sheet name="Shop Recap" sheetId="7" r:id="rId8"/>
    <sheet name="Material Handling" sheetId="1" r:id="rId9"/>
    <sheet name="Material Cutting" sheetId="4" r:id="rId10"/>
    <sheet name="Pipe End Prep" sheetId="52" r:id="rId11"/>
    <sheet name="Material Joining" sheetId="6" r:id="rId12"/>
    <sheet name="Hangers &amp; Supports" sheetId="13" r:id="rId13"/>
    <sheet name="Assemblies" sheetId="10" r:id="rId14"/>
  </sheets>
  <functionGroups builtInGroupCount="19"/>
  <definedNames>
    <definedName name="_xleta.GETPIVOTDATA" hidden="1" xlm="1">#NAME?</definedName>
    <definedName name="_xleta.IFERROR" hidden="1" xlm="1">#NAME?</definedName>
    <definedName name="_xleta.LEN" hidden="1" xlm="1">#NAME?</definedName>
    <definedName name="_xleta.MOD" hidden="1" xlm="1">#NAME?</definedName>
    <definedName name="_xleta.PI" hidden="1" xlm="1">#NAME?</definedName>
    <definedName name="_xleta.T" hidden="1" xlm="1">#NAME?</definedName>
    <definedName name="_xleta.TYPE" hidden="1" xlm="1">#NAME?</definedName>
    <definedName name="ExternalData_1" localSheetId="2" hidden="1">'CSV Table'!$A$1:$BQ$136</definedName>
    <definedName name="_xlnm.Print_Area" localSheetId="13">Assemblies!$A$1:$Q$321</definedName>
    <definedName name="_xlnm.Print_Area" localSheetId="12">'Hangers &amp; Supports'!$A$1:$Q$69</definedName>
    <definedName name="_xlnm.Print_Area" localSheetId="9">'Material Cutting'!$A$1:$Q$146</definedName>
    <definedName name="_xlnm.Print_Area" localSheetId="8">'Material Handling'!$A$1:$S$146</definedName>
    <definedName name="_xlnm.Print_Area" localSheetId="11">'Material Joining'!$A$1:$Q$377</definedName>
    <definedName name="_xlnm.Print_Titles" localSheetId="13">Assemblies!$1:$4</definedName>
    <definedName name="_xlnm.Print_Titles" localSheetId="12">'Hangers &amp; Supports'!$1:$4</definedName>
    <definedName name="_xlnm.Print_Titles" localSheetId="9">'Material Cutting'!$1:$4</definedName>
    <definedName name="_xlnm.Print_Titles" localSheetId="8">'Material Handling'!$1:$4</definedName>
    <definedName name="_xlnm.Print_Titles" localSheetId="11">'Material Joining'!$1:$4</definedName>
    <definedName name="_xlnm.Print_Titles" localSheetId="7">'Shop Recap'!$1:$5</definedName>
  </definedNames>
  <calcPr calcId="191029"/>
  <pivotCaches>
    <pivotCache cacheId="22" r:id="rId15"/>
    <pivotCache cacheId="25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J5" i="51" l="1"/>
  <c r="C6" i="7" s="1"/>
  <c r="UJ9" i="51"/>
  <c r="C10" i="7" s="1"/>
  <c r="UJ8" i="51"/>
  <c r="C9" i="7" s="1"/>
  <c r="UJ7" i="51"/>
  <c r="C8" i="7" s="1"/>
  <c r="UJ6" i="51"/>
  <c r="C7" i="7" s="1"/>
  <c r="E97" i="10"/>
  <c r="E98" i="10"/>
  <c r="BP25" i="51"/>
  <c r="BC28" i="51"/>
  <c r="BD24" i="51"/>
  <c r="AC22" i="51"/>
  <c r="AG8" i="51"/>
  <c r="K7" i="51"/>
  <c r="BO11" i="51"/>
  <c r="CB24" i="51"/>
  <c r="BP9" i="51"/>
  <c r="AU13" i="51"/>
  <c r="BD19" i="51"/>
  <c r="AF23" i="51"/>
  <c r="V8" i="51"/>
  <c r="J21" i="51"/>
  <c r="AZ17" i="51"/>
  <c r="BR8" i="51"/>
  <c r="BG18" i="51"/>
  <c r="BB17" i="51"/>
  <c r="AB22" i="51"/>
  <c r="AH28" i="51"/>
  <c r="I29" i="51"/>
  <c r="L19" i="51"/>
  <c r="BS7" i="51"/>
  <c r="BU26" i="51"/>
  <c r="AT12" i="51"/>
  <c r="AW17" i="51"/>
  <c r="AA21" i="51"/>
  <c r="P19" i="51"/>
  <c r="BS17" i="51"/>
  <c r="BZ20" i="51"/>
  <c r="AY24" i="51"/>
  <c r="BC15" i="51"/>
  <c r="AA16" i="51"/>
  <c r="V24" i="51"/>
  <c r="O17" i="51"/>
  <c r="BZ22" i="51"/>
  <c r="BV21" i="51"/>
  <c r="BO21" i="51"/>
  <c r="BH10" i="51"/>
  <c r="BG11" i="51"/>
  <c r="AC11" i="51"/>
  <c r="F27" i="51"/>
  <c r="CC7" i="51"/>
  <c r="CD17" i="51"/>
  <c r="BW17" i="51"/>
  <c r="AR10" i="51"/>
  <c r="BC7" i="51"/>
  <c r="AH7" i="51"/>
  <c r="H29" i="51"/>
  <c r="BV8" i="51"/>
  <c r="BS24" i="51"/>
  <c r="BY9" i="51"/>
  <c r="AU21" i="51"/>
  <c r="AV22" i="51"/>
  <c r="F23" i="51"/>
  <c r="BO25" i="51"/>
  <c r="BE23" i="51"/>
  <c r="BI20" i="51" a="1"/>
  <c r="AA12" i="51"/>
  <c r="S28" i="51"/>
  <c r="S11" i="51"/>
  <c r="BO22" i="51"/>
  <c r="BX29" i="51"/>
  <c r="BV17" i="51"/>
  <c r="AW7" i="51"/>
  <c r="AF28" i="51"/>
  <c r="AE23" i="51"/>
  <c r="N24" i="51"/>
  <c r="J7" i="51"/>
  <c r="CB28" i="51"/>
  <c r="CC14" i="51"/>
  <c r="AR17" i="51"/>
  <c r="BJ11" i="51"/>
  <c r="W14" i="51"/>
  <c r="J19" i="51"/>
  <c r="H24" i="51"/>
  <c r="BZ12" i="51"/>
  <c r="CB27" i="51"/>
  <c r="BT10" i="51"/>
  <c r="AR28" i="51"/>
  <c r="Y26" i="51"/>
  <c r="AA11" i="51"/>
  <c r="BJ17" i="51"/>
  <c r="BN13" i="51"/>
  <c r="P12" i="51"/>
  <c r="X11" i="51"/>
  <c r="BR18" i="51"/>
  <c r="H28" i="51"/>
  <c r="AE12" i="51"/>
  <c r="BC24" i="51"/>
  <c r="P28" i="51"/>
  <c r="G22" i="51"/>
  <c r="L25" i="51"/>
  <c r="M11" i="51"/>
  <c r="AE18" i="51"/>
  <c r="AJ17" i="51"/>
  <c r="AR8" i="51"/>
  <c r="CB11" i="51"/>
  <c r="AN25" i="51"/>
  <c r="CB10" i="51"/>
  <c r="BZ24" i="51"/>
  <c r="Y19" i="51"/>
  <c r="CD10" i="51"/>
  <c r="BK22" i="51"/>
  <c r="BA24" i="51"/>
  <c r="X26" i="51"/>
  <c r="AB10" i="51"/>
  <c r="H14" i="51"/>
  <c r="BS8" i="51"/>
  <c r="BX10" i="51"/>
  <c r="BO17" i="51"/>
  <c r="AR27" i="51"/>
  <c r="BI28" i="51" a="1"/>
  <c r="V21" i="51"/>
  <c r="AG24" i="51"/>
  <c r="I11" i="51"/>
  <c r="BF20" i="51"/>
  <c r="BQ16" i="51"/>
  <c r="AY26" i="51"/>
  <c r="AS28" i="51"/>
  <c r="AG19" i="51"/>
  <c r="AA17" i="51"/>
  <c r="L24" i="51"/>
  <c r="CC13" i="51"/>
  <c r="BX21" i="51"/>
  <c r="AR25" i="51"/>
  <c r="BE17" i="51"/>
  <c r="AE17" i="51"/>
  <c r="Y25" i="51"/>
  <c r="G28" i="51"/>
  <c r="CC22" i="51"/>
  <c r="BY28" i="51"/>
  <c r="BC23" i="51"/>
  <c r="BE12" i="51"/>
  <c r="W15" i="51"/>
  <c r="Z15" i="51"/>
  <c r="M27" i="51"/>
  <c r="BN16" i="51"/>
  <c r="CB19" i="51"/>
  <c r="AN23" i="51"/>
  <c r="AT14" i="51"/>
  <c r="X15" i="51"/>
  <c r="AG22" i="51"/>
  <c r="T26" i="51"/>
  <c r="BK17" i="51"/>
  <c r="CD18" i="51"/>
  <c r="AW22" i="51"/>
  <c r="AR12" i="51"/>
  <c r="AI13" i="51"/>
  <c r="AC21" i="51"/>
  <c r="J27" i="51"/>
  <c r="BZ27" i="51"/>
  <c r="BR15" i="51"/>
  <c r="BO13" i="51"/>
  <c r="AY9" i="51"/>
  <c r="AF12" i="51"/>
  <c r="E27" i="51"/>
  <c r="BO9" i="51"/>
  <c r="BH29" i="51"/>
  <c r="BK23" i="51"/>
  <c r="Y23" i="51"/>
  <c r="F15" i="51"/>
  <c r="AJ28" i="51"/>
  <c r="AR29" i="51"/>
  <c r="BT15" i="51"/>
  <c r="AX15" i="51"/>
  <c r="BA15" i="51"/>
  <c r="V9" i="51"/>
  <c r="AE16" i="51"/>
  <c r="T29" i="51"/>
  <c r="F10" i="51"/>
  <c r="BX14" i="51"/>
  <c r="BS20" i="51"/>
  <c r="AV24" i="51"/>
  <c r="BK13" i="51"/>
  <c r="Y11" i="51"/>
  <c r="Q26" i="51"/>
  <c r="L22" i="51"/>
  <c r="BV13" i="51"/>
  <c r="BX13" i="51"/>
  <c r="BA10" i="51"/>
  <c r="BJ9" i="51"/>
  <c r="AH29" i="51"/>
  <c r="K25" i="51"/>
  <c r="AN15" i="51"/>
  <c r="BD13" i="51"/>
  <c r="G21" i="51"/>
  <c r="I10" i="51"/>
  <c r="CC16" i="51"/>
  <c r="T27" i="51"/>
  <c r="AE27" i="51"/>
  <c r="AT23" i="51"/>
  <c r="S16" i="51"/>
  <c r="AT22" i="51"/>
  <c r="N23" i="51"/>
  <c r="AI25" i="51"/>
  <c r="R28" i="51"/>
  <c r="E10" i="51"/>
  <c r="AN26" i="51"/>
  <c r="AT27" i="51"/>
  <c r="BI7" i="51" a="1"/>
  <c r="BB28" i="51"/>
  <c r="BI26" i="51" a="1"/>
  <c r="BI17" i="51" a="1"/>
  <c r="BK12" i="51"/>
  <c r="W10" i="51"/>
  <c r="BM9" i="51"/>
  <c r="CC18" i="51"/>
  <c r="BA28" i="51"/>
  <c r="BE9" i="51"/>
  <c r="AB23" i="51"/>
  <c r="AB17" i="51"/>
  <c r="H20" i="51"/>
  <c r="BT24" i="51"/>
  <c r="BV9" i="51"/>
  <c r="BV29" i="51"/>
  <c r="BB23" i="51"/>
  <c r="AN17" i="51"/>
  <c r="AH20" i="51"/>
  <c r="P11" i="51"/>
  <c r="L26" i="51"/>
  <c r="BI19" i="51" a="1"/>
  <c r="BX28" i="51"/>
  <c r="BI22" i="51" a="1"/>
  <c r="AW16" i="51"/>
  <c r="X17" i="51"/>
  <c r="P27" i="51"/>
  <c r="K21" i="51"/>
  <c r="BZ15" i="51"/>
  <c r="BT7" i="51"/>
  <c r="AN9" i="51"/>
  <c r="AS16" i="51"/>
  <c r="V20" i="51"/>
  <c r="Y20" i="51"/>
  <c r="I9" i="51"/>
  <c r="AY10" i="51"/>
  <c r="BU14" i="51"/>
  <c r="AU22" i="51"/>
  <c r="BG26" i="51"/>
  <c r="Z17" i="51"/>
  <c r="AJ20" i="51"/>
  <c r="K16" i="51"/>
  <c r="BV25" i="51"/>
  <c r="CA27" i="51"/>
  <c r="BJ29" i="51"/>
  <c r="BA8" i="51"/>
  <c r="AF7" i="51"/>
  <c r="AH12" i="51"/>
  <c r="G8" i="51"/>
  <c r="BC9" i="51"/>
  <c r="CC26" i="51"/>
  <c r="BI27" i="51" a="1"/>
  <c r="AR18" i="51"/>
  <c r="AH24" i="51"/>
  <c r="AI7" i="51"/>
  <c r="L15" i="51"/>
  <c r="BR11" i="51"/>
  <c r="BN18" i="51"/>
  <c r="BD21" i="51"/>
  <c r="BF10" i="51"/>
  <c r="AH8" i="51"/>
  <c r="O14" i="51"/>
  <c r="BW28" i="51"/>
  <c r="BE18" i="51"/>
  <c r="AS12" i="51"/>
  <c r="AI20" i="51"/>
  <c r="N29" i="51"/>
  <c r="G26" i="51"/>
  <c r="AO15" i="51"/>
  <c r="BS23" i="51"/>
  <c r="BG9" i="51"/>
  <c r="AV15" i="51"/>
  <c r="AE29" i="51"/>
  <c r="AG12" i="51"/>
  <c r="E12" i="51"/>
  <c r="AJ16" i="51"/>
  <c r="BQ17" i="51"/>
  <c r="BP29" i="51"/>
  <c r="AZ18" i="51"/>
  <c r="BD14" i="51"/>
  <c r="AC10" i="51"/>
  <c r="O28" i="51"/>
  <c r="O10" i="51"/>
  <c r="CC9" i="51"/>
  <c r="BW21" i="51"/>
  <c r="BK24" i="51"/>
  <c r="BG27" i="51"/>
  <c r="X27" i="51"/>
  <c r="I28" i="51"/>
  <c r="BB29" i="51"/>
  <c r="AO12" i="51"/>
  <c r="J9" i="51"/>
  <c r="O12" i="51"/>
  <c r="BD25" i="51"/>
  <c r="G10" i="51"/>
  <c r="N12" i="51"/>
  <c r="BD16" i="51"/>
  <c r="T9" i="51"/>
  <c r="BB10" i="51"/>
  <c r="J17" i="51"/>
  <c r="AJ9" i="51"/>
  <c r="Q9" i="51"/>
  <c r="AU7" i="51"/>
  <c r="AR7" i="51"/>
  <c r="AA22" i="51"/>
  <c r="AZ16" i="51"/>
  <c r="BR7" i="51"/>
  <c r="BJ24" i="51"/>
  <c r="AY18" i="51"/>
  <c r="AC24" i="51"/>
  <c r="O20" i="51"/>
  <c r="G9" i="51"/>
  <c r="BP10" i="51"/>
  <c r="CC15" i="51"/>
  <c r="BW20" i="51"/>
  <c r="BF11" i="51"/>
  <c r="AY27" i="51"/>
  <c r="AC29" i="51"/>
  <c r="F26" i="51"/>
  <c r="K17" i="51"/>
  <c r="AU18" i="51"/>
  <c r="BY19" i="51"/>
  <c r="AN11" i="51"/>
  <c r="AW25" i="51"/>
  <c r="Z28" i="51"/>
  <c r="T7" i="51"/>
  <c r="L8" i="51"/>
  <c r="AW28" i="51"/>
  <c r="BS15" i="51"/>
  <c r="BF25" i="51"/>
  <c r="AZ27" i="51"/>
  <c r="AC18" i="51"/>
  <c r="V10" i="51"/>
  <c r="J22" i="51"/>
  <c r="AO18" i="51"/>
  <c r="BP24" i="51"/>
  <c r="AZ21" i="51"/>
  <c r="BJ14" i="51"/>
  <c r="V11" i="51"/>
  <c r="G15" i="51"/>
  <c r="R21" i="51"/>
  <c r="AR24" i="51"/>
  <c r="BW13" i="51"/>
  <c r="BC14" i="51"/>
  <c r="AO26" i="51"/>
  <c r="W16" i="51"/>
  <c r="J12" i="51"/>
  <c r="M12" i="51"/>
  <c r="BA18" i="51"/>
  <c r="BY12" i="51"/>
  <c r="BA21" i="51"/>
  <c r="AX25" i="51"/>
  <c r="AH14" i="51"/>
  <c r="J28" i="51"/>
  <c r="M28" i="51"/>
  <c r="CB16" i="51"/>
  <c r="BM26" i="51"/>
  <c r="BG25" i="51"/>
  <c r="AZ10" i="51"/>
  <c r="AE13" i="51"/>
  <c r="BT16" i="51"/>
  <c r="BS14" i="51"/>
  <c r="AN29" i="51"/>
  <c r="AX18" i="51"/>
  <c r="AA18" i="51"/>
  <c r="I24" i="51"/>
  <c r="T20" i="51"/>
  <c r="AZ19" i="51"/>
  <c r="BR23" i="51"/>
  <c r="AY28" i="51"/>
  <c r="BC22" i="51"/>
  <c r="AI9" i="51"/>
  <c r="H21" i="51"/>
  <c r="P21" i="51"/>
  <c r="BS10" i="51"/>
  <c r="BZ28" i="51"/>
  <c r="CD13" i="51"/>
  <c r="BH28" i="51"/>
  <c r="AB27" i="51"/>
  <c r="Y16" i="51"/>
  <c r="G23" i="51"/>
  <c r="L7" i="51"/>
  <c r="BV12" i="51"/>
  <c r="BP16" i="51"/>
  <c r="AN27" i="51"/>
  <c r="BA20" i="51"/>
  <c r="AB7" i="51"/>
  <c r="K29" i="51"/>
  <c r="BG12" i="51"/>
  <c r="AZ8" i="51"/>
  <c r="O23" i="51"/>
  <c r="K23" i="51"/>
  <c r="BI15" i="51" a="1"/>
  <c r="BQ23" i="51"/>
  <c r="T21" i="51"/>
  <c r="CC12" i="51"/>
  <c r="Q29" i="51"/>
  <c r="G12" i="51"/>
  <c r="M26" i="51"/>
  <c r="BF15" i="51"/>
  <c r="E23" i="51"/>
  <c r="M21" i="51"/>
  <c r="AX17" i="51"/>
  <c r="BG8" i="51"/>
  <c r="BH20" i="51"/>
  <c r="BB27" i="51"/>
  <c r="AS18" i="51"/>
  <c r="BS22" i="51"/>
  <c r="AR13" i="51"/>
  <c r="AV7" i="51"/>
  <c r="AF29" i="51"/>
  <c r="O21" i="51"/>
  <c r="I13" i="51"/>
  <c r="BQ9" i="51"/>
  <c r="CB15" i="51"/>
  <c r="BP7" i="51"/>
  <c r="AR15" i="51"/>
  <c r="AR14" i="51"/>
  <c r="AH9" i="51"/>
  <c r="I12" i="51"/>
  <c r="K24" i="51"/>
  <c r="AI29" i="51"/>
  <c r="BX25" i="51"/>
  <c r="AN13" i="51"/>
  <c r="BD10" i="51"/>
  <c r="AE8" i="51"/>
  <c r="J15" i="51"/>
  <c r="R22" i="51"/>
  <c r="BJ7" i="51"/>
  <c r="CD25" i="51"/>
  <c r="AS22" i="51"/>
  <c r="BD15" i="51"/>
  <c r="AF14" i="51"/>
  <c r="E19" i="51"/>
  <c r="G25" i="51"/>
  <c r="AY13" i="51"/>
  <c r="CC17" i="51"/>
  <c r="BD9" i="51"/>
  <c r="AU23" i="51"/>
  <c r="AH25" i="51"/>
  <c r="AJ23" i="51"/>
  <c r="O15" i="51"/>
  <c r="AN8" i="51"/>
  <c r="CB18" i="51"/>
  <c r="BG20" i="51"/>
  <c r="AU14" i="51"/>
  <c r="AC8" i="51"/>
  <c r="R11" i="51"/>
  <c r="H15" i="51"/>
  <c r="AZ11" i="51"/>
  <c r="CD9" i="51"/>
  <c r="AO20" i="51"/>
  <c r="BB13" i="51"/>
  <c r="AA29" i="51"/>
  <c r="R27" i="51"/>
  <c r="T16" i="51"/>
  <c r="BF16" i="51"/>
  <c r="CC10" i="51"/>
  <c r="BI29" i="51" a="1"/>
  <c r="BE24" i="51"/>
  <c r="AF25" i="51"/>
  <c r="AR20" i="51"/>
  <c r="BN21" i="51"/>
  <c r="AT26" i="51"/>
  <c r="AW20" i="51"/>
  <c r="Y7" i="51"/>
  <c r="E26" i="51"/>
  <c r="J14" i="51"/>
  <c r="BK16" i="51"/>
  <c r="CA26" i="51"/>
  <c r="AV17" i="51"/>
  <c r="BG10" i="51"/>
  <c r="W17" i="51"/>
  <c r="Q19" i="51"/>
  <c r="H18" i="51"/>
  <c r="CD26" i="51"/>
  <c r="BV14" i="51"/>
  <c r="AV13" i="51"/>
  <c r="AN12" i="51"/>
  <c r="AG7" i="51"/>
  <c r="AA15" i="51"/>
  <c r="E29" i="51"/>
  <c r="K8" i="51"/>
  <c r="CA17" i="51"/>
  <c r="BM25" i="51"/>
  <c r="AT15" i="51"/>
  <c r="AX9" i="51"/>
  <c r="AI10" i="51"/>
  <c r="N13" i="51"/>
  <c r="BI9" i="51" a="1"/>
  <c r="Z8" i="51"/>
  <c r="AJ11" i="51"/>
  <c r="F9" i="51"/>
  <c r="AT28" i="51"/>
  <c r="AG29" i="51"/>
  <c r="T28" i="51"/>
  <c r="BX26" i="51"/>
  <c r="R23" i="51"/>
  <c r="CC11" i="51"/>
  <c r="E16" i="51"/>
  <c r="P8" i="51"/>
  <c r="Q27" i="51"/>
  <c r="AO29" i="51"/>
  <c r="AG23" i="51"/>
  <c r="BB22" i="51"/>
  <c r="AE28" i="51"/>
  <c r="AX29" i="51"/>
  <c r="BD18" i="51"/>
  <c r="BE8" i="51"/>
  <c r="BE29" i="51"/>
  <c r="BA19" i="51"/>
  <c r="BT28" i="51"/>
  <c r="BE21" i="51"/>
  <c r="BI11" i="51" a="1"/>
  <c r="G24" i="51"/>
  <c r="BY24" i="51"/>
  <c r="X20" i="51"/>
  <c r="BG23" i="51"/>
  <c r="T12" i="51"/>
  <c r="BO8" i="51"/>
  <c r="AV19" i="51"/>
  <c r="BD8" i="51"/>
  <c r="Z12" i="51"/>
  <c r="R14" i="51"/>
  <c r="S9" i="51"/>
  <c r="BR24" i="51"/>
  <c r="BP28" i="51"/>
  <c r="BP23" i="51"/>
  <c r="AT10" i="51"/>
  <c r="AT13" i="51"/>
  <c r="V22" i="51"/>
  <c r="N25" i="51"/>
  <c r="R24" i="51"/>
  <c r="BR27" i="51"/>
  <c r="BR22" i="51"/>
  <c r="BH8" i="51"/>
  <c r="BE25" i="51"/>
  <c r="AC19" i="51"/>
  <c r="L29" i="51"/>
  <c r="I16" i="51"/>
  <c r="BH7" i="51"/>
  <c r="CA18" i="51"/>
  <c r="AW10" i="51"/>
  <c r="BJ23" i="51"/>
  <c r="W27" i="51"/>
  <c r="AJ29" i="51"/>
  <c r="Q21" i="51"/>
  <c r="Y10" i="51"/>
  <c r="CB7" i="51"/>
  <c r="AU10" i="51"/>
  <c r="AS7" i="51"/>
  <c r="AB29" i="51"/>
  <c r="E24" i="51"/>
  <c r="J23" i="51"/>
  <c r="AX27" i="51"/>
  <c r="BM17" i="51"/>
  <c r="BJ8" i="51"/>
  <c r="BI21" i="51" a="1"/>
  <c r="AE24" i="51"/>
  <c r="F17" i="51"/>
  <c r="S14" i="51"/>
  <c r="BD26" i="51"/>
  <c r="BO16" i="51"/>
  <c r="AU8" i="51"/>
  <c r="AZ20" i="51"/>
  <c r="AA23" i="51"/>
  <c r="P29" i="51"/>
  <c r="E14" i="51"/>
  <c r="AW12" i="51"/>
  <c r="BU29" i="51"/>
  <c r="AX19" i="51"/>
  <c r="BI12" i="51" a="1"/>
  <c r="X22" i="51"/>
  <c r="BM29" i="51"/>
  <c r="CD16" i="51"/>
  <c r="BE16" i="51"/>
  <c r="AO28" i="51"/>
  <c r="AC14" i="51"/>
  <c r="R17" i="51"/>
  <c r="S18" i="51"/>
  <c r="BB15" i="51"/>
  <c r="BW12" i="51"/>
  <c r="BJ26" i="51"/>
  <c r="AV16" i="51"/>
  <c r="AB18" i="51"/>
  <c r="AJ19" i="51"/>
  <c r="M29" i="51"/>
  <c r="BO24" i="51"/>
  <c r="BU22" i="51"/>
  <c r="BA12" i="51"/>
  <c r="BF9" i="51"/>
  <c r="AA28" i="51"/>
  <c r="AC17" i="51"/>
  <c r="K15" i="51"/>
  <c r="S23" i="51"/>
  <c r="BR13" i="51"/>
  <c r="CA10" i="51"/>
  <c r="AS24" i="51"/>
  <c r="BH12" i="51"/>
  <c r="V16" i="51"/>
  <c r="F29" i="51"/>
  <c r="Y22" i="51"/>
  <c r="W25" i="51"/>
  <c r="Z22" i="51"/>
  <c r="AX16" i="51"/>
  <c r="AR19" i="51"/>
  <c r="AT29" i="51"/>
  <c r="I27" i="51"/>
  <c r="BA14" i="51"/>
  <c r="P23" i="51"/>
  <c r="BT12" i="51"/>
  <c r="BR19" i="51"/>
  <c r="CD11" i="51"/>
  <c r="E18" i="51"/>
  <c r="O29" i="51"/>
  <c r="AF19" i="51"/>
  <c r="AT9" i="51"/>
  <c r="AC13" i="51"/>
  <c r="BD23" i="51"/>
  <c r="AX22" i="51"/>
  <c r="BH14" i="51"/>
  <c r="K12" i="51"/>
  <c r="BA13" i="51"/>
  <c r="E17" i="51"/>
  <c r="AZ13" i="51"/>
  <c r="W24" i="51"/>
  <c r="Y28" i="51"/>
  <c r="AA8" i="51"/>
  <c r="BN22" i="51"/>
  <c r="W11" i="51"/>
  <c r="Z10" i="51"/>
  <c r="W22" i="51"/>
  <c r="BF26" i="51"/>
  <c r="BV7" i="51"/>
  <c r="AU20" i="51"/>
  <c r="BJ28" i="51"/>
  <c r="V26" i="51"/>
  <c r="V12" i="51"/>
  <c r="CD29" i="51"/>
  <c r="CD24" i="51"/>
  <c r="AX14" i="51"/>
  <c r="AN16" i="51"/>
  <c r="AI26" i="51"/>
  <c r="N22" i="51"/>
  <c r="N9" i="51"/>
  <c r="BN10" i="51"/>
  <c r="BM21" i="51"/>
  <c r="CD8" i="51"/>
  <c r="BK26" i="51"/>
  <c r="AR21" i="51"/>
  <c r="X23" i="51"/>
  <c r="F18" i="51"/>
  <c r="H17" i="51"/>
  <c r="BO20" i="51"/>
  <c r="BN8" i="51"/>
  <c r="AV26" i="51"/>
  <c r="AY20" i="51"/>
  <c r="AI21" i="51"/>
  <c r="G18" i="51"/>
  <c r="T23" i="51"/>
  <c r="AB12" i="51"/>
  <c r="BZ16" i="51"/>
  <c r="BD11" i="51"/>
  <c r="BB8" i="51"/>
  <c r="AA7" i="51"/>
  <c r="N18" i="51"/>
  <c r="N16" i="51"/>
  <c r="CD21" i="51"/>
  <c r="BV20" i="51"/>
  <c r="AO8" i="51"/>
  <c r="BJ15" i="51"/>
  <c r="AH15" i="51"/>
  <c r="P14" i="51"/>
  <c r="R10" i="51"/>
  <c r="AT20" i="51"/>
  <c r="BW25" i="51"/>
  <c r="AS8" i="51"/>
  <c r="BK27" i="51"/>
  <c r="AG25" i="51"/>
  <c r="K9" i="51"/>
  <c r="M13" i="51"/>
  <c r="AO16" i="51"/>
  <c r="CA15" i="51"/>
  <c r="BK28" i="51"/>
  <c r="AT25" i="51"/>
  <c r="Z23" i="51"/>
  <c r="I26" i="51"/>
  <c r="P22" i="51"/>
  <c r="AV23" i="51"/>
  <c r="BQ15" i="51"/>
  <c r="BB7" i="51"/>
  <c r="BG19" i="51"/>
  <c r="AE19" i="51"/>
  <c r="CA14" i="51"/>
  <c r="BM22" i="51"/>
  <c r="AY21" i="51"/>
  <c r="AU16" i="51"/>
  <c r="X18" i="51"/>
  <c r="O8" i="51"/>
  <c r="N11" i="51"/>
  <c r="AW13" i="51"/>
  <c r="BT29" i="51"/>
  <c r="BF22" i="51"/>
  <c r="AZ15" i="51"/>
  <c r="AB13" i="51"/>
  <c r="J13" i="51"/>
  <c r="R26" i="51"/>
  <c r="BT18" i="51"/>
  <c r="BX20" i="51"/>
  <c r="BF27" i="51"/>
  <c r="AT21" i="51"/>
  <c r="AF8" i="51"/>
  <c r="I22" i="51"/>
  <c r="E13" i="51"/>
  <c r="AJ8" i="51"/>
  <c r="CD22" i="51"/>
  <c r="BX27" i="51"/>
  <c r="AU19" i="51"/>
  <c r="AV11" i="51"/>
  <c r="AG9" i="51"/>
  <c r="T15" i="51"/>
  <c r="AB24" i="51"/>
  <c r="V13" i="51"/>
  <c r="AI24" i="51"/>
  <c r="R12" i="51"/>
  <c r="BE10" i="51"/>
  <c r="BO27" i="51"/>
  <c r="Q13" i="51"/>
  <c r="AU26" i="51"/>
  <c r="BP26" i="51"/>
  <c r="BH13" i="51"/>
  <c r="AZ7" i="51"/>
  <c r="BY17" i="51"/>
  <c r="F11" i="51"/>
  <c r="AA14" i="51"/>
  <c r="AI16" i="51"/>
  <c r="AG14" i="51"/>
  <c r="AG10" i="51"/>
  <c r="Q24" i="51"/>
  <c r="W12" i="51"/>
  <c r="BY11" i="51"/>
  <c r="Y17" i="51"/>
  <c r="BQ11" i="51"/>
  <c r="AE9" i="51"/>
  <c r="T8" i="51"/>
  <c r="M24" i="51"/>
  <c r="AO17" i="51"/>
  <c r="AC23" i="51"/>
  <c r="BA9" i="51"/>
  <c r="E15" i="51"/>
  <c r="CB25" i="51"/>
  <c r="BN25" i="51"/>
  <c r="BP18" i="51"/>
  <c r="BM19" i="51"/>
  <c r="S29" i="51"/>
  <c r="AI22" i="51"/>
  <c r="BB12" i="51"/>
  <c r="L20" i="51"/>
  <c r="CA22" i="51"/>
  <c r="BZ10" i="51"/>
  <c r="AX28" i="51"/>
  <c r="BA22" i="51"/>
  <c r="AE25" i="51"/>
  <c r="L11" i="51"/>
  <c r="K28" i="51"/>
  <c r="BM18" i="51"/>
  <c r="CB29" i="51"/>
  <c r="BU28" i="51"/>
  <c r="AS15" i="51"/>
  <c r="BK9" i="51"/>
  <c r="AG26" i="51"/>
  <c r="AJ27" i="51"/>
  <c r="Q15" i="51"/>
  <c r="CD28" i="51"/>
  <c r="BW27" i="51"/>
  <c r="AZ14" i="51"/>
  <c r="AV9" i="51"/>
  <c r="AC25" i="51"/>
  <c r="AJ14" i="51"/>
  <c r="S13" i="51"/>
  <c r="BT26" i="51"/>
  <c r="BT21" i="51"/>
  <c r="AY7" i="51"/>
  <c r="BF18" i="51"/>
  <c r="Z18" i="51"/>
  <c r="M19" i="51"/>
  <c r="E7" i="51"/>
  <c r="BS18" i="51"/>
  <c r="BP21" i="51"/>
  <c r="AT24" i="51"/>
  <c r="AN19" i="51"/>
  <c r="AB19" i="51"/>
  <c r="H8" i="51"/>
  <c r="J24" i="51"/>
  <c r="BX16" i="51"/>
  <c r="BX19" i="51"/>
  <c r="AW15" i="51"/>
  <c r="AX10" i="51"/>
  <c r="AA13" i="51"/>
  <c r="N14" i="51"/>
  <c r="T17" i="51"/>
  <c r="BZ7" i="51"/>
  <c r="BZ18" i="51"/>
  <c r="AS11" i="51"/>
  <c r="AZ29" i="51"/>
  <c r="X12" i="51"/>
  <c r="S10" i="51"/>
  <c r="F14" i="51"/>
  <c r="AS25" i="51"/>
  <c r="BY8" i="51"/>
  <c r="AV28" i="51"/>
  <c r="BF21" i="51"/>
  <c r="AF9" i="51"/>
  <c r="BX23" i="51"/>
  <c r="BQ22" i="51"/>
  <c r="AV10" i="51"/>
  <c r="AW27" i="51"/>
  <c r="AG21" i="51"/>
  <c r="H9" i="51"/>
  <c r="E25" i="51"/>
  <c r="BQ27" i="51"/>
  <c r="BP15" i="51"/>
  <c r="AS29" i="51"/>
  <c r="BE26" i="51"/>
  <c r="AB28" i="51"/>
  <c r="T10" i="51"/>
  <c r="P10" i="51"/>
  <c r="BV27" i="51"/>
  <c r="CC25" i="51"/>
  <c r="BC16" i="51"/>
  <c r="AO10" i="51"/>
  <c r="AE14" i="51"/>
  <c r="O7" i="51"/>
  <c r="J25" i="51"/>
  <c r="N8" i="51"/>
  <c r="BU25" i="51"/>
  <c r="BT13" i="51"/>
  <c r="AS13" i="51"/>
  <c r="AV25" i="51"/>
  <c r="Z29" i="51"/>
  <c r="AJ12" i="51"/>
  <c r="AI11" i="51"/>
  <c r="Q22" i="51"/>
  <c r="I19" i="51"/>
  <c r="AI28" i="51"/>
  <c r="AT11" i="51"/>
  <c r="BX17" i="51"/>
  <c r="BA29" i="51"/>
  <c r="AR26" i="51"/>
  <c r="AO9" i="51"/>
  <c r="AZ23" i="51"/>
  <c r="BE28" i="51"/>
  <c r="AO22" i="51"/>
  <c r="CA12" i="51"/>
  <c r="O26" i="51"/>
  <c r="AB21" i="51"/>
  <c r="N21" i="51"/>
  <c r="AE22" i="51"/>
  <c r="AA27" i="51"/>
  <c r="O19" i="51"/>
  <c r="BI14" i="51" a="1"/>
  <c r="BX24" i="51"/>
  <c r="BB25" i="51"/>
  <c r="G16" i="51"/>
  <c r="BZ23" i="51"/>
  <c r="BW24" i="51"/>
  <c r="G20" i="51"/>
  <c r="AU24" i="51"/>
  <c r="AB8" i="51"/>
  <c r="AH17" i="51"/>
  <c r="BB21" i="51"/>
  <c r="BF17" i="51"/>
  <c r="AV27" i="51"/>
  <c r="AZ12" i="51"/>
  <c r="R8" i="51"/>
  <c r="AG18" i="51"/>
  <c r="AG11" i="51"/>
  <c r="BW14" i="51"/>
  <c r="O13" i="51"/>
  <c r="BH21" i="51"/>
  <c r="BW8" i="51"/>
  <c r="BX8" i="51"/>
  <c r="BB16" i="51"/>
  <c r="AX11" i="51"/>
  <c r="Y29" i="51"/>
  <c r="S25" i="51"/>
  <c r="O16" i="51"/>
  <c r="BW29" i="51"/>
  <c r="BX15" i="51"/>
  <c r="BQ14" i="51"/>
  <c r="BG22" i="51"/>
  <c r="AO21" i="51"/>
  <c r="AF13" i="51"/>
  <c r="S12" i="51"/>
  <c r="I18" i="51"/>
  <c r="BZ14" i="51"/>
  <c r="BS13" i="51"/>
  <c r="AX21" i="51"/>
  <c r="AX20" i="51"/>
  <c r="X29" i="51"/>
  <c r="Q23" i="51"/>
  <c r="J10" i="51"/>
  <c r="BQ19" i="51"/>
  <c r="BV26" i="51"/>
  <c r="BC25" i="51"/>
  <c r="BF19" i="51"/>
  <c r="AF20" i="51"/>
  <c r="E20" i="51"/>
  <c r="I15" i="51"/>
  <c r="BP27" i="51"/>
  <c r="CA25" i="51"/>
  <c r="AO13" i="51"/>
  <c r="AT7" i="51"/>
  <c r="W23" i="51"/>
  <c r="H25" i="51"/>
  <c r="L9" i="51"/>
  <c r="BU17" i="51"/>
  <c r="CD14" i="51"/>
  <c r="BA23" i="51"/>
  <c r="AW18" i="51"/>
  <c r="Y18" i="51"/>
  <c r="R7" i="51"/>
  <c r="AJ24" i="51"/>
  <c r="BW16" i="51"/>
  <c r="BT11" i="51"/>
  <c r="BH22" i="51"/>
  <c r="BD17" i="51"/>
  <c r="V17" i="51"/>
  <c r="I23" i="51"/>
  <c r="K18" i="51"/>
  <c r="CC29" i="51"/>
  <c r="CB17" i="51"/>
  <c r="BJ22" i="51"/>
  <c r="BG28" i="51"/>
  <c r="AG15" i="51"/>
  <c r="BT9" i="51"/>
  <c r="BM8" i="51"/>
  <c r="BF13" i="51"/>
  <c r="AE11" i="51"/>
  <c r="BM13" i="51"/>
  <c r="BM14" i="51"/>
  <c r="AN20" i="51"/>
  <c r="T24" i="51"/>
  <c r="N19" i="51"/>
  <c r="AZ25" i="51"/>
  <c r="AF11" i="51"/>
  <c r="AS27" i="51"/>
  <c r="BG29" i="51"/>
  <c r="BT17" i="51"/>
  <c r="BM16" i="51"/>
  <c r="BI24" i="51" a="1"/>
  <c r="AZ22" i="51"/>
  <c r="AC9" i="51"/>
  <c r="R15" i="51"/>
  <c r="S21" i="51"/>
  <c r="BU21" i="51"/>
  <c r="BU24" i="51"/>
  <c r="BS27" i="51"/>
  <c r="BH24" i="51"/>
  <c r="AY22" i="51"/>
  <c r="AF10" i="51"/>
  <c r="Q25" i="51"/>
  <c r="H19" i="51"/>
  <c r="BW23" i="51"/>
  <c r="CA23" i="51"/>
  <c r="AY23" i="51"/>
  <c r="AN21" i="51"/>
  <c r="AB9" i="51"/>
  <c r="G17" i="51"/>
  <c r="L12" i="51"/>
  <c r="BN28" i="51"/>
  <c r="BY26" i="51"/>
  <c r="BG13" i="51"/>
  <c r="BC8" i="51"/>
  <c r="Z24" i="51"/>
  <c r="AJ15" i="51"/>
  <c r="F7" i="51"/>
  <c r="CD12" i="51"/>
  <c r="BW11" i="51"/>
  <c r="BC18" i="51"/>
  <c r="BK18" i="51"/>
  <c r="AF26" i="51"/>
  <c r="F20" i="51"/>
  <c r="K20" i="51"/>
  <c r="BR26" i="51"/>
  <c r="CC24" i="51"/>
  <c r="AX12" i="51"/>
  <c r="AY29" i="51"/>
  <c r="AH21" i="51"/>
  <c r="N28" i="51"/>
  <c r="L14" i="51"/>
  <c r="BT25" i="51"/>
  <c r="BM24" i="51"/>
  <c r="BE11" i="51"/>
  <c r="BF28" i="51"/>
  <c r="AE20" i="51"/>
  <c r="J16" i="51"/>
  <c r="Q16" i="51"/>
  <c r="BY15" i="51"/>
  <c r="BO29" i="51"/>
  <c r="AR22" i="51"/>
  <c r="BJ16" i="51"/>
  <c r="AA19" i="51"/>
  <c r="BQ18" i="51"/>
  <c r="BP20" i="51"/>
  <c r="BG15" i="51"/>
  <c r="BC10" i="51"/>
  <c r="AE26" i="51"/>
  <c r="K26" i="51"/>
  <c r="BO28" i="51"/>
  <c r="CB21" i="51"/>
  <c r="BU20" i="51"/>
  <c r="AT8" i="51"/>
  <c r="BJ25" i="51"/>
  <c r="AF15" i="51"/>
  <c r="K22" i="51"/>
  <c r="O22" i="51"/>
  <c r="BK29" i="51"/>
  <c r="BV28" i="51"/>
  <c r="BD20" i="51"/>
  <c r="AX13" i="51"/>
  <c r="Y12" i="51"/>
  <c r="H23" i="51"/>
  <c r="H7" i="51"/>
  <c r="BP19" i="51"/>
  <c r="BN20" i="51"/>
  <c r="BY18" i="51"/>
  <c r="BF29" i="51"/>
  <c r="BB24" i="51"/>
  <c r="Y13" i="51"/>
  <c r="BY20" i="51"/>
  <c r="Z11" i="51"/>
  <c r="L23" i="51"/>
  <c r="T22" i="51"/>
  <c r="Z21" i="51"/>
  <c r="W28" i="51"/>
  <c r="BD27" i="51"/>
  <c r="N26" i="51"/>
  <c r="AS23" i="51"/>
  <c r="Q11" i="51"/>
  <c r="BK7" i="51"/>
  <c r="AB20" i="51"/>
  <c r="BK14" i="51"/>
  <c r="BE20" i="51"/>
  <c r="AV20" i="51"/>
  <c r="AJ10" i="51"/>
  <c r="M16" i="51"/>
  <c r="K27" i="51"/>
  <c r="Y9" i="51"/>
  <c r="AH16" i="51"/>
  <c r="G29" i="51"/>
  <c r="BA27" i="51"/>
  <c r="BF7" i="51"/>
  <c r="BG21" i="51"/>
  <c r="P17" i="51"/>
  <c r="BA25" i="51"/>
  <c r="O24" i="51"/>
  <c r="AE15" i="51"/>
  <c r="AC20" i="51"/>
  <c r="AW19" i="51"/>
  <c r="L16" i="51"/>
  <c r="BY14" i="51"/>
  <c r="BT19" i="51"/>
  <c r="Q17" i="51"/>
  <c r="Q18" i="51"/>
  <c r="X28" i="51"/>
  <c r="AA20" i="51"/>
  <c r="AS19" i="51"/>
  <c r="AI15" i="51"/>
  <c r="BQ26" i="51"/>
  <c r="BP13" i="51"/>
  <c r="BC27" i="51"/>
  <c r="BC26" i="51"/>
  <c r="X13" i="51"/>
  <c r="S20" i="51"/>
  <c r="R25" i="51"/>
  <c r="BQ7" i="51"/>
  <c r="BQ10" i="51"/>
  <c r="CD23" i="51"/>
  <c r="BH11" i="51"/>
  <c r="AU15" i="51"/>
  <c r="X21" i="51"/>
  <c r="F25" i="51"/>
  <c r="Z20" i="51"/>
  <c r="BS9" i="51"/>
  <c r="BN23" i="51"/>
  <c r="AX26" i="51"/>
  <c r="BK8" i="51"/>
  <c r="AF18" i="51"/>
  <c r="I21" i="51"/>
  <c r="J8" i="51"/>
  <c r="CB13" i="51"/>
  <c r="BU12" i="51"/>
  <c r="BK19" i="51"/>
  <c r="BE19" i="51"/>
  <c r="AI27" i="51"/>
  <c r="G19" i="51"/>
  <c r="J26" i="51"/>
  <c r="CA21" i="51"/>
  <c r="BY16" i="51"/>
  <c r="AW21" i="51"/>
  <c r="BI16" i="51" a="1"/>
  <c r="V7" i="51"/>
  <c r="O25" i="51"/>
  <c r="G7" i="51"/>
  <c r="BN12" i="51"/>
  <c r="BY10" i="51"/>
  <c r="BA16" i="51"/>
  <c r="AV18" i="51"/>
  <c r="AB25" i="51"/>
  <c r="N17" i="51"/>
  <c r="F28" i="51"/>
  <c r="BP11" i="51"/>
  <c r="CA9" i="51"/>
  <c r="BH15" i="51"/>
  <c r="BC17" i="51"/>
  <c r="Y24" i="51"/>
  <c r="F22" i="51"/>
  <c r="S27" i="51"/>
  <c r="BV24" i="51"/>
  <c r="BO23" i="51"/>
  <c r="BK10" i="51"/>
  <c r="AN28" i="51"/>
  <c r="V23" i="51"/>
  <c r="BU23" i="51"/>
  <c r="BZ17" i="51"/>
  <c r="AS20" i="51"/>
  <c r="BI25" i="51" a="1"/>
  <c r="X25" i="51"/>
  <c r="S26" i="51"/>
  <c r="CA20" i="51"/>
  <c r="BX7" i="51"/>
  <c r="BN7" i="51"/>
  <c r="BJ10" i="51"/>
  <c r="BF12" i="51"/>
  <c r="Z19" i="51"/>
  <c r="Q7" i="51"/>
  <c r="N10" i="51"/>
  <c r="BS26" i="51"/>
  <c r="BR14" i="51"/>
  <c r="AN18" i="51"/>
  <c r="BK25" i="51"/>
  <c r="X16" i="51"/>
  <c r="I17" i="51"/>
  <c r="AJ13" i="51"/>
  <c r="BM28" i="51"/>
  <c r="CC28" i="51"/>
  <c r="CB23" i="51"/>
  <c r="BI8" i="51" a="1"/>
  <c r="AU9" i="51"/>
  <c r="BZ26" i="51"/>
  <c r="H22" i="51"/>
  <c r="Q8" i="51"/>
  <c r="AF24" i="51"/>
  <c r="Z16" i="51"/>
  <c r="V28" i="51"/>
  <c r="AC7" i="51"/>
  <c r="AY11" i="51"/>
  <c r="R13" i="51"/>
  <c r="P15" i="51"/>
  <c r="BO12" i="51"/>
  <c r="G11" i="51"/>
  <c r="S22" i="51"/>
  <c r="W8" i="51"/>
  <c r="S17" i="51"/>
  <c r="I8" i="51"/>
  <c r="F8" i="51"/>
  <c r="E21" i="51"/>
  <c r="BM12" i="51"/>
  <c r="BZ25" i="51"/>
  <c r="BJ13" i="51"/>
  <c r="AZ28" i="51"/>
  <c r="AI8" i="51"/>
  <c r="E8" i="51"/>
  <c r="BN29" i="51"/>
  <c r="BN24" i="51"/>
  <c r="CA11" i="51"/>
  <c r="BZ9" i="51"/>
  <c r="BG24" i="51"/>
  <c r="BC19" i="51"/>
  <c r="AC15" i="51"/>
  <c r="H11" i="51"/>
  <c r="H26" i="51"/>
  <c r="BQ8" i="51"/>
  <c r="CB8" i="51"/>
  <c r="AO24" i="51"/>
  <c r="AT18" i="51"/>
  <c r="Z14" i="51"/>
  <c r="M7" i="51"/>
  <c r="F21" i="51"/>
  <c r="BY22" i="51"/>
  <c r="BQ20" i="51"/>
  <c r="AN22" i="51"/>
  <c r="BJ18" i="51"/>
  <c r="Y8" i="51"/>
  <c r="S7" i="51"/>
  <c r="R9" i="51"/>
  <c r="BW7" i="51"/>
  <c r="BR21" i="51"/>
  <c r="BB14" i="51"/>
  <c r="BD28" i="51"/>
  <c r="Y27" i="51"/>
  <c r="M23" i="51"/>
  <c r="K19" i="51"/>
  <c r="CC20" i="51"/>
  <c r="BQ12" i="51"/>
  <c r="BJ19" i="51"/>
  <c r="BG14" i="51"/>
  <c r="AA26" i="51"/>
  <c r="E22" i="51"/>
  <c r="E28" i="51"/>
  <c r="BM20" i="51"/>
  <c r="CA7" i="51"/>
  <c r="BB18" i="51"/>
  <c r="AO14" i="51"/>
  <c r="AF22" i="51"/>
  <c r="P16" i="51"/>
  <c r="AJ21" i="51"/>
  <c r="BR10" i="51"/>
  <c r="CC8" i="51"/>
  <c r="AY14" i="51"/>
  <c r="AT16" i="51"/>
  <c r="AC16" i="51"/>
  <c r="BZ11" i="51"/>
  <c r="BQ28" i="51"/>
  <c r="AT19" i="51"/>
  <c r="AN14" i="51"/>
  <c r="AE7" i="51"/>
  <c r="N15" i="51"/>
  <c r="BN9" i="51"/>
  <c r="BU16" i="51"/>
  <c r="BP12" i="51"/>
  <c r="BE13" i="51"/>
  <c r="BH18" i="51"/>
  <c r="AH23" i="51"/>
  <c r="R16" i="51"/>
  <c r="X14" i="51"/>
  <c r="BU10" i="51"/>
  <c r="AS14" i="51"/>
  <c r="AH10" i="51"/>
  <c r="CA13" i="51"/>
  <c r="R19" i="51"/>
  <c r="M17" i="51"/>
  <c r="N20" i="51"/>
  <c r="BG17" i="51"/>
  <c r="BO10" i="51"/>
  <c r="BV11" i="51"/>
  <c r="AS26" i="51"/>
  <c r="BK20" i="51"/>
  <c r="V18" i="51"/>
  <c r="J18" i="51"/>
  <c r="CC21" i="51"/>
  <c r="CB9" i="51"/>
  <c r="BV23" i="51"/>
  <c r="BQ29" i="51"/>
  <c r="BJ12" i="51"/>
  <c r="BG7" i="51"/>
  <c r="W9" i="51"/>
  <c r="L27" i="51"/>
  <c r="T19" i="51"/>
  <c r="BX22" i="51"/>
  <c r="BS28" i="51"/>
  <c r="AU12" i="51"/>
  <c r="AO7" i="51"/>
  <c r="Y21" i="51"/>
  <c r="R18" i="51"/>
  <c r="T14" i="51"/>
  <c r="BU8" i="51"/>
  <c r="BP22" i="51"/>
  <c r="AY19" i="51"/>
  <c r="AW29" i="51"/>
  <c r="AG13" i="51"/>
  <c r="O9" i="51"/>
  <c r="O18" i="51"/>
  <c r="BT22" i="51"/>
  <c r="BT27" i="51"/>
  <c r="BE22" i="51"/>
  <c r="BH16" i="51"/>
  <c r="AH11" i="51"/>
  <c r="AJ26" i="51"/>
  <c r="M20" i="51"/>
  <c r="BY29" i="51"/>
  <c r="BT20" i="51"/>
  <c r="AO11" i="51"/>
  <c r="BJ27" i="51"/>
  <c r="AI14" i="51"/>
  <c r="H10" i="51"/>
  <c r="M14" i="51"/>
  <c r="BM27" i="51"/>
  <c r="BV19" i="51"/>
  <c r="AV8" i="51"/>
  <c r="AU27" i="51"/>
  <c r="W29" i="51"/>
  <c r="S19" i="51"/>
  <c r="AB15" i="51"/>
  <c r="BO19" i="51"/>
  <c r="CB22" i="51"/>
  <c r="AS17" i="51"/>
  <c r="BK11" i="51"/>
  <c r="AH27" i="51"/>
  <c r="BR17" i="51"/>
  <c r="BM23" i="51"/>
  <c r="BE7" i="51"/>
  <c r="BG16" i="51"/>
  <c r="Y14" i="51"/>
  <c r="T18" i="51"/>
  <c r="BR16" i="51"/>
  <c r="CC19" i="51"/>
  <c r="CD15" i="51"/>
  <c r="BD29" i="51"/>
  <c r="AZ24" i="51"/>
  <c r="X24" i="51"/>
  <c r="P7" i="51"/>
  <c r="J29" i="51"/>
  <c r="CD20" i="51"/>
  <c r="BW19" i="51"/>
  <c r="BA7" i="51"/>
  <c r="AU25" i="51"/>
  <c r="AB14" i="51"/>
  <c r="K10" i="51"/>
  <c r="R29" i="51"/>
  <c r="BY13" i="51"/>
  <c r="BS16" i="51"/>
  <c r="BP14" i="51"/>
  <c r="AU28" i="51"/>
  <c r="AO23" i="51"/>
  <c r="AF21" i="51"/>
  <c r="BW18" i="51"/>
  <c r="Q28" i="51"/>
  <c r="G27" i="51"/>
  <c r="BU9" i="51"/>
  <c r="I20" i="51"/>
  <c r="M18" i="51"/>
  <c r="BI23" i="51" a="1"/>
  <c r="AI12" i="51"/>
  <c r="AA24" i="51"/>
  <c r="Z26" i="51"/>
  <c r="AG20" i="51"/>
  <c r="V25" i="51"/>
  <c r="BK15" i="51"/>
  <c r="AN10" i="51"/>
  <c r="P20" i="51"/>
  <c r="M25" i="51"/>
  <c r="S8" i="51"/>
  <c r="AR23" i="51"/>
  <c r="L21" i="51"/>
  <c r="BV18" i="51"/>
  <c r="BE15" i="51"/>
  <c r="AI23" i="51"/>
  <c r="BS25" i="51"/>
  <c r="BX9" i="51"/>
  <c r="BA26" i="51"/>
  <c r="W20" i="51"/>
  <c r="T11" i="51"/>
  <c r="BS21" i="51"/>
  <c r="BH25" i="51"/>
  <c r="AB26" i="51"/>
  <c r="L18" i="51"/>
  <c r="BQ13" i="51"/>
  <c r="BI13" i="51" a="1"/>
  <c r="CC27" i="51"/>
  <c r="BD22" i="51"/>
  <c r="J11" i="51"/>
  <c r="BO26" i="51"/>
  <c r="AX24" i="51"/>
  <c r="H16" i="51"/>
  <c r="BP17" i="51"/>
  <c r="BU18" i="51"/>
  <c r="E11" i="51"/>
  <c r="BU15" i="51"/>
  <c r="AH26" i="51"/>
  <c r="BR25" i="51"/>
  <c r="CB14" i="51"/>
  <c r="AW14" i="51"/>
  <c r="AS9" i="51"/>
  <c r="AI18" i="51"/>
  <c r="O11" i="51"/>
  <c r="BY7" i="51"/>
  <c r="BS29" i="51"/>
  <c r="BR9" i="51"/>
  <c r="BM15" i="51"/>
  <c r="AY25" i="51"/>
  <c r="AN7" i="51"/>
  <c r="AH22" i="51"/>
  <c r="T13" i="51"/>
  <c r="G14" i="51"/>
  <c r="BT8" i="51"/>
  <c r="BO14" i="51"/>
  <c r="BF24" i="51"/>
  <c r="AU29" i="51"/>
  <c r="AE21" i="51"/>
  <c r="M15" i="51"/>
  <c r="T25" i="51"/>
  <c r="CB26" i="51"/>
  <c r="CD7" i="51"/>
  <c r="AX23" i="51"/>
  <c r="BA17" i="51"/>
  <c r="W13" i="51"/>
  <c r="I14" i="51"/>
  <c r="AC27" i="51"/>
  <c r="CB20" i="51"/>
  <c r="BW26" i="51"/>
  <c r="BI10" i="51" a="1"/>
  <c r="BJ20" i="51"/>
  <c r="Z27" i="51"/>
  <c r="Q10" i="51"/>
  <c r="S24" i="51"/>
  <c r="BZ19" i="51"/>
  <c r="BR20" i="51"/>
  <c r="BK21" i="51"/>
  <c r="AR16" i="51"/>
  <c r="AE10" i="51"/>
  <c r="AJ22" i="51"/>
  <c r="BY21" i="51"/>
  <c r="BN17" i="51"/>
  <c r="BN14" i="51"/>
  <c r="AV21" i="51"/>
  <c r="AY15" i="51"/>
  <c r="AA9" i="51"/>
  <c r="I25" i="51"/>
  <c r="M22" i="51"/>
  <c r="BQ25" i="51"/>
  <c r="BX18" i="51"/>
  <c r="AV12" i="51"/>
  <c r="BB26" i="51"/>
  <c r="X8" i="51"/>
  <c r="BW22" i="51"/>
  <c r="CA8" i="51"/>
  <c r="BB20" i="51"/>
  <c r="BC21" i="51"/>
  <c r="X10" i="51"/>
  <c r="M10" i="51"/>
  <c r="BQ24" i="51"/>
  <c r="BZ29" i="51"/>
  <c r="BS19" i="51"/>
  <c r="BH17" i="51"/>
  <c r="BD12" i="51"/>
  <c r="V19" i="51"/>
  <c r="L10" i="51"/>
  <c r="M8" i="51"/>
  <c r="CA29" i="51"/>
  <c r="BR28" i="51"/>
  <c r="BB9" i="51"/>
  <c r="AW11" i="51"/>
  <c r="W18" i="51"/>
  <c r="H27" i="51"/>
  <c r="P25" i="51"/>
  <c r="BN27" i="51"/>
  <c r="CD27" i="51"/>
  <c r="BS11" i="51"/>
  <c r="AY16" i="51"/>
  <c r="AU11" i="51"/>
  <c r="AA10" i="51"/>
  <c r="BY23" i="51"/>
  <c r="AJ25" i="51"/>
  <c r="N27" i="51"/>
  <c r="AW26" i="51"/>
  <c r="Z7" i="51"/>
  <c r="L28" i="51"/>
  <c r="BH9" i="51"/>
  <c r="M9" i="51"/>
  <c r="W26" i="51"/>
  <c r="Q14" i="51"/>
  <c r="Z13" i="51"/>
  <c r="AR11" i="51"/>
  <c r="W7" i="51"/>
  <c r="BH23" i="51"/>
  <c r="BN26" i="51"/>
  <c r="V14" i="51"/>
  <c r="CA19" i="51"/>
  <c r="AG27" i="51"/>
  <c r="AC26" i="51"/>
  <c r="P13" i="51"/>
  <c r="BM11" i="51"/>
  <c r="AW24" i="51"/>
  <c r="H13" i="51"/>
  <c r="BT23" i="51"/>
  <c r="AS21" i="51"/>
  <c r="AF27" i="51"/>
  <c r="BV22" i="51"/>
  <c r="AH18" i="51"/>
  <c r="Q12" i="51"/>
  <c r="AN24" i="51"/>
  <c r="BA11" i="51"/>
  <c r="P9" i="51"/>
  <c r="BU11" i="51"/>
  <c r="AO25" i="51"/>
  <c r="BO7" i="51"/>
  <c r="BJ21" i="51"/>
  <c r="AF16" i="51"/>
  <c r="CC23" i="51"/>
  <c r="AW9" i="51"/>
  <c r="BM7" i="51"/>
  <c r="BO18" i="51"/>
  <c r="E9" i="51"/>
  <c r="BH19" i="51"/>
  <c r="AT17" i="51"/>
  <c r="BN11" i="51"/>
  <c r="CA16" i="51"/>
  <c r="BH26" i="51"/>
  <c r="AR9" i="51"/>
  <c r="Z25" i="51"/>
  <c r="R20" i="51"/>
  <c r="BV16" i="51"/>
  <c r="BO15" i="51"/>
  <c r="BU7" i="51"/>
  <c r="BR12" i="51"/>
  <c r="AV14" i="51"/>
  <c r="BD7" i="51"/>
  <c r="X9" i="51"/>
  <c r="L13" i="51"/>
  <c r="BP8" i="51"/>
  <c r="BM10" i="51"/>
  <c r="BZ8" i="51"/>
  <c r="BC13" i="51"/>
  <c r="AO27" i="51"/>
  <c r="AG28" i="51"/>
  <c r="K14" i="51"/>
  <c r="H12" i="51"/>
  <c r="BZ21" i="51"/>
  <c r="BU27" i="51"/>
  <c r="BB11" i="51"/>
  <c r="BF23" i="51"/>
  <c r="AH13" i="51"/>
  <c r="O27" i="51"/>
  <c r="J20" i="51"/>
  <c r="CA28" i="51"/>
  <c r="BS12" i="51"/>
  <c r="AW23" i="51"/>
  <c r="AZ26" i="51"/>
  <c r="X19" i="51"/>
  <c r="F12" i="51"/>
  <c r="I7" i="51"/>
  <c r="CD19" i="51"/>
  <c r="BY25" i="51"/>
  <c r="AS10" i="51"/>
  <c r="BB19" i="51"/>
  <c r="AI19" i="51"/>
  <c r="F19" i="51"/>
  <c r="BY27" i="51"/>
  <c r="BN19" i="51"/>
  <c r="CA24" i="51"/>
  <c r="AZ9" i="51"/>
  <c r="BI18" i="51" a="1"/>
  <c r="V15" i="51"/>
  <c r="P18" i="51"/>
  <c r="N7" i="51"/>
  <c r="BT14" i="51"/>
  <c r="BV10" i="51"/>
  <c r="BC20" i="51"/>
  <c r="BF14" i="51"/>
  <c r="AC12" i="51"/>
  <c r="BX12" i="51"/>
  <c r="BW9" i="51"/>
  <c r="BF8" i="51"/>
  <c r="AB11" i="51"/>
  <c r="W19" i="51"/>
  <c r="L17" i="51"/>
  <c r="BU13" i="51"/>
  <c r="BV15" i="51"/>
  <c r="BQ21" i="51"/>
  <c r="AW8" i="51"/>
  <c r="BE14" i="51"/>
  <c r="AH19" i="51"/>
  <c r="F24" i="51"/>
  <c r="K13" i="51"/>
  <c r="BW15" i="51"/>
  <c r="BR29" i="51"/>
  <c r="BC11" i="51"/>
  <c r="AX8" i="51"/>
  <c r="AF17" i="51"/>
  <c r="K11" i="51"/>
  <c r="V29" i="51"/>
  <c r="CB12" i="51"/>
  <c r="BZ13" i="51"/>
  <c r="BU19" i="51"/>
  <c r="BC29" i="51"/>
  <c r="BC12" i="51"/>
  <c r="Z9" i="51"/>
  <c r="BX11" i="51"/>
  <c r="P24" i="51"/>
  <c r="AY12" i="51"/>
  <c r="AU17" i="51"/>
  <c r="BE27" i="51"/>
  <c r="AJ18" i="51"/>
  <c r="V27" i="51"/>
  <c r="G13" i="51"/>
  <c r="AG17" i="51"/>
  <c r="F16" i="51"/>
  <c r="AA25" i="51"/>
  <c r="S15" i="51"/>
  <c r="X7" i="51"/>
  <c r="AG16" i="51"/>
  <c r="AV29" i="51"/>
  <c r="Y15" i="51"/>
  <c r="AY8" i="51"/>
  <c r="F13" i="51"/>
  <c r="AO19" i="51"/>
  <c r="AB16" i="51"/>
  <c r="AI17" i="51"/>
  <c r="BW10" i="51"/>
  <c r="P26" i="51"/>
  <c r="AX7" i="51"/>
  <c r="W21" i="51"/>
  <c r="AY17" i="51"/>
  <c r="BN15" i="51"/>
  <c r="Q20" i="51"/>
  <c r="BH27" i="51"/>
  <c r="AC28" i="51"/>
  <c r="A37" i="1" l="1"/>
  <c r="B72" i="1"/>
  <c r="BI7" i="51"/>
  <c r="B118" i="1"/>
  <c r="B16" i="1"/>
  <c r="BI17" i="51"/>
  <c r="B24" i="1"/>
  <c r="B17" i="1"/>
  <c r="B21" i="1"/>
  <c r="BI26" i="51"/>
  <c r="A10" i="1"/>
  <c r="A35" i="1"/>
  <c r="A18" i="1"/>
  <c r="A22" i="1"/>
  <c r="B65" i="1"/>
  <c r="B11" i="1"/>
  <c r="B125" i="1"/>
  <c r="B127" i="1"/>
  <c r="A16" i="1"/>
  <c r="B25" i="1"/>
  <c r="A95" i="1"/>
  <c r="BI11" i="51"/>
  <c r="A53" i="1"/>
  <c r="A40" i="1"/>
  <c r="B79" i="1"/>
  <c r="B83" i="1"/>
  <c r="B77" i="1"/>
  <c r="B126" i="1"/>
  <c r="B105" i="1"/>
  <c r="A112" i="1"/>
  <c r="A54" i="1"/>
  <c r="B9" i="1"/>
  <c r="A15" i="1"/>
  <c r="B23" i="1"/>
  <c r="B36" i="1"/>
  <c r="BI23" i="51"/>
  <c r="A51" i="1"/>
  <c r="B54" i="1"/>
  <c r="B18" i="1"/>
  <c r="BI15" i="51"/>
  <c r="A85" i="1"/>
  <c r="B91" i="1"/>
  <c r="A33" i="1"/>
  <c r="B53" i="1"/>
  <c r="B82" i="1"/>
  <c r="A84" i="1"/>
  <c r="B69" i="1"/>
  <c r="B97" i="1"/>
  <c r="B86" i="1"/>
  <c r="A21" i="1"/>
  <c r="BI9" i="51"/>
  <c r="B107" i="1"/>
  <c r="B37" i="1"/>
  <c r="BI8" i="51"/>
  <c r="A17" i="1"/>
  <c r="B32" i="1"/>
  <c r="A118" i="1"/>
  <c r="B51" i="1"/>
  <c r="B85" i="1"/>
  <c r="A52" i="1"/>
  <c r="A64" i="1"/>
  <c r="B43" i="1"/>
  <c r="A13" i="1"/>
  <c r="A125" i="1"/>
  <c r="A97" i="1"/>
  <c r="A9" i="1"/>
  <c r="A121" i="1"/>
  <c r="A120" i="1"/>
  <c r="A108" i="1"/>
  <c r="A82" i="1"/>
  <c r="A57" i="1"/>
  <c r="B48" i="1"/>
  <c r="A86" i="1"/>
  <c r="A34" i="1"/>
  <c r="A123" i="1"/>
  <c r="B8" i="1"/>
  <c r="B34" i="1"/>
  <c r="B67" i="1"/>
  <c r="A12" i="1"/>
  <c r="A11" i="1"/>
  <c r="B64" i="1"/>
  <c r="B94" i="1"/>
  <c r="A122" i="1"/>
  <c r="B84" i="1"/>
  <c r="BI14" i="51"/>
  <c r="A24" i="1"/>
  <c r="B35" i="1"/>
  <c r="B128" i="1"/>
  <c r="A92" i="1"/>
  <c r="B112" i="1"/>
  <c r="B121" i="1"/>
  <c r="A32" i="1"/>
  <c r="A109" i="1"/>
  <c r="B10" i="1"/>
  <c r="B110" i="1"/>
  <c r="B39" i="1"/>
  <c r="A66" i="1"/>
  <c r="B49" i="1"/>
  <c r="B95" i="1"/>
  <c r="A25" i="1"/>
  <c r="A39" i="1"/>
  <c r="BI25" i="51"/>
  <c r="BI20" i="51"/>
  <c r="B55" i="1"/>
  <c r="A26" i="1"/>
  <c r="BI12" i="51"/>
  <c r="BI29" i="51"/>
  <c r="B31" i="1"/>
  <c r="B81" i="1"/>
  <c r="A128" i="1"/>
  <c r="A38" i="1"/>
  <c r="A14" i="1"/>
  <c r="B108" i="1"/>
  <c r="A107" i="1"/>
  <c r="B129" i="1"/>
  <c r="A94" i="1"/>
  <c r="B120" i="1"/>
  <c r="BI18" i="51"/>
  <c r="BI27" i="51"/>
  <c r="B14" i="1"/>
  <c r="A106" i="1"/>
  <c r="B109" i="1"/>
  <c r="B13" i="1"/>
  <c r="B124" i="1"/>
  <c r="A72" i="1"/>
  <c r="B12" i="1"/>
  <c r="A49" i="1"/>
  <c r="A43" i="1"/>
  <c r="A67" i="1"/>
  <c r="B41" i="1"/>
  <c r="B38" i="1"/>
  <c r="A119" i="1"/>
  <c r="A41" i="1"/>
  <c r="A91" i="1"/>
  <c r="BI21" i="51"/>
  <c r="B66" i="1"/>
  <c r="B20" i="1"/>
  <c r="A129" i="1"/>
  <c r="A48" i="1"/>
  <c r="A130" i="1"/>
  <c r="B56" i="1"/>
  <c r="A126" i="1"/>
  <c r="B26" i="1"/>
  <c r="B58" i="1"/>
  <c r="A36" i="1"/>
  <c r="B22" i="1"/>
  <c r="A65" i="1"/>
  <c r="B71" i="1"/>
  <c r="A23" i="1"/>
  <c r="A56" i="1"/>
  <c r="BI13" i="51"/>
  <c r="BI16" i="51"/>
  <c r="BI10" i="51"/>
  <c r="A98" i="1"/>
  <c r="B59" i="1"/>
  <c r="A31" i="1"/>
  <c r="A80" i="1"/>
  <c r="A7" i="1"/>
  <c r="B40" i="1"/>
  <c r="A99" i="1"/>
  <c r="A79" i="1"/>
  <c r="B50" i="1"/>
  <c r="B117" i="1"/>
  <c r="A20" i="1"/>
  <c r="B19" i="1"/>
  <c r="B42" i="1"/>
  <c r="A19" i="1"/>
  <c r="A111" i="1"/>
  <c r="B78" i="1"/>
  <c r="A69" i="1"/>
  <c r="B106" i="1"/>
  <c r="A105" i="1"/>
  <c r="B123" i="1"/>
  <c r="A81" i="1"/>
  <c r="B99" i="1"/>
  <c r="A131" i="1"/>
  <c r="A110" i="1"/>
  <c r="A124" i="1"/>
  <c r="B15" i="1"/>
  <c r="B96" i="1"/>
  <c r="B7" i="1"/>
  <c r="A58" i="1"/>
  <c r="A59" i="1"/>
  <c r="A93" i="1"/>
  <c r="BI22" i="51"/>
  <c r="BI19" i="51"/>
  <c r="A55" i="1"/>
  <c r="B111" i="1"/>
  <c r="A83" i="1"/>
  <c r="B80" i="1"/>
  <c r="A127" i="1"/>
  <c r="A77" i="1"/>
  <c r="B104" i="1"/>
  <c r="A68" i="1"/>
  <c r="B122" i="1"/>
  <c r="A42" i="1"/>
  <c r="A78" i="1"/>
  <c r="B68" i="1"/>
  <c r="BI28" i="51"/>
  <c r="B131" i="1"/>
  <c r="B57" i="1"/>
  <c r="B33" i="1"/>
  <c r="B119" i="1"/>
  <c r="A50" i="1"/>
  <c r="A71" i="1"/>
  <c r="A117" i="1"/>
  <c r="A70" i="1"/>
  <c r="B98" i="1"/>
  <c r="B52" i="1"/>
  <c r="A96" i="1"/>
  <c r="A8" i="1"/>
  <c r="B130" i="1"/>
  <c r="B93" i="1"/>
  <c r="A104" i="1"/>
  <c r="B92" i="1"/>
  <c r="BI24" i="51"/>
  <c r="B70" i="1"/>
  <c r="A97" i="52"/>
  <c r="A98" i="52"/>
  <c r="A99" i="52"/>
  <c r="A100" i="52"/>
  <c r="A101" i="52"/>
  <c r="A96" i="52"/>
  <c r="H116" i="52"/>
  <c r="M116" i="52" s="1"/>
  <c r="O116" i="52" s="1"/>
  <c r="P116" i="52" s="1"/>
  <c r="Q116" i="52" s="1"/>
  <c r="E116" i="52"/>
  <c r="F116" i="52" s="1"/>
  <c r="G116" i="52" s="1"/>
  <c r="H115" i="52"/>
  <c r="E115" i="52"/>
  <c r="F115" i="52" s="1"/>
  <c r="G115" i="52" s="1"/>
  <c r="H114" i="52"/>
  <c r="J114" i="52" s="1"/>
  <c r="K114" i="52" s="1"/>
  <c r="L114" i="52" s="1"/>
  <c r="E114" i="52"/>
  <c r="F114" i="52" s="1"/>
  <c r="G114" i="52" s="1"/>
  <c r="H113" i="52"/>
  <c r="M113" i="52" s="1"/>
  <c r="O113" i="52" s="1"/>
  <c r="P113" i="52" s="1"/>
  <c r="Q113" i="52" s="1"/>
  <c r="E113" i="52"/>
  <c r="F113" i="52" s="1"/>
  <c r="G113" i="52" s="1"/>
  <c r="H112" i="52"/>
  <c r="M112" i="52" s="1"/>
  <c r="O112" i="52" s="1"/>
  <c r="P112" i="52" s="1"/>
  <c r="Q112" i="52" s="1"/>
  <c r="E112" i="52"/>
  <c r="F112" i="52" s="1"/>
  <c r="G112" i="52" s="1"/>
  <c r="H111" i="52"/>
  <c r="M111" i="52" s="1"/>
  <c r="O111" i="52" s="1"/>
  <c r="P111" i="52" s="1"/>
  <c r="Q111" i="52" s="1"/>
  <c r="E111" i="52"/>
  <c r="F111" i="52" s="1"/>
  <c r="G111" i="52" s="1"/>
  <c r="H110" i="52"/>
  <c r="E110" i="52"/>
  <c r="F110" i="52" s="1"/>
  <c r="G110" i="52" s="1"/>
  <c r="H109" i="52"/>
  <c r="J109" i="52" s="1"/>
  <c r="K109" i="52" s="1"/>
  <c r="L109" i="52" s="1"/>
  <c r="E109" i="52"/>
  <c r="F109" i="52" s="1"/>
  <c r="G109" i="52" s="1"/>
  <c r="H108" i="52"/>
  <c r="M108" i="52" s="1"/>
  <c r="O108" i="52" s="1"/>
  <c r="P108" i="52" s="1"/>
  <c r="Q108" i="52" s="1"/>
  <c r="E108" i="52"/>
  <c r="F108" i="52" s="1"/>
  <c r="G108" i="52" s="1"/>
  <c r="H107" i="52"/>
  <c r="J107" i="52" s="1"/>
  <c r="K107" i="52" s="1"/>
  <c r="L107" i="52" s="1"/>
  <c r="E107" i="52"/>
  <c r="F107" i="52" s="1"/>
  <c r="G107" i="52" s="1"/>
  <c r="H106" i="52"/>
  <c r="J106" i="52" s="1"/>
  <c r="K106" i="52" s="1"/>
  <c r="L106" i="52" s="1"/>
  <c r="E106" i="52"/>
  <c r="F106" i="52" s="1"/>
  <c r="G106" i="52" s="1"/>
  <c r="H101" i="52"/>
  <c r="J101" i="52" s="1"/>
  <c r="E101" i="52"/>
  <c r="H100" i="52"/>
  <c r="M100" i="52" s="1"/>
  <c r="O100" i="52" s="1"/>
  <c r="E100" i="52"/>
  <c r="H99" i="52"/>
  <c r="M99" i="52" s="1"/>
  <c r="O99" i="52" s="1"/>
  <c r="E99" i="52"/>
  <c r="H98" i="52"/>
  <c r="E98" i="52"/>
  <c r="H97" i="52"/>
  <c r="J97" i="52" s="1"/>
  <c r="E97" i="52"/>
  <c r="H96" i="52"/>
  <c r="J96" i="52" s="1"/>
  <c r="E96" i="52"/>
  <c r="C91" i="52"/>
  <c r="H91" i="52" s="1"/>
  <c r="C90" i="52"/>
  <c r="H90" i="52" s="1"/>
  <c r="M90" i="52" s="1"/>
  <c r="O90" i="52" s="1"/>
  <c r="C89" i="52"/>
  <c r="E89" i="52" s="1"/>
  <c r="C88" i="52"/>
  <c r="E88" i="52" s="1"/>
  <c r="C87" i="52"/>
  <c r="E87" i="52" s="1"/>
  <c r="C86" i="52"/>
  <c r="H86" i="52" s="1"/>
  <c r="C85" i="52"/>
  <c r="H85" i="52" s="1"/>
  <c r="C84" i="52"/>
  <c r="C83" i="52"/>
  <c r="H83" i="52" s="1"/>
  <c r="M83" i="52" s="1"/>
  <c r="O83" i="52" s="1"/>
  <c r="H78" i="52"/>
  <c r="E78" i="52"/>
  <c r="H77" i="52"/>
  <c r="J77" i="52" s="1"/>
  <c r="E77" i="52"/>
  <c r="H76" i="52"/>
  <c r="M76" i="52" s="1"/>
  <c r="O76" i="52" s="1"/>
  <c r="E76" i="52"/>
  <c r="H75" i="52"/>
  <c r="E75" i="52"/>
  <c r="H74" i="52"/>
  <c r="J74" i="52" s="1"/>
  <c r="E74" i="52"/>
  <c r="H73" i="52"/>
  <c r="J73" i="52" s="1"/>
  <c r="E73" i="52"/>
  <c r="H72" i="52"/>
  <c r="M72" i="52" s="1"/>
  <c r="O72" i="52" s="1"/>
  <c r="E72" i="52"/>
  <c r="H71" i="52"/>
  <c r="E71" i="52"/>
  <c r="H70" i="52"/>
  <c r="J70" i="52" s="1"/>
  <c r="E70" i="52"/>
  <c r="H65" i="52"/>
  <c r="E65" i="52"/>
  <c r="H64" i="52"/>
  <c r="J64" i="52" s="1"/>
  <c r="E64" i="52"/>
  <c r="H63" i="52"/>
  <c r="M63" i="52" s="1"/>
  <c r="O63" i="52" s="1"/>
  <c r="E63" i="52"/>
  <c r="H62" i="52"/>
  <c r="E62" i="52"/>
  <c r="H61" i="52"/>
  <c r="J61" i="52" s="1"/>
  <c r="E61" i="52"/>
  <c r="H60" i="52"/>
  <c r="J60" i="52" s="1"/>
  <c r="E60" i="52"/>
  <c r="H59" i="52"/>
  <c r="M59" i="52" s="1"/>
  <c r="O59" i="52" s="1"/>
  <c r="E59" i="52"/>
  <c r="H58" i="52"/>
  <c r="E58" i="52"/>
  <c r="H57" i="52"/>
  <c r="J57" i="52" s="1"/>
  <c r="E57" i="52"/>
  <c r="H56" i="52"/>
  <c r="M56" i="52" s="1"/>
  <c r="O56" i="52" s="1"/>
  <c r="E56" i="52"/>
  <c r="H55" i="52"/>
  <c r="E55" i="52"/>
  <c r="H50" i="52"/>
  <c r="M50" i="52" s="1"/>
  <c r="O50" i="52" s="1"/>
  <c r="E50" i="52"/>
  <c r="H49" i="52"/>
  <c r="J49" i="52" s="1"/>
  <c r="E49" i="52"/>
  <c r="H48" i="52"/>
  <c r="M48" i="52" s="1"/>
  <c r="O48" i="52" s="1"/>
  <c r="E48" i="52"/>
  <c r="H47" i="52"/>
  <c r="M47" i="52" s="1"/>
  <c r="O47" i="52" s="1"/>
  <c r="E47" i="52"/>
  <c r="H46" i="52"/>
  <c r="M46" i="52" s="1"/>
  <c r="O46" i="52" s="1"/>
  <c r="E46" i="52"/>
  <c r="H45" i="52"/>
  <c r="M45" i="52" s="1"/>
  <c r="O45" i="52" s="1"/>
  <c r="E45" i="52"/>
  <c r="H44" i="52"/>
  <c r="M44" i="52" s="1"/>
  <c r="O44" i="52" s="1"/>
  <c r="E44" i="52"/>
  <c r="H43" i="52"/>
  <c r="M43" i="52" s="1"/>
  <c r="O43" i="52" s="1"/>
  <c r="E43" i="52"/>
  <c r="H42" i="52"/>
  <c r="J42" i="52" s="1"/>
  <c r="E42" i="52"/>
  <c r="H37" i="52"/>
  <c r="M37" i="52" s="1"/>
  <c r="O37" i="52" s="1"/>
  <c r="E37" i="52"/>
  <c r="H36" i="52"/>
  <c r="J36" i="52" s="1"/>
  <c r="E36" i="52"/>
  <c r="H35" i="52"/>
  <c r="M35" i="52" s="1"/>
  <c r="O35" i="52" s="1"/>
  <c r="E35" i="52"/>
  <c r="H34" i="52"/>
  <c r="M34" i="52" s="1"/>
  <c r="O34" i="52" s="1"/>
  <c r="E34" i="52"/>
  <c r="H33" i="52"/>
  <c r="J33" i="52" s="1"/>
  <c r="E33" i="52"/>
  <c r="H32" i="52"/>
  <c r="J32" i="52" s="1"/>
  <c r="E32" i="52"/>
  <c r="H31" i="52"/>
  <c r="M31" i="52" s="1"/>
  <c r="O31" i="52" s="1"/>
  <c r="E31" i="52"/>
  <c r="H30" i="52"/>
  <c r="M30" i="52" s="1"/>
  <c r="O30" i="52" s="1"/>
  <c r="E30" i="52"/>
  <c r="H29" i="52"/>
  <c r="J29" i="52" s="1"/>
  <c r="E29" i="52"/>
  <c r="H28" i="52"/>
  <c r="M28" i="52" s="1"/>
  <c r="O28" i="52" s="1"/>
  <c r="E28" i="52"/>
  <c r="H27" i="52"/>
  <c r="M27" i="52" s="1"/>
  <c r="O27" i="52" s="1"/>
  <c r="E27" i="52"/>
  <c r="H22" i="52"/>
  <c r="M22" i="52" s="1"/>
  <c r="O22" i="52" s="1"/>
  <c r="E22" i="52"/>
  <c r="H21" i="52"/>
  <c r="M21" i="52" s="1"/>
  <c r="O21" i="52" s="1"/>
  <c r="E21" i="52"/>
  <c r="H20" i="52"/>
  <c r="J20" i="52" s="1"/>
  <c r="E20" i="52"/>
  <c r="H19" i="52"/>
  <c r="J19" i="52" s="1"/>
  <c r="E19" i="52"/>
  <c r="H18" i="52"/>
  <c r="M18" i="52" s="1"/>
  <c r="O18" i="52" s="1"/>
  <c r="E18" i="52"/>
  <c r="H17" i="52"/>
  <c r="E17" i="52"/>
  <c r="H16" i="52"/>
  <c r="M16" i="52" s="1"/>
  <c r="O16" i="52" s="1"/>
  <c r="E16" i="52"/>
  <c r="H15" i="52"/>
  <c r="M15" i="52" s="1"/>
  <c r="O15" i="52" s="1"/>
  <c r="E15" i="52"/>
  <c r="H14" i="52"/>
  <c r="M14" i="52" s="1"/>
  <c r="O14" i="52" s="1"/>
  <c r="E14" i="52"/>
  <c r="H13" i="52"/>
  <c r="J13" i="52" s="1"/>
  <c r="E13" i="52"/>
  <c r="H12" i="52"/>
  <c r="J12" i="52" s="1"/>
  <c r="E12" i="52"/>
  <c r="H11" i="52"/>
  <c r="J11" i="52" s="1"/>
  <c r="E11" i="52"/>
  <c r="H10" i="52"/>
  <c r="E10" i="52"/>
  <c r="H9" i="52"/>
  <c r="J9" i="52" s="1"/>
  <c r="E9" i="52"/>
  <c r="H8" i="52"/>
  <c r="M8" i="52" s="1"/>
  <c r="O8" i="52" s="1"/>
  <c r="E8" i="52"/>
  <c r="H7" i="52"/>
  <c r="M7" i="52" s="1"/>
  <c r="O7" i="52" s="1"/>
  <c r="E7" i="52"/>
  <c r="AP12" i="51"/>
  <c r="AP21" i="51"/>
  <c r="AP23" i="51"/>
  <c r="AQ11" i="51"/>
  <c r="AP19" i="51"/>
  <c r="AQ22" i="51"/>
  <c r="AQ7" i="51"/>
  <c r="AP24" i="51"/>
  <c r="AP16" i="51"/>
  <c r="AQ21" i="51"/>
  <c r="AP8" i="51"/>
  <c r="AQ12" i="51"/>
  <c r="AQ18" i="51"/>
  <c r="AP17" i="51"/>
  <c r="AP14" i="51"/>
  <c r="AP11" i="51"/>
  <c r="AP18" i="51"/>
  <c r="AQ14" i="51"/>
  <c r="AP7" i="51"/>
  <c r="AP27" i="51"/>
  <c r="AQ13" i="51"/>
  <c r="AQ10" i="51"/>
  <c r="AP9" i="51"/>
  <c r="AQ9" i="51"/>
  <c r="AQ17" i="51"/>
  <c r="AQ15" i="51"/>
  <c r="AP28" i="51"/>
  <c r="AQ20" i="51"/>
  <c r="AQ24" i="51"/>
  <c r="AP25" i="51"/>
  <c r="AQ29" i="51"/>
  <c r="AQ23" i="51"/>
  <c r="AP13" i="51"/>
  <c r="AP20" i="51"/>
  <c r="AQ26" i="51"/>
  <c r="AP10" i="51"/>
  <c r="AQ28" i="51"/>
  <c r="AQ19" i="51"/>
  <c r="AP26" i="51"/>
  <c r="AQ8" i="51"/>
  <c r="AQ25" i="51"/>
  <c r="AQ16" i="51"/>
  <c r="AP15" i="51"/>
  <c r="AQ27" i="51"/>
  <c r="AP29" i="51"/>
  <c r="AP22" i="51"/>
  <c r="F101" i="52" l="1"/>
  <c r="G101" i="52" s="1"/>
  <c r="M29" i="52"/>
  <c r="O29" i="52" s="1"/>
  <c r="E86" i="52"/>
  <c r="J112" i="52"/>
  <c r="K112" i="52" s="1"/>
  <c r="L112" i="52" s="1"/>
  <c r="M19" i="52"/>
  <c r="O19" i="52" s="1"/>
  <c r="J34" i="52"/>
  <c r="J28" i="52"/>
  <c r="M33" i="52"/>
  <c r="O33" i="52" s="1"/>
  <c r="M101" i="52"/>
  <c r="O101" i="52" s="1"/>
  <c r="M32" i="52"/>
  <c r="O32" i="52" s="1"/>
  <c r="M73" i="52"/>
  <c r="O73" i="52" s="1"/>
  <c r="J43" i="52"/>
  <c r="J46" i="52"/>
  <c r="M96" i="52"/>
  <c r="O96" i="52" s="1"/>
  <c r="H87" i="52"/>
  <c r="M87" i="52" s="1"/>
  <c r="O87" i="52" s="1"/>
  <c r="J50" i="52"/>
  <c r="M12" i="52"/>
  <c r="O12" i="52" s="1"/>
  <c r="J111" i="52"/>
  <c r="K111" i="52" s="1"/>
  <c r="L111" i="52" s="1"/>
  <c r="M109" i="52"/>
  <c r="O109" i="52" s="1"/>
  <c r="P109" i="52" s="1"/>
  <c r="Q109" i="52" s="1"/>
  <c r="P100" i="52"/>
  <c r="Q100" i="52" s="1"/>
  <c r="M86" i="52"/>
  <c r="O86" i="52" s="1"/>
  <c r="J86" i="52"/>
  <c r="M91" i="52"/>
  <c r="O91" i="52" s="1"/>
  <c r="J91" i="52"/>
  <c r="H88" i="52"/>
  <c r="M97" i="52"/>
  <c r="O97" i="52" s="1"/>
  <c r="P97" i="52" s="1"/>
  <c r="Q97" i="52" s="1"/>
  <c r="J44" i="52"/>
  <c r="J37" i="52"/>
  <c r="M61" i="52"/>
  <c r="O61" i="52" s="1"/>
  <c r="E91" i="52"/>
  <c r="H89" i="52"/>
  <c r="M89" i="52" s="1"/>
  <c r="O89" i="52" s="1"/>
  <c r="M42" i="52"/>
  <c r="O42" i="52" s="1"/>
  <c r="M13" i="52"/>
  <c r="O13" i="52" s="1"/>
  <c r="M20" i="52"/>
  <c r="O20" i="52" s="1"/>
  <c r="M74" i="52"/>
  <c r="O74" i="52" s="1"/>
  <c r="J116" i="52"/>
  <c r="K116" i="52" s="1"/>
  <c r="L116" i="52" s="1"/>
  <c r="J7" i="52"/>
  <c r="J47" i="52"/>
  <c r="M57" i="52"/>
  <c r="O57" i="52" s="1"/>
  <c r="J30" i="52"/>
  <c r="M49" i="52"/>
  <c r="O49" i="52" s="1"/>
  <c r="M70" i="52"/>
  <c r="O70" i="52" s="1"/>
  <c r="J45" i="52"/>
  <c r="M60" i="52"/>
  <c r="O60" i="52" s="1"/>
  <c r="E90" i="52"/>
  <c r="M9" i="52"/>
  <c r="O9" i="52" s="1"/>
  <c r="J31" i="52"/>
  <c r="J27" i="52"/>
  <c r="M36" i="52"/>
  <c r="O36" i="52" s="1"/>
  <c r="J90" i="52"/>
  <c r="F98" i="52" l="1"/>
  <c r="G98" i="52" s="1"/>
  <c r="K97" i="52"/>
  <c r="L97" i="52" s="1"/>
  <c r="F96" i="52"/>
  <c r="G96" i="52" s="1"/>
  <c r="K96" i="52"/>
  <c r="L96" i="52" s="1"/>
  <c r="F97" i="52"/>
  <c r="G97" i="52" s="1"/>
  <c r="A102" i="52"/>
  <c r="A117" i="52" s="1"/>
  <c r="F99" i="52"/>
  <c r="G99" i="52" s="1"/>
  <c r="P96" i="52"/>
  <c r="Q96" i="52" s="1"/>
  <c r="P99" i="52"/>
  <c r="Q99" i="52" s="1"/>
  <c r="F100" i="52"/>
  <c r="G100" i="52" s="1"/>
  <c r="K101" i="52"/>
  <c r="L101" i="52" s="1"/>
  <c r="P101" i="52"/>
  <c r="Q101" i="52" s="1"/>
  <c r="G117" i="52"/>
  <c r="M71" i="52"/>
  <c r="O71" i="52" s="1"/>
  <c r="J71" i="52"/>
  <c r="E85" i="52"/>
  <c r="J89" i="52"/>
  <c r="M11" i="52"/>
  <c r="O11" i="52" s="1"/>
  <c r="M58" i="52"/>
  <c r="O58" i="52" s="1"/>
  <c r="J58" i="52"/>
  <c r="M106" i="52"/>
  <c r="O106" i="52" s="1"/>
  <c r="P106" i="52" s="1"/>
  <c r="Q106" i="52" s="1"/>
  <c r="J16" i="52"/>
  <c r="J72" i="52"/>
  <c r="M98" i="52"/>
  <c r="O98" i="52" s="1"/>
  <c r="P98" i="52" s="1"/>
  <c r="Q98" i="52" s="1"/>
  <c r="J98" i="52"/>
  <c r="K98" i="52" s="1"/>
  <c r="L98" i="52" s="1"/>
  <c r="M107" i="52"/>
  <c r="O107" i="52" s="1"/>
  <c r="P107" i="52" s="1"/>
  <c r="Q107" i="52" s="1"/>
  <c r="J59" i="52"/>
  <c r="M77" i="52"/>
  <c r="O77" i="52" s="1"/>
  <c r="M75" i="52"/>
  <c r="O75" i="52" s="1"/>
  <c r="J75" i="52"/>
  <c r="J85" i="52"/>
  <c r="M85" i="52"/>
  <c r="O85" i="52" s="1"/>
  <c r="J21" i="52"/>
  <c r="M64" i="52"/>
  <c r="O64" i="52" s="1"/>
  <c r="M62" i="52"/>
  <c r="O62" i="52" s="1"/>
  <c r="J62" i="52"/>
  <c r="J17" i="52"/>
  <c r="M17" i="52"/>
  <c r="O17" i="52" s="1"/>
  <c r="M78" i="52"/>
  <c r="O78" i="52" s="1"/>
  <c r="J78" i="52"/>
  <c r="J100" i="52"/>
  <c r="K100" i="52" s="1"/>
  <c r="L100" i="52" s="1"/>
  <c r="M114" i="52"/>
  <c r="O114" i="52" s="1"/>
  <c r="P114" i="52" s="1"/>
  <c r="Q114" i="52" s="1"/>
  <c r="H84" i="52"/>
  <c r="E84" i="52"/>
  <c r="M55" i="52"/>
  <c r="O55" i="52" s="1"/>
  <c r="J55" i="52"/>
  <c r="M65" i="52"/>
  <c r="O65" i="52" s="1"/>
  <c r="J65" i="52"/>
  <c r="M115" i="52"/>
  <c r="O115" i="52" s="1"/>
  <c r="P115" i="52" s="1"/>
  <c r="Q115" i="52" s="1"/>
  <c r="J115" i="52"/>
  <c r="K115" i="52" s="1"/>
  <c r="L115" i="52" s="1"/>
  <c r="J18" i="52"/>
  <c r="J87" i="52"/>
  <c r="E83" i="52"/>
  <c r="M110" i="52"/>
  <c r="O110" i="52" s="1"/>
  <c r="P110" i="52" s="1"/>
  <c r="Q110" i="52" s="1"/>
  <c r="J110" i="52"/>
  <c r="K110" i="52" s="1"/>
  <c r="L110" i="52" s="1"/>
  <c r="J14" i="52"/>
  <c r="J83" i="52"/>
  <c r="J10" i="52"/>
  <c r="M10" i="52"/>
  <c r="O10" i="52" s="1"/>
  <c r="M88" i="52"/>
  <c r="O88" i="52" s="1"/>
  <c r="J88" i="52"/>
  <c r="J8" i="52"/>
  <c r="J15" i="52"/>
  <c r="J22" i="52"/>
  <c r="J56" i="52"/>
  <c r="J63" i="52"/>
  <c r="J76" i="52"/>
  <c r="J99" i="52"/>
  <c r="K99" i="52" s="1"/>
  <c r="L99" i="52" s="1"/>
  <c r="J113" i="52"/>
  <c r="K113" i="52" s="1"/>
  <c r="L113" i="52" s="1"/>
  <c r="J35" i="52"/>
  <c r="J48" i="52"/>
  <c r="J108" i="52"/>
  <c r="K108" i="52" s="1"/>
  <c r="L108" i="52" s="1"/>
  <c r="E6" i="51" l="1"/>
  <c r="L117" i="52"/>
  <c r="I55" i="7" s="1"/>
  <c r="G102" i="52"/>
  <c r="L102" i="52"/>
  <c r="Q102" i="52"/>
  <c r="Q117" i="52"/>
  <c r="I101" i="7" s="1"/>
  <c r="M84" i="52"/>
  <c r="O84" i="52" s="1"/>
  <c r="J84" i="52"/>
  <c r="A13" i="4" l="1"/>
  <c r="A275" i="10"/>
  <c r="BM6" i="51"/>
  <c r="A215" i="10"/>
  <c r="A313" i="6"/>
  <c r="A237" i="10"/>
  <c r="A201" i="6"/>
  <c r="A236" i="10"/>
  <c r="A327" i="6"/>
  <c r="A308" i="10"/>
  <c r="A216" i="10"/>
  <c r="A249" i="10"/>
  <c r="A165" i="6"/>
  <c r="A97" i="10"/>
  <c r="F97" i="10" s="1"/>
  <c r="A137" i="10"/>
  <c r="A84" i="6"/>
  <c r="A225" i="10"/>
  <c r="A20" i="6"/>
  <c r="A64" i="6"/>
  <c r="A331" i="6"/>
  <c r="CA6" i="51"/>
  <c r="A22" i="6"/>
  <c r="A83" i="6"/>
  <c r="A164" i="10"/>
  <c r="A268" i="10"/>
  <c r="A117" i="6"/>
  <c r="A179" i="10"/>
  <c r="CD6" i="51"/>
  <c r="A236" i="6"/>
  <c r="A245" i="10"/>
  <c r="A341" i="6"/>
  <c r="A360" i="6"/>
  <c r="A59" i="6"/>
  <c r="A132" i="10"/>
  <c r="A149" i="6"/>
  <c r="BT6" i="51"/>
  <c r="A108" i="10"/>
  <c r="A125" i="10"/>
  <c r="A234" i="6"/>
  <c r="A110" i="6"/>
  <c r="A232" i="10"/>
  <c r="A207" i="6"/>
  <c r="A247" i="10"/>
  <c r="A153" i="10"/>
  <c r="A289" i="10"/>
  <c r="A261" i="6"/>
  <c r="BZ6" i="51"/>
  <c r="BP6" i="51"/>
  <c r="A330" i="6"/>
  <c r="A152" i="10"/>
  <c r="A200" i="10"/>
  <c r="A189" i="10"/>
  <c r="A243" i="10"/>
  <c r="A105" i="10"/>
  <c r="A122" i="10"/>
  <c r="A198" i="10"/>
  <c r="A192" i="10"/>
  <c r="A203" i="10"/>
  <c r="A139" i="10"/>
  <c r="A224" i="10"/>
  <c r="BU6" i="51"/>
  <c r="A206" i="6"/>
  <c r="A222" i="10"/>
  <c r="A263" i="6"/>
  <c r="A154" i="10"/>
  <c r="A285" i="10"/>
  <c r="A62" i="6"/>
  <c r="BN6" i="51"/>
  <c r="A287" i="10"/>
  <c r="A221" i="10"/>
  <c r="A168" i="10"/>
  <c r="A358" i="6"/>
  <c r="A178" i="6"/>
  <c r="K6" i="51"/>
  <c r="A182" i="10"/>
  <c r="L6" i="51"/>
  <c r="A116" i="6"/>
  <c r="BR6" i="51"/>
  <c r="A146" i="10"/>
  <c r="A326" i="6"/>
  <c r="A113" i="6"/>
  <c r="A150" i="6"/>
  <c r="A104" i="10"/>
  <c r="A121" i="10"/>
  <c r="A234" i="10"/>
  <c r="A269" i="10"/>
  <c r="BX6" i="51"/>
  <c r="A21" i="6"/>
  <c r="A16" i="6"/>
  <c r="A169" i="10"/>
  <c r="A25" i="6"/>
  <c r="BQ6" i="51"/>
  <c r="A274" i="10"/>
  <c r="A262" i="6"/>
  <c r="A60" i="6"/>
  <c r="A260" i="6"/>
  <c r="A278" i="10"/>
  <c r="A138" i="10"/>
  <c r="A103" i="10"/>
  <c r="A120" i="10"/>
  <c r="A131" i="6"/>
  <c r="A200" i="6"/>
  <c r="A69" i="6"/>
  <c r="A205" i="6"/>
  <c r="A148" i="10"/>
  <c r="A359" i="6"/>
  <c r="BY6" i="51"/>
  <c r="A114" i="10"/>
  <c r="A188" i="6"/>
  <c r="A123" i="10"/>
  <c r="A106" i="10"/>
  <c r="A211" i="10"/>
  <c r="A177" i="10"/>
  <c r="A214" i="10"/>
  <c r="A187" i="10"/>
  <c r="A203" i="6"/>
  <c r="A199" i="6"/>
  <c r="A18" i="6"/>
  <c r="A67" i="6"/>
  <c r="A267" i="10"/>
  <c r="A258" i="10"/>
  <c r="A316" i="6"/>
  <c r="A115" i="6"/>
  <c r="A152" i="6"/>
  <c r="A227" i="10"/>
  <c r="A175" i="10"/>
  <c r="A233" i="6"/>
  <c r="A361" i="6"/>
  <c r="A156" i="10"/>
  <c r="A299" i="10"/>
  <c r="A63" i="6"/>
  <c r="A39" i="6"/>
  <c r="A187" i="6"/>
  <c r="A176" i="10"/>
  <c r="A117" i="10"/>
  <c r="A100" i="10"/>
  <c r="A174" i="10"/>
  <c r="A163" i="10"/>
  <c r="A209" i="10"/>
  <c r="A134" i="6"/>
  <c r="A193" i="10"/>
  <c r="A204" i="10"/>
  <c r="A43" i="6"/>
  <c r="A223" i="10"/>
  <c r="A257" i="10"/>
  <c r="A46" i="6"/>
  <c r="CC6" i="51"/>
  <c r="A126" i="10"/>
  <c r="A109" i="10"/>
  <c r="A99" i="4"/>
  <c r="A19" i="6"/>
  <c r="A233" i="10"/>
  <c r="A131" i="10"/>
  <c r="A226" i="10"/>
  <c r="A116" i="10"/>
  <c r="A99" i="10"/>
  <c r="A357" i="6"/>
  <c r="A286" i="10"/>
  <c r="A279" i="10"/>
  <c r="A132" i="6"/>
  <c r="A118" i="6"/>
  <c r="A86" i="4"/>
  <c r="A42" i="6"/>
  <c r="A102" i="10"/>
  <c r="A119" i="10"/>
  <c r="A251" i="6"/>
  <c r="A248" i="10"/>
  <c r="A277" i="10"/>
  <c r="A305" i="10"/>
  <c r="A220" i="6"/>
  <c r="A181" i="10"/>
  <c r="A276" i="10"/>
  <c r="A295" i="10"/>
  <c r="A311" i="6"/>
  <c r="A162" i="10"/>
  <c r="A66" i="6"/>
  <c r="A65" i="6"/>
  <c r="A107" i="6"/>
  <c r="A314" i="6"/>
  <c r="A61" i="6"/>
  <c r="A266" i="10"/>
  <c r="A17" i="6"/>
  <c r="BO6" i="51"/>
  <c r="A342" i="6"/>
  <c r="A307" i="10"/>
  <c r="A107" i="10"/>
  <c r="A124" i="10"/>
  <c r="A212" i="10"/>
  <c r="A155" i="10"/>
  <c r="A196" i="6"/>
  <c r="BF6" i="51"/>
  <c r="A189" i="6"/>
  <c r="A150" i="10"/>
  <c r="A98" i="6"/>
  <c r="BW6" i="51"/>
  <c r="A151" i="10"/>
  <c r="A147" i="10"/>
  <c r="A135" i="10"/>
  <c r="A238" i="10"/>
  <c r="A112" i="6"/>
  <c r="H6" i="51"/>
  <c r="A246" i="10"/>
  <c r="A68" i="6"/>
  <c r="A250" i="6"/>
  <c r="A109" i="6"/>
  <c r="A290" i="6"/>
  <c r="A190" i="10"/>
  <c r="A201" i="10"/>
  <c r="A296" i="10"/>
  <c r="A180" i="10"/>
  <c r="J6" i="51"/>
  <c r="A202" i="6"/>
  <c r="A190" i="6"/>
  <c r="A300" i="10"/>
  <c r="A329" i="6"/>
  <c r="A191" i="10"/>
  <c r="A202" i="10"/>
  <c r="A108" i="6"/>
  <c r="A165" i="10"/>
  <c r="A338" i="6"/>
  <c r="A315" i="6"/>
  <c r="A328" i="6"/>
  <c r="A256" i="10"/>
  <c r="A254" i="10"/>
  <c r="A133" i="10"/>
  <c r="A325" i="6"/>
  <c r="F6" i="51"/>
  <c r="A133" i="6"/>
  <c r="A45" i="6"/>
  <c r="A188" i="10"/>
  <c r="A199" i="10"/>
  <c r="A312" i="6"/>
  <c r="A148" i="6"/>
  <c r="A288" i="10"/>
  <c r="A15" i="6"/>
  <c r="A297" i="10"/>
  <c r="A255" i="10"/>
  <c r="A173" i="10"/>
  <c r="A197" i="6"/>
  <c r="A290" i="10"/>
  <c r="A41" i="6"/>
  <c r="A111" i="6"/>
  <c r="V6" i="51"/>
  <c r="A191" i="6"/>
  <c r="A235" i="6"/>
  <c r="A134" i="10"/>
  <c r="BV6" i="51"/>
  <c r="CB6" i="51"/>
  <c r="A265" i="10"/>
  <c r="A149" i="10"/>
  <c r="A309" i="10"/>
  <c r="A317" i="6"/>
  <c r="A210" i="10"/>
  <c r="A198" i="6"/>
  <c r="G6" i="51"/>
  <c r="A24" i="6"/>
  <c r="A249" i="6"/>
  <c r="A244" i="10"/>
  <c r="A135" i="6"/>
  <c r="A339" i="6"/>
  <c r="A178" i="10"/>
  <c r="A303" i="6"/>
  <c r="A204" i="6"/>
  <c r="A306" i="10"/>
  <c r="A23" i="6"/>
  <c r="A151" i="6"/>
  <c r="A70" i="6"/>
  <c r="A44" i="6"/>
  <c r="A145" i="10"/>
  <c r="A362" i="6"/>
  <c r="A144" i="10"/>
  <c r="A280" i="10"/>
  <c r="A115" i="10"/>
  <c r="A98" i="10"/>
  <c r="F98" i="10" s="1"/>
  <c r="A310" i="10"/>
  <c r="A340" i="6"/>
  <c r="I6" i="51"/>
  <c r="A343" i="6"/>
  <c r="A161" i="10"/>
  <c r="A166" i="10"/>
  <c r="A264" i="10"/>
  <c r="A85" i="6"/>
  <c r="A235" i="10"/>
  <c r="A356" i="6"/>
  <c r="A101" i="10"/>
  <c r="A118" i="10"/>
  <c r="A136" i="10"/>
  <c r="A213" i="10"/>
  <c r="A167" i="10"/>
  <c r="A259" i="10"/>
  <c r="BS6" i="51"/>
  <c r="A26" i="6"/>
  <c r="A298" i="10"/>
  <c r="A114" i="6"/>
  <c r="A40" i="6"/>
  <c r="A146" i="4"/>
  <c r="A17" i="4" l="1"/>
  <c r="A24" i="4"/>
  <c r="A16" i="4"/>
  <c r="A26" i="4"/>
  <c r="A12" i="4"/>
  <c r="A7" i="4"/>
  <c r="A10" i="4"/>
  <c r="A23" i="4"/>
  <c r="A8" i="4"/>
  <c r="A11" i="4"/>
  <c r="A21" i="4"/>
  <c r="A19" i="4"/>
  <c r="A15" i="4"/>
  <c r="A18" i="4"/>
  <c r="A14" i="4"/>
  <c r="A22" i="4"/>
  <c r="A25" i="4"/>
  <c r="A9" i="4"/>
  <c r="A20" i="4"/>
  <c r="B146" i="1"/>
  <c r="AJ7" i="51"/>
  <c r="A27" i="4" l="1"/>
  <c r="R6" i="51"/>
  <c r="AU6" i="51"/>
  <c r="P6" i="51"/>
  <c r="AA6" i="51"/>
  <c r="AP6" i="51"/>
  <c r="BJ6" i="51"/>
  <c r="AZ6" i="51"/>
  <c r="AX6" i="51"/>
  <c r="M6" i="51"/>
  <c r="AC6" i="51"/>
  <c r="BC6" i="51"/>
  <c r="N6" i="51"/>
  <c r="AO6" i="51"/>
  <c r="W6" i="51"/>
  <c r="AG6" i="51"/>
  <c r="AB6" i="51"/>
  <c r="O6" i="51"/>
  <c r="AR6" i="51"/>
  <c r="AQ6" i="51"/>
  <c r="AT6" i="51"/>
  <c r="BE6" i="51"/>
  <c r="BB6" i="51"/>
  <c r="AH6" i="51"/>
  <c r="BA6" i="51"/>
  <c r="AI6" i="51"/>
  <c r="AE6" i="51"/>
  <c r="AW6" i="51"/>
  <c r="BG6" i="51"/>
  <c r="BD6" i="51"/>
  <c r="AJ6" i="51"/>
  <c r="X6" i="51"/>
  <c r="BI6" i="51"/>
  <c r="T6" i="51"/>
  <c r="Z6" i="51"/>
  <c r="AY6" i="51"/>
  <c r="Q6" i="51"/>
  <c r="S6" i="51"/>
  <c r="AF6" i="51"/>
  <c r="Y6" i="51"/>
  <c r="BH6" i="51"/>
  <c r="AN6" i="51"/>
  <c r="A84" i="52"/>
  <c r="F84" i="52" s="1"/>
  <c r="G84" i="52" s="1"/>
  <c r="A88" i="52"/>
  <c r="F88" i="52" s="1"/>
  <c r="G88" i="52" s="1"/>
  <c r="A61" i="52"/>
  <c r="F61" i="52" s="1"/>
  <c r="G61" i="52" s="1"/>
  <c r="A106" i="6"/>
  <c r="A95" i="4"/>
  <c r="A176" i="6"/>
  <c r="A84" i="4"/>
  <c r="A55" i="52"/>
  <c r="F55" i="52" s="1"/>
  <c r="G55" i="52" s="1"/>
  <c r="A353" i="6"/>
  <c r="A14" i="52"/>
  <c r="P14" i="52" s="1"/>
  <c r="Q14" i="52" s="1"/>
  <c r="C26" i="1"/>
  <c r="A10" i="6"/>
  <c r="A108" i="4"/>
  <c r="A93" i="4"/>
  <c r="A77" i="6"/>
  <c r="A38" i="4"/>
  <c r="A56" i="6"/>
  <c r="A37" i="6"/>
  <c r="A55" i="4"/>
  <c r="A57" i="6"/>
  <c r="A54" i="4"/>
  <c r="A57" i="4"/>
  <c r="A34" i="52"/>
  <c r="K34" i="52" s="1"/>
  <c r="L34" i="52" s="1"/>
  <c r="A34" i="4"/>
  <c r="A354" i="6"/>
  <c r="A31" i="6"/>
  <c r="A112" i="4"/>
  <c r="A83" i="4"/>
  <c r="A11" i="52"/>
  <c r="P11" i="52" s="1"/>
  <c r="Q11" i="52" s="1"/>
  <c r="A128" i="4"/>
  <c r="A129" i="4"/>
  <c r="A96" i="4"/>
  <c r="A31" i="4"/>
  <c r="A286" i="6"/>
  <c r="A285" i="6"/>
  <c r="A94" i="4"/>
  <c r="A172" i="6"/>
  <c r="A257" i="6"/>
  <c r="A144" i="6"/>
  <c r="A324" i="6"/>
  <c r="A17" i="52"/>
  <c r="K17" i="52" s="1"/>
  <c r="L17" i="52" s="1"/>
  <c r="A15" i="52"/>
  <c r="P15" i="52" s="1"/>
  <c r="Q15" i="52" s="1"/>
  <c r="A245" i="6"/>
  <c r="A127" i="4"/>
  <c r="A13" i="6"/>
  <c r="A54" i="6"/>
  <c r="A124" i="6"/>
  <c r="A143" i="6"/>
  <c r="A73" i="52"/>
  <c r="P73" i="52" s="1"/>
  <c r="Q73" i="52" s="1"/>
  <c r="A42" i="4"/>
  <c r="A335" i="6"/>
  <c r="A127" i="6"/>
  <c r="A295" i="6"/>
  <c r="A129" i="6"/>
  <c r="A256" i="6"/>
  <c r="A22" i="52"/>
  <c r="F22" i="52" s="1"/>
  <c r="G22" i="52" s="1"/>
  <c r="A72" i="52"/>
  <c r="P72" i="52" s="1"/>
  <c r="Q72" i="52" s="1"/>
  <c r="A242" i="6"/>
  <c r="A350" i="6"/>
  <c r="A32" i="4"/>
  <c r="A63" i="52"/>
  <c r="P63" i="52" s="1"/>
  <c r="Q63" i="52" s="1"/>
  <c r="A355" i="6"/>
  <c r="A323" i="6"/>
  <c r="A58" i="52"/>
  <c r="K58" i="52" s="1"/>
  <c r="L58" i="52" s="1"/>
  <c r="A91" i="52"/>
  <c r="P91" i="52" s="1"/>
  <c r="Q91" i="52" s="1"/>
  <c r="A77" i="4"/>
  <c r="A19" i="52"/>
  <c r="K19" i="52" s="1"/>
  <c r="L19" i="52" s="1"/>
  <c r="A75" i="6"/>
  <c r="A164" i="6"/>
  <c r="A49" i="52"/>
  <c r="A218" i="6"/>
  <c r="A79" i="6"/>
  <c r="A246" i="6"/>
  <c r="A86" i="52"/>
  <c r="K86" i="52" s="1"/>
  <c r="L86" i="52" s="1"/>
  <c r="A160" i="6"/>
  <c r="A216" i="6"/>
  <c r="A9" i="6"/>
  <c r="A283" i="6"/>
  <c r="A349" i="6"/>
  <c r="A78" i="6"/>
  <c r="A226" i="6"/>
  <c r="A11" i="6"/>
  <c r="A131" i="4"/>
  <c r="A241" i="6"/>
  <c r="A47" i="52"/>
  <c r="F47" i="52" s="1"/>
  <c r="G47" i="52" s="1"/>
  <c r="A103" i="6"/>
  <c r="A98" i="4"/>
  <c r="A83" i="52"/>
  <c r="K83" i="52" s="1"/>
  <c r="L83" i="52" s="1"/>
  <c r="A161" i="6"/>
  <c r="A125" i="6"/>
  <c r="A50" i="4"/>
  <c r="A70" i="52"/>
  <c r="P70" i="52" s="1"/>
  <c r="Q70" i="52" s="1"/>
  <c r="A46" i="52"/>
  <c r="F46" i="52" s="1"/>
  <c r="G46" i="52" s="1"/>
  <c r="A124" i="4"/>
  <c r="A53" i="4"/>
  <c r="A117" i="4"/>
  <c r="A48" i="4"/>
  <c r="A38" i="6"/>
  <c r="A37" i="4"/>
  <c r="A157" i="6"/>
  <c r="A58" i="4"/>
  <c r="A64" i="52"/>
  <c r="P64" i="52" s="1"/>
  <c r="Q64" i="52" s="1"/>
  <c r="A130" i="6"/>
  <c r="A91" i="4"/>
  <c r="A225" i="6"/>
  <c r="A105" i="6"/>
  <c r="A44" i="52"/>
  <c r="K44" i="52" s="1"/>
  <c r="L44" i="52" s="1"/>
  <c r="A37" i="52"/>
  <c r="P37" i="52" s="1"/>
  <c r="Q37" i="52" s="1"/>
  <c r="A110" i="4"/>
  <c r="A175" i="6"/>
  <c r="A174" i="6"/>
  <c r="A123" i="6"/>
  <c r="A36" i="4"/>
  <c r="A71" i="4"/>
  <c r="A33" i="52"/>
  <c r="F33" i="52" s="1"/>
  <c r="G33" i="52" s="1"/>
  <c r="A284" i="6"/>
  <c r="A126" i="6"/>
  <c r="A8" i="52"/>
  <c r="P8" i="52" s="1"/>
  <c r="Q8" i="52" s="1"/>
  <c r="A43" i="52"/>
  <c r="P43" i="52" s="1"/>
  <c r="Q43" i="52" s="1"/>
  <c r="A85" i="4"/>
  <c r="A78" i="4"/>
  <c r="A173" i="6"/>
  <c r="A36" i="6"/>
  <c r="A89" i="52"/>
  <c r="P89" i="52" s="1"/>
  <c r="Q89" i="52" s="1"/>
  <c r="A87" i="52"/>
  <c r="F87" i="52" s="1"/>
  <c r="G87" i="52" s="1"/>
  <c r="A40" i="4"/>
  <c r="A71" i="52"/>
  <c r="F71" i="52" s="1"/>
  <c r="G71" i="52" s="1"/>
  <c r="A31" i="52"/>
  <c r="P31" i="52" s="1"/>
  <c r="Q31" i="52" s="1"/>
  <c r="A310" i="6"/>
  <c r="A82" i="4"/>
  <c r="A97" i="4"/>
  <c r="A258" i="6"/>
  <c r="A289" i="6"/>
  <c r="A125" i="4"/>
  <c r="A33" i="4"/>
  <c r="A97" i="6"/>
  <c r="A45" i="52"/>
  <c r="F45" i="52" s="1"/>
  <c r="G45" i="52" s="1"/>
  <c r="A96" i="6"/>
  <c r="A81" i="4"/>
  <c r="A21" i="52"/>
  <c r="P21" i="52" s="1"/>
  <c r="Q21" i="52" s="1"/>
  <c r="A28" i="52"/>
  <c r="F28" i="52" s="1"/>
  <c r="G28" i="52" s="1"/>
  <c r="A231" i="6"/>
  <c r="A9" i="52"/>
  <c r="F9" i="52" s="1"/>
  <c r="G9" i="52" s="1"/>
  <c r="A219" i="6"/>
  <c r="A122" i="4"/>
  <c r="A35" i="6"/>
  <c r="A302" i="6"/>
  <c r="A170" i="6"/>
  <c r="A243" i="6"/>
  <c r="A74" i="52"/>
  <c r="K74" i="52" s="1"/>
  <c r="L74" i="52" s="1"/>
  <c r="A20" i="52"/>
  <c r="K20" i="52" s="1"/>
  <c r="L20" i="52" s="1"/>
  <c r="A128" i="6"/>
  <c r="A259" i="6"/>
  <c r="A50" i="52"/>
  <c r="F50" i="52" s="1"/>
  <c r="G50" i="52" s="1"/>
  <c r="A95" i="6"/>
  <c r="A92" i="4"/>
  <c r="A352" i="6"/>
  <c r="A42" i="52"/>
  <c r="K42" i="52" s="1"/>
  <c r="L42" i="52" s="1"/>
  <c r="A16" i="52"/>
  <c r="F16" i="52" s="1"/>
  <c r="G16" i="52" s="1"/>
  <c r="A90" i="6"/>
  <c r="A93" i="6"/>
  <c r="A8" i="6"/>
  <c r="A43" i="4"/>
  <c r="A163" i="6"/>
  <c r="A120" i="4"/>
  <c r="A18" i="52"/>
  <c r="F18" i="52" s="1"/>
  <c r="G18" i="52" s="1"/>
  <c r="A10" i="52"/>
  <c r="K10" i="52" s="1"/>
  <c r="L10" i="52" s="1"/>
  <c r="A227" i="6"/>
  <c r="A62" i="52"/>
  <c r="P62" i="52" s="1"/>
  <c r="Q62" i="52" s="1"/>
  <c r="A351" i="6"/>
  <c r="A282" i="6"/>
  <c r="A288" i="6"/>
  <c r="A247" i="6"/>
  <c r="A109" i="4"/>
  <c r="A29" i="52"/>
  <c r="K29" i="52" s="1"/>
  <c r="L29" i="52" s="1"/>
  <c r="A107" i="4"/>
  <c r="A59" i="4"/>
  <c r="A75" i="52"/>
  <c r="P75" i="52" s="1"/>
  <c r="Q75" i="52" s="1"/>
  <c r="A348" i="6"/>
  <c r="A322" i="6"/>
  <c r="A14" i="6"/>
  <c r="A80" i="4"/>
  <c r="A35" i="52"/>
  <c r="K35" i="52" s="1"/>
  <c r="L35" i="52" s="1"/>
  <c r="A186" i="6"/>
  <c r="A244" i="6"/>
  <c r="A104" i="4"/>
  <c r="A106" i="4"/>
  <c r="A308" i="6"/>
  <c r="A230" i="6"/>
  <c r="A104" i="6"/>
  <c r="A78" i="52"/>
  <c r="F78" i="52" s="1"/>
  <c r="G78" i="52" s="1"/>
  <c r="A77" i="52"/>
  <c r="P77" i="52" s="1"/>
  <c r="Q77" i="52" s="1"/>
  <c r="A298" i="6"/>
  <c r="A27" i="52"/>
  <c r="F27" i="52" s="1"/>
  <c r="G27" i="52" s="1"/>
  <c r="A51" i="6"/>
  <c r="A70" i="4"/>
  <c r="A64" i="4"/>
  <c r="A58" i="6"/>
  <c r="A94" i="6"/>
  <c r="A158" i="6"/>
  <c r="A232" i="6"/>
  <c r="A35" i="4"/>
  <c r="A123" i="4"/>
  <c r="A72" i="4"/>
  <c r="A76" i="52"/>
  <c r="K76" i="52" s="1"/>
  <c r="L76" i="52" s="1"/>
  <c r="A300" i="6"/>
  <c r="A39" i="4"/>
  <c r="A69" i="4"/>
  <c r="A59" i="52"/>
  <c r="P59" i="52" s="1"/>
  <c r="Q59" i="52" s="1"/>
  <c r="A287" i="6"/>
  <c r="A229" i="6"/>
  <c r="A85" i="52"/>
  <c r="F85" i="52" s="1"/>
  <c r="G85" i="52" s="1"/>
  <c r="A184" i="6"/>
  <c r="A212" i="6"/>
  <c r="A36" i="52"/>
  <c r="K36" i="52" s="1"/>
  <c r="L36" i="52" s="1"/>
  <c r="A81" i="6"/>
  <c r="A67" i="4"/>
  <c r="A34" i="6"/>
  <c r="C23" i="1"/>
  <c r="A80" i="6"/>
  <c r="A217" i="6"/>
  <c r="A171" i="6"/>
  <c r="A13" i="52"/>
  <c r="K13" i="52" s="1"/>
  <c r="L13" i="52" s="1"/>
  <c r="A130" i="4"/>
  <c r="A121" i="4"/>
  <c r="A248" i="6"/>
  <c r="A68" i="4"/>
  <c r="A52" i="4"/>
  <c r="A33" i="6"/>
  <c r="A297" i="6"/>
  <c r="C25" i="1"/>
  <c r="A215" i="6"/>
  <c r="A105" i="4"/>
  <c r="A145" i="6"/>
  <c r="A55" i="6"/>
  <c r="A141" i="6"/>
  <c r="A7" i="6"/>
  <c r="A41" i="4"/>
  <c r="A111" i="4"/>
  <c r="A12" i="6"/>
  <c r="A82" i="6"/>
  <c r="A228" i="6"/>
  <c r="A296" i="6"/>
  <c r="A301" i="6"/>
  <c r="A91" i="6"/>
  <c r="A12" i="52"/>
  <c r="F12" i="52" s="1"/>
  <c r="G12" i="52" s="1"/>
  <c r="A53" i="6"/>
  <c r="A90" i="52"/>
  <c r="K90" i="52" s="1"/>
  <c r="L90" i="52" s="1"/>
  <c r="A56" i="4"/>
  <c r="A119" i="4"/>
  <c r="A52" i="6"/>
  <c r="A32" i="52"/>
  <c r="P32" i="52" s="1"/>
  <c r="Q32" i="52" s="1"/>
  <c r="C22" i="1"/>
  <c r="A162" i="6"/>
  <c r="A126" i="4"/>
  <c r="A118" i="4"/>
  <c r="A57" i="52"/>
  <c r="P57" i="52" s="1"/>
  <c r="Q57" i="52" s="1"/>
  <c r="A7" i="52"/>
  <c r="F7" i="52" s="1"/>
  <c r="G7" i="52" s="1"/>
  <c r="C24" i="1"/>
  <c r="A92" i="6"/>
  <c r="A146" i="6"/>
  <c r="A65" i="4"/>
  <c r="A65" i="52"/>
  <c r="F65" i="52" s="1"/>
  <c r="G65" i="52" s="1"/>
  <c r="A79" i="4"/>
  <c r="A60" i="52"/>
  <c r="F60" i="52" s="1"/>
  <c r="G60" i="52" s="1"/>
  <c r="A140" i="6"/>
  <c r="A147" i="6"/>
  <c r="A337" i="6"/>
  <c r="A185" i="6"/>
  <c r="A51" i="4"/>
  <c r="A49" i="4"/>
  <c r="A56" i="52"/>
  <c r="F56" i="52" s="1"/>
  <c r="G56" i="52" s="1"/>
  <c r="A48" i="52"/>
  <c r="K48" i="52" s="1"/>
  <c r="L48" i="52" s="1"/>
  <c r="A309" i="6"/>
  <c r="A30" i="52"/>
  <c r="K30" i="52" s="1"/>
  <c r="L30" i="52" s="1"/>
  <c r="A66" i="4"/>
  <c r="A214" i="6"/>
  <c r="A177" i="6"/>
  <c r="A159" i="6"/>
  <c r="A32" i="6"/>
  <c r="A336" i="6"/>
  <c r="A299" i="6"/>
  <c r="A183" i="6"/>
  <c r="A213" i="6"/>
  <c r="A275" i="6"/>
  <c r="A269" i="6"/>
  <c r="A272" i="6"/>
  <c r="A273" i="6"/>
  <c r="A270" i="6"/>
  <c r="A268" i="6"/>
  <c r="A271" i="6"/>
  <c r="A276" i="6"/>
  <c r="A274" i="6"/>
  <c r="A277" i="6"/>
  <c r="C11" i="7"/>
  <c r="A76" i="6" l="1"/>
  <c r="AV6" i="51"/>
  <c r="AS6" i="51"/>
  <c r="A142" i="6"/>
  <c r="BK6" i="51"/>
  <c r="A44" i="4"/>
  <c r="F86" i="52"/>
  <c r="G86" i="52" s="1"/>
  <c r="P86" i="52"/>
  <c r="Q86" i="52" s="1"/>
  <c r="F15" i="52"/>
  <c r="G15" i="52" s="1"/>
  <c r="F63" i="52"/>
  <c r="G63" i="52" s="1"/>
  <c r="K63" i="52"/>
  <c r="L63" i="52" s="1"/>
  <c r="P88" i="52"/>
  <c r="Q88" i="52" s="1"/>
  <c r="K88" i="52"/>
  <c r="L88" i="52" s="1"/>
  <c r="F34" i="52"/>
  <c r="G34" i="52" s="1"/>
  <c r="P16" i="52"/>
  <c r="Q16" i="52" s="1"/>
  <c r="P84" i="52"/>
  <c r="Q84" i="52" s="1"/>
  <c r="K84" i="52"/>
  <c r="L84" i="52" s="1"/>
  <c r="F74" i="52"/>
  <c r="G74" i="52" s="1"/>
  <c r="P47" i="52"/>
  <c r="Q47" i="52" s="1"/>
  <c r="K47" i="52"/>
  <c r="L47" i="52" s="1"/>
  <c r="K16" i="52"/>
  <c r="L16" i="52" s="1"/>
  <c r="K89" i="52"/>
  <c r="L89" i="52" s="1"/>
  <c r="K31" i="52"/>
  <c r="L31" i="52" s="1"/>
  <c r="K71" i="52"/>
  <c r="L71" i="52" s="1"/>
  <c r="K62" i="52"/>
  <c r="L62" i="52" s="1"/>
  <c r="F62" i="52"/>
  <c r="G62" i="52" s="1"/>
  <c r="F48" i="52"/>
  <c r="G48" i="52" s="1"/>
  <c r="P71" i="52"/>
  <c r="Q71" i="52" s="1"/>
  <c r="K72" i="52"/>
  <c r="L72" i="52" s="1"/>
  <c r="F72" i="52"/>
  <c r="G72" i="52" s="1"/>
  <c r="F11" i="52"/>
  <c r="G11" i="52" s="1"/>
  <c r="F31" i="52"/>
  <c r="G31" i="52" s="1"/>
  <c r="P48" i="52"/>
  <c r="Q48" i="52" s="1"/>
  <c r="K77" i="52"/>
  <c r="L77" i="52" s="1"/>
  <c r="F77" i="52"/>
  <c r="G77" i="52" s="1"/>
  <c r="K15" i="52"/>
  <c r="L15" i="52" s="1"/>
  <c r="F36" i="52"/>
  <c r="G36" i="52" s="1"/>
  <c r="F13" i="52"/>
  <c r="G13" i="52" s="1"/>
  <c r="P13" i="52"/>
  <c r="Q13" i="52" s="1"/>
  <c r="K11" i="52"/>
  <c r="L11" i="52" s="1"/>
  <c r="P83" i="52"/>
  <c r="Q83" i="52" s="1"/>
  <c r="F83" i="52"/>
  <c r="G83" i="52" s="1"/>
  <c r="P34" i="52"/>
  <c r="Q34" i="52" s="1"/>
  <c r="K14" i="52"/>
  <c r="L14" i="52" s="1"/>
  <c r="F14" i="52"/>
  <c r="G14" i="52" s="1"/>
  <c r="P42" i="52"/>
  <c r="Q42" i="52" s="1"/>
  <c r="F20" i="52"/>
  <c r="G20" i="52" s="1"/>
  <c r="P20" i="52"/>
  <c r="Q20" i="52" s="1"/>
  <c r="F8" i="52"/>
  <c r="G8" i="52" s="1"/>
  <c r="K8" i="52"/>
  <c r="L8" i="52" s="1"/>
  <c r="P22" i="52"/>
  <c r="Q22" i="52" s="1"/>
  <c r="P27" i="52"/>
  <c r="Q27" i="52" s="1"/>
  <c r="K27" i="52"/>
  <c r="L27" i="52" s="1"/>
  <c r="K22" i="52"/>
  <c r="L22" i="52" s="1"/>
  <c r="P28" i="52"/>
  <c r="Q28" i="52" s="1"/>
  <c r="K75" i="52"/>
  <c r="L75" i="52" s="1"/>
  <c r="K60" i="52"/>
  <c r="L60" i="52" s="1"/>
  <c r="K43" i="52"/>
  <c r="L43" i="52" s="1"/>
  <c r="K12" i="52"/>
  <c r="L12" i="52" s="1"/>
  <c r="K7" i="52"/>
  <c r="L7" i="52" s="1"/>
  <c r="P60" i="52"/>
  <c r="Q60" i="52" s="1"/>
  <c r="F43" i="52"/>
  <c r="G43" i="52" s="1"/>
  <c r="P12" i="52"/>
  <c r="Q12" i="52" s="1"/>
  <c r="P46" i="52"/>
  <c r="Q46" i="52" s="1"/>
  <c r="F70" i="52"/>
  <c r="G70" i="52" s="1"/>
  <c r="K46" i="52"/>
  <c r="L46" i="52" s="1"/>
  <c r="P45" i="52"/>
  <c r="Q45" i="52" s="1"/>
  <c r="K57" i="52"/>
  <c r="L57" i="52" s="1"/>
  <c r="K70" i="52"/>
  <c r="L70" i="52" s="1"/>
  <c r="K45" i="52"/>
  <c r="L45" i="52" s="1"/>
  <c r="F57" i="52"/>
  <c r="G57" i="52" s="1"/>
  <c r="K73" i="52"/>
  <c r="L73" i="52" s="1"/>
  <c r="A38" i="52"/>
  <c r="K9" i="52"/>
  <c r="L9" i="52" s="1"/>
  <c r="F21" i="52"/>
  <c r="G21" i="52" s="1"/>
  <c r="P9" i="52"/>
  <c r="Q9" i="52" s="1"/>
  <c r="K21" i="52"/>
  <c r="L21" i="52" s="1"/>
  <c r="K28" i="52"/>
  <c r="L28" i="52" s="1"/>
  <c r="F75" i="52"/>
  <c r="G75" i="52" s="1"/>
  <c r="A51" i="52"/>
  <c r="F10" i="52"/>
  <c r="G10" i="52" s="1"/>
  <c r="P35" i="52"/>
  <c r="Q35" i="52" s="1"/>
  <c r="F73" i="52"/>
  <c r="G73" i="52" s="1"/>
  <c r="P10" i="52"/>
  <c r="Q10" i="52" s="1"/>
  <c r="F35" i="52"/>
  <c r="G35" i="52" s="1"/>
  <c r="A79" i="52"/>
  <c r="F42" i="52"/>
  <c r="G42" i="52" s="1"/>
  <c r="K33" i="52"/>
  <c r="L33" i="52" s="1"/>
  <c r="F89" i="52"/>
  <c r="G89" i="52" s="1"/>
  <c r="F17" i="52"/>
  <c r="G17" i="52" s="1"/>
  <c r="P36" i="52"/>
  <c r="Q36" i="52" s="1"/>
  <c r="P7" i="52"/>
  <c r="Q7" i="52" s="1"/>
  <c r="F19" i="52"/>
  <c r="G19" i="52" s="1"/>
  <c r="F64" i="52"/>
  <c r="G64" i="52" s="1"/>
  <c r="P19" i="52"/>
  <c r="Q19" i="52" s="1"/>
  <c r="K59" i="52"/>
  <c r="L59" i="52" s="1"/>
  <c r="P74" i="52"/>
  <c r="Q74" i="52" s="1"/>
  <c r="K64" i="52"/>
  <c r="L64" i="52" s="1"/>
  <c r="A23" i="52"/>
  <c r="P30" i="52"/>
  <c r="Q30" i="52" s="1"/>
  <c r="F49" i="52"/>
  <c r="G49" i="52" s="1"/>
  <c r="K78" i="52"/>
  <c r="L78" i="52" s="1"/>
  <c r="F29" i="52"/>
  <c r="G29" i="52" s="1"/>
  <c r="F30" i="52"/>
  <c r="G30" i="52" s="1"/>
  <c r="K87" i="52"/>
  <c r="L87" i="52" s="1"/>
  <c r="A92" i="52"/>
  <c r="P87" i="52"/>
  <c r="Q87" i="52" s="1"/>
  <c r="F59" i="52"/>
  <c r="G59" i="52" s="1"/>
  <c r="K49" i="52"/>
  <c r="L49" i="52" s="1"/>
  <c r="K85" i="52"/>
  <c r="L85" i="52" s="1"/>
  <c r="P29" i="52"/>
  <c r="Q29" i="52" s="1"/>
  <c r="K18" i="52"/>
  <c r="L18" i="52" s="1"/>
  <c r="K61" i="52"/>
  <c r="L61" i="52" s="1"/>
  <c r="F37" i="52"/>
  <c r="G37" i="52" s="1"/>
  <c r="P78" i="52"/>
  <c r="Q78" i="52" s="1"/>
  <c r="P76" i="52"/>
  <c r="Q76" i="52" s="1"/>
  <c r="P90" i="52"/>
  <c r="Q90" i="52" s="1"/>
  <c r="P18" i="52"/>
  <c r="Q18" i="52" s="1"/>
  <c r="F44" i="52"/>
  <c r="G44" i="52" s="1"/>
  <c r="P61" i="52"/>
  <c r="Q61" i="52" s="1"/>
  <c r="P44" i="52"/>
  <c r="Q44" i="52" s="1"/>
  <c r="F76" i="52"/>
  <c r="G76" i="52" s="1"/>
  <c r="K91" i="52"/>
  <c r="L91" i="52" s="1"/>
  <c r="P65" i="52"/>
  <c r="Q65" i="52" s="1"/>
  <c r="F91" i="52"/>
  <c r="G91" i="52" s="1"/>
  <c r="F32" i="52"/>
  <c r="G32" i="52" s="1"/>
  <c r="P56" i="52"/>
  <c r="Q56" i="52" s="1"/>
  <c r="P17" i="52"/>
  <c r="Q17" i="52" s="1"/>
  <c r="K65" i="52"/>
  <c r="L65" i="52" s="1"/>
  <c r="F58" i="52"/>
  <c r="G58" i="52" s="1"/>
  <c r="P85" i="52"/>
  <c r="Q85" i="52" s="1"/>
  <c r="P49" i="52"/>
  <c r="Q49" i="52" s="1"/>
  <c r="K37" i="52"/>
  <c r="L37" i="52" s="1"/>
  <c r="F90" i="52"/>
  <c r="G90" i="52" s="1"/>
  <c r="K32" i="52"/>
  <c r="L32" i="52" s="1"/>
  <c r="P33" i="52"/>
  <c r="Q33" i="52" s="1"/>
  <c r="P58" i="52"/>
  <c r="Q58" i="52" s="1"/>
  <c r="K56" i="52"/>
  <c r="L56" i="52" s="1"/>
  <c r="K55" i="52"/>
  <c r="L55" i="52" s="1"/>
  <c r="P55" i="52"/>
  <c r="Q55" i="52" s="1"/>
  <c r="A66" i="52"/>
  <c r="K50" i="52"/>
  <c r="L50" i="52" s="1"/>
  <c r="P50" i="52"/>
  <c r="Q50" i="52" s="1"/>
  <c r="H46" i="6"/>
  <c r="J46" i="6" s="1"/>
  <c r="E46" i="6"/>
  <c r="H45" i="6"/>
  <c r="M45" i="6" s="1"/>
  <c r="O45" i="6" s="1"/>
  <c r="E45" i="6"/>
  <c r="H44" i="6"/>
  <c r="J44" i="6" s="1"/>
  <c r="E44" i="6"/>
  <c r="H43" i="6"/>
  <c r="J43" i="6" s="1"/>
  <c r="E43" i="6"/>
  <c r="H42" i="6"/>
  <c r="J42" i="6" s="1"/>
  <c r="E42" i="6"/>
  <c r="H41" i="6"/>
  <c r="M41" i="6" s="1"/>
  <c r="O41" i="6" s="1"/>
  <c r="E41" i="6"/>
  <c r="H40" i="6"/>
  <c r="J40" i="6" s="1"/>
  <c r="E40" i="6"/>
  <c r="H39" i="6"/>
  <c r="J39" i="6" s="1"/>
  <c r="E39" i="6"/>
  <c r="H38" i="6"/>
  <c r="J38" i="6" s="1"/>
  <c r="E38" i="6"/>
  <c r="H37" i="6"/>
  <c r="M37" i="6" s="1"/>
  <c r="O37" i="6" s="1"/>
  <c r="E37" i="6"/>
  <c r="H36" i="6"/>
  <c r="J36" i="6" s="1"/>
  <c r="E36" i="6"/>
  <c r="H35" i="6"/>
  <c r="J35" i="6" s="1"/>
  <c r="E35" i="6"/>
  <c r="H34" i="6"/>
  <c r="J34" i="6" s="1"/>
  <c r="E34" i="6"/>
  <c r="H33" i="6"/>
  <c r="M33" i="6" s="1"/>
  <c r="O33" i="6" s="1"/>
  <c r="E33" i="6"/>
  <c r="H32" i="6"/>
  <c r="M32" i="6" s="1"/>
  <c r="O32" i="6" s="1"/>
  <c r="E32" i="6"/>
  <c r="H31" i="6"/>
  <c r="M31" i="6" s="1"/>
  <c r="O31" i="6" s="1"/>
  <c r="E31" i="6"/>
  <c r="G66" i="52" l="1"/>
  <c r="Q79" i="52"/>
  <c r="L79" i="52"/>
  <c r="L66" i="52"/>
  <c r="L38" i="52"/>
  <c r="Q92" i="52"/>
  <c r="L23" i="52"/>
  <c r="L92" i="52"/>
  <c r="Q51" i="52"/>
  <c r="A4" i="52"/>
  <c r="Q38" i="52"/>
  <c r="G38" i="52"/>
  <c r="G92" i="52"/>
  <c r="G79" i="52"/>
  <c r="G23" i="52"/>
  <c r="Q23" i="52"/>
  <c r="G51" i="52"/>
  <c r="L51" i="52"/>
  <c r="Q66" i="52"/>
  <c r="M43" i="6"/>
  <c r="O43" i="6" s="1"/>
  <c r="J41" i="6"/>
  <c r="M40" i="6"/>
  <c r="O40" i="6" s="1"/>
  <c r="J37" i="6"/>
  <c r="J45" i="6"/>
  <c r="J33" i="6"/>
  <c r="M35" i="6"/>
  <c r="O35" i="6" s="1"/>
  <c r="M36" i="6"/>
  <c r="O36" i="6" s="1"/>
  <c r="M44" i="6"/>
  <c r="O44" i="6" s="1"/>
  <c r="J31" i="6"/>
  <c r="J32" i="6"/>
  <c r="M39" i="6"/>
  <c r="O39" i="6" s="1"/>
  <c r="M34" i="6"/>
  <c r="O34" i="6" s="1"/>
  <c r="M38" i="6"/>
  <c r="O38" i="6" s="1"/>
  <c r="M42" i="6"/>
  <c r="O42" i="6" s="1"/>
  <c r="M46" i="6"/>
  <c r="O46" i="6" s="1"/>
  <c r="D14" i="17"/>
  <c r="D16" i="17"/>
  <c r="W24" i="52" l="1"/>
  <c r="C40" i="7" s="1"/>
  <c r="W52" i="52"/>
  <c r="I40" i="7" s="1"/>
  <c r="S52" i="52"/>
  <c r="I85" i="7" s="1"/>
  <c r="S24" i="52"/>
  <c r="C85" i="7" s="1"/>
  <c r="S3" i="52"/>
  <c r="C17" i="7" s="1"/>
  <c r="W79" i="52"/>
  <c r="C48" i="7" s="1"/>
  <c r="S79" i="52"/>
  <c r="C93" i="7" s="1"/>
  <c r="AA3" i="52"/>
  <c r="C74" i="7" s="1"/>
  <c r="W3" i="52"/>
  <c r="C29" i="7" s="1"/>
  <c r="A6" i="17"/>
  <c r="A5" i="17"/>
  <c r="J145" i="1" l="1"/>
  <c r="J144" i="1"/>
  <c r="J143" i="1"/>
  <c r="J142" i="1"/>
  <c r="J141" i="1"/>
  <c r="J140" i="1"/>
  <c r="J139" i="1"/>
  <c r="J138" i="1"/>
  <c r="J137" i="1"/>
  <c r="J136" i="1"/>
  <c r="P15" i="7" l="1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14" i="7"/>
  <c r="Q14" i="7" s="1"/>
  <c r="Q23" i="7" l="1"/>
  <c r="P23" i="7"/>
  <c r="H71" i="10"/>
  <c r="J71" i="10" s="1"/>
  <c r="K71" i="10" s="1"/>
  <c r="L71" i="10" s="1"/>
  <c r="H72" i="10"/>
  <c r="J72" i="10" s="1"/>
  <c r="K72" i="10" s="1"/>
  <c r="L72" i="10" s="1"/>
  <c r="H73" i="10"/>
  <c r="J73" i="10" s="1"/>
  <c r="K73" i="10" s="1"/>
  <c r="L73" i="10" s="1"/>
  <c r="H74" i="10"/>
  <c r="J74" i="10" s="1"/>
  <c r="K74" i="10" s="1"/>
  <c r="L74" i="10" s="1"/>
  <c r="H75" i="10"/>
  <c r="J75" i="10" s="1"/>
  <c r="K75" i="10" s="1"/>
  <c r="L75" i="10" s="1"/>
  <c r="H76" i="10"/>
  <c r="M76" i="10" s="1"/>
  <c r="O76" i="10" s="1"/>
  <c r="P76" i="10" s="1"/>
  <c r="Q76" i="10" s="1"/>
  <c r="H70" i="10"/>
  <c r="J70" i="10" s="1"/>
  <c r="K70" i="10" s="1"/>
  <c r="L70" i="10" s="1"/>
  <c r="F71" i="10"/>
  <c r="G71" i="10" s="1"/>
  <c r="F72" i="10"/>
  <c r="G72" i="10" s="1"/>
  <c r="F73" i="10"/>
  <c r="G73" i="10" s="1"/>
  <c r="F74" i="10"/>
  <c r="G74" i="10" s="1"/>
  <c r="F75" i="10"/>
  <c r="G75" i="10" s="1"/>
  <c r="F76" i="10"/>
  <c r="G76" i="10" s="1"/>
  <c r="F70" i="10"/>
  <c r="G70" i="10" s="1"/>
  <c r="M71" i="10" l="1"/>
  <c r="O71" i="10" s="1"/>
  <c r="P71" i="10" s="1"/>
  <c r="Q71" i="10" s="1"/>
  <c r="M75" i="10"/>
  <c r="O75" i="10" s="1"/>
  <c r="P75" i="10" s="1"/>
  <c r="Q75" i="10" s="1"/>
  <c r="M74" i="10"/>
  <c r="O74" i="10" s="1"/>
  <c r="P74" i="10" s="1"/>
  <c r="Q74" i="10" s="1"/>
  <c r="M70" i="10"/>
  <c r="O70" i="10" s="1"/>
  <c r="P70" i="10" s="1"/>
  <c r="Q70" i="10" s="1"/>
  <c r="M73" i="10"/>
  <c r="O73" i="10" s="1"/>
  <c r="P73" i="10" s="1"/>
  <c r="Q73" i="10" s="1"/>
  <c r="J76" i="10"/>
  <c r="K76" i="10" s="1"/>
  <c r="L76" i="10" s="1"/>
  <c r="L77" i="10" s="1"/>
  <c r="M72" i="10"/>
  <c r="O72" i="10" s="1"/>
  <c r="P72" i="10" s="1"/>
  <c r="Q72" i="10" s="1"/>
  <c r="C78" i="7"/>
  <c r="N18" i="18" s="1"/>
  <c r="C21" i="7"/>
  <c r="C33" i="7"/>
  <c r="G77" i="10"/>
  <c r="H318" i="10"/>
  <c r="M318" i="10" s="1"/>
  <c r="O318" i="10" s="1"/>
  <c r="P318" i="10" s="1"/>
  <c r="Q318" i="10" s="1"/>
  <c r="E318" i="10"/>
  <c r="F318" i="10" s="1"/>
  <c r="G318" i="10" s="1"/>
  <c r="Q77" i="10" l="1"/>
  <c r="J318" i="10"/>
  <c r="K318" i="10" s="1"/>
  <c r="L318" i="10" s="1"/>
  <c r="N21" i="18"/>
  <c r="K22" i="17"/>
  <c r="J21" i="17"/>
  <c r="J20" i="17"/>
  <c r="J19" i="17"/>
  <c r="J18" i="17"/>
  <c r="D9" i="17"/>
  <c r="E9" i="17" s="1"/>
  <c r="N22" i="18" l="1"/>
  <c r="N20" i="18"/>
  <c r="H145" i="4"/>
  <c r="A27" i="6" l="1"/>
  <c r="H68" i="13"/>
  <c r="M68" i="13" s="1"/>
  <c r="O68" i="13" s="1"/>
  <c r="P68" i="13" s="1"/>
  <c r="Q68" i="13" s="1"/>
  <c r="E68" i="13"/>
  <c r="F68" i="13" s="1"/>
  <c r="G68" i="13" s="1"/>
  <c r="H67" i="13"/>
  <c r="M67" i="13" s="1"/>
  <c r="O67" i="13" s="1"/>
  <c r="P67" i="13" s="1"/>
  <c r="Q67" i="13" s="1"/>
  <c r="E67" i="13"/>
  <c r="F67" i="13" s="1"/>
  <c r="G67" i="13" s="1"/>
  <c r="H66" i="13"/>
  <c r="J66" i="13" s="1"/>
  <c r="K66" i="13" s="1"/>
  <c r="L66" i="13" s="1"/>
  <c r="E66" i="13"/>
  <c r="F66" i="13" s="1"/>
  <c r="G66" i="13" s="1"/>
  <c r="H61" i="13"/>
  <c r="M61" i="13" s="1"/>
  <c r="O61" i="13" s="1"/>
  <c r="P61" i="13" s="1"/>
  <c r="Q61" i="13" s="1"/>
  <c r="E61" i="13"/>
  <c r="F61" i="13" s="1"/>
  <c r="G61" i="13" s="1"/>
  <c r="H60" i="13"/>
  <c r="J60" i="13" s="1"/>
  <c r="K60" i="13" s="1"/>
  <c r="L60" i="13" s="1"/>
  <c r="E60" i="13"/>
  <c r="F60" i="13" s="1"/>
  <c r="G60" i="13" s="1"/>
  <c r="H59" i="13"/>
  <c r="M59" i="13" s="1"/>
  <c r="O59" i="13" s="1"/>
  <c r="P59" i="13" s="1"/>
  <c r="Q59" i="13" s="1"/>
  <c r="E59" i="13"/>
  <c r="F59" i="13" s="1"/>
  <c r="G59" i="13" s="1"/>
  <c r="H54" i="13"/>
  <c r="M54" i="13" s="1"/>
  <c r="O54" i="13" s="1"/>
  <c r="P54" i="13" s="1"/>
  <c r="Q54" i="13" s="1"/>
  <c r="E54" i="13"/>
  <c r="F54" i="13" s="1"/>
  <c r="G54" i="13" s="1"/>
  <c r="H53" i="13"/>
  <c r="J53" i="13" s="1"/>
  <c r="K53" i="13" s="1"/>
  <c r="L53" i="13" s="1"/>
  <c r="E53" i="13"/>
  <c r="F53" i="13" s="1"/>
  <c r="G53" i="13" s="1"/>
  <c r="H52" i="13"/>
  <c r="J52" i="13" s="1"/>
  <c r="K52" i="13" s="1"/>
  <c r="L52" i="13" s="1"/>
  <c r="E52" i="13"/>
  <c r="F52" i="13" s="1"/>
  <c r="G52" i="13" s="1"/>
  <c r="H51" i="13"/>
  <c r="M51" i="13" s="1"/>
  <c r="O51" i="13" s="1"/>
  <c r="P51" i="13" s="1"/>
  <c r="Q51" i="13" s="1"/>
  <c r="E51" i="13"/>
  <c r="F51" i="13" s="1"/>
  <c r="G51" i="13" s="1"/>
  <c r="H50" i="13"/>
  <c r="M50" i="13" s="1"/>
  <c r="O50" i="13" s="1"/>
  <c r="P50" i="13" s="1"/>
  <c r="Q50" i="13" s="1"/>
  <c r="E50" i="13"/>
  <c r="F50" i="13" s="1"/>
  <c r="G50" i="13" s="1"/>
  <c r="H45" i="13"/>
  <c r="J45" i="13" s="1"/>
  <c r="K45" i="13" s="1"/>
  <c r="L45" i="13" s="1"/>
  <c r="E45" i="13"/>
  <c r="F45" i="13" s="1"/>
  <c r="G45" i="13" s="1"/>
  <c r="H44" i="13"/>
  <c r="M44" i="13" s="1"/>
  <c r="O44" i="13" s="1"/>
  <c r="P44" i="13" s="1"/>
  <c r="Q44" i="13" s="1"/>
  <c r="E44" i="13"/>
  <c r="F44" i="13" s="1"/>
  <c r="G44" i="13" s="1"/>
  <c r="H43" i="13"/>
  <c r="M43" i="13" s="1"/>
  <c r="O43" i="13" s="1"/>
  <c r="P43" i="13" s="1"/>
  <c r="Q43" i="13" s="1"/>
  <c r="E43" i="13"/>
  <c r="F43" i="13" s="1"/>
  <c r="G43" i="13" s="1"/>
  <c r="H42" i="13"/>
  <c r="J42" i="13" s="1"/>
  <c r="K42" i="13" s="1"/>
  <c r="L42" i="13" s="1"/>
  <c r="E42" i="13"/>
  <c r="F42" i="13" s="1"/>
  <c r="G42" i="13" s="1"/>
  <c r="H41" i="13"/>
  <c r="M41" i="13" s="1"/>
  <c r="O41" i="13" s="1"/>
  <c r="P41" i="13" s="1"/>
  <c r="Q41" i="13" s="1"/>
  <c r="E41" i="13"/>
  <c r="F41" i="13" s="1"/>
  <c r="G41" i="13" s="1"/>
  <c r="H36" i="13"/>
  <c r="J36" i="13" s="1"/>
  <c r="K36" i="13" s="1"/>
  <c r="L36" i="13" s="1"/>
  <c r="E36" i="13"/>
  <c r="F36" i="13" s="1"/>
  <c r="G36" i="13" s="1"/>
  <c r="H35" i="13"/>
  <c r="J35" i="13" s="1"/>
  <c r="K35" i="13" s="1"/>
  <c r="L35" i="13" s="1"/>
  <c r="E35" i="13"/>
  <c r="F35" i="13" s="1"/>
  <c r="G35" i="13" s="1"/>
  <c r="H34" i="13"/>
  <c r="M34" i="13" s="1"/>
  <c r="O34" i="13" s="1"/>
  <c r="P34" i="13" s="1"/>
  <c r="Q34" i="13" s="1"/>
  <c r="E34" i="13"/>
  <c r="F34" i="13" s="1"/>
  <c r="G34" i="13" s="1"/>
  <c r="H33" i="13"/>
  <c r="M33" i="13" s="1"/>
  <c r="O33" i="13" s="1"/>
  <c r="P33" i="13" s="1"/>
  <c r="Q33" i="13" s="1"/>
  <c r="E33" i="13"/>
  <c r="F33" i="13" s="1"/>
  <c r="G33" i="13" s="1"/>
  <c r="H32" i="13"/>
  <c r="J32" i="13" s="1"/>
  <c r="K32" i="13" s="1"/>
  <c r="L32" i="13" s="1"/>
  <c r="E32" i="13"/>
  <c r="F32" i="13" s="1"/>
  <c r="G32" i="13" s="1"/>
  <c r="H20" i="13"/>
  <c r="J20" i="13" s="1"/>
  <c r="K20" i="13" s="1"/>
  <c r="L20" i="13" s="1"/>
  <c r="H21" i="13"/>
  <c r="J21" i="13" s="1"/>
  <c r="K21" i="13" s="1"/>
  <c r="L21" i="13" s="1"/>
  <c r="H22" i="13"/>
  <c r="J22" i="13" s="1"/>
  <c r="K22" i="13" s="1"/>
  <c r="L22" i="13" s="1"/>
  <c r="H23" i="13"/>
  <c r="J23" i="13" s="1"/>
  <c r="K23" i="13" s="1"/>
  <c r="L23" i="13" s="1"/>
  <c r="H24" i="13"/>
  <c r="J24" i="13" s="1"/>
  <c r="K24" i="13" s="1"/>
  <c r="L24" i="13" s="1"/>
  <c r="H25" i="13"/>
  <c r="J25" i="13" s="1"/>
  <c r="K25" i="13" s="1"/>
  <c r="L25" i="13" s="1"/>
  <c r="H26" i="13"/>
  <c r="J26" i="13" s="1"/>
  <c r="K26" i="13" s="1"/>
  <c r="L26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H27" i="13"/>
  <c r="J27" i="13" s="1"/>
  <c r="K27" i="13" s="1"/>
  <c r="L27" i="13" s="1"/>
  <c r="E27" i="13"/>
  <c r="F27" i="13" s="1"/>
  <c r="G27" i="13" s="1"/>
  <c r="H19" i="13"/>
  <c r="M19" i="13" s="1"/>
  <c r="O19" i="13" s="1"/>
  <c r="P19" i="13" s="1"/>
  <c r="Q19" i="13" s="1"/>
  <c r="E19" i="13"/>
  <c r="F19" i="13" s="1"/>
  <c r="G19" i="13" s="1"/>
  <c r="H18" i="13"/>
  <c r="M18" i="13" s="1"/>
  <c r="O18" i="13" s="1"/>
  <c r="P18" i="13" s="1"/>
  <c r="Q18" i="13" s="1"/>
  <c r="E18" i="13"/>
  <c r="F18" i="13" s="1"/>
  <c r="G18" i="13" s="1"/>
  <c r="H17" i="13"/>
  <c r="J17" i="13" s="1"/>
  <c r="K17" i="13" s="1"/>
  <c r="L17" i="13" s="1"/>
  <c r="E17" i="13"/>
  <c r="F17" i="13" s="1"/>
  <c r="G17" i="13" s="1"/>
  <c r="H16" i="13"/>
  <c r="M16" i="13" s="1"/>
  <c r="O16" i="13" s="1"/>
  <c r="P16" i="13" s="1"/>
  <c r="Q16" i="13" s="1"/>
  <c r="E16" i="13"/>
  <c r="F16" i="13" s="1"/>
  <c r="G16" i="13" s="1"/>
  <c r="H11" i="13"/>
  <c r="M11" i="13" s="1"/>
  <c r="O11" i="13" s="1"/>
  <c r="P11" i="13" s="1"/>
  <c r="Q11" i="13" s="1"/>
  <c r="E11" i="13"/>
  <c r="F11" i="13" s="1"/>
  <c r="G11" i="13" s="1"/>
  <c r="H10" i="13"/>
  <c r="J10" i="13" s="1"/>
  <c r="K10" i="13" s="1"/>
  <c r="L10" i="13" s="1"/>
  <c r="E10" i="13"/>
  <c r="F10" i="13" s="1"/>
  <c r="G10" i="13" s="1"/>
  <c r="H9" i="13"/>
  <c r="J9" i="13" s="1"/>
  <c r="K9" i="13" s="1"/>
  <c r="L9" i="13" s="1"/>
  <c r="E9" i="13"/>
  <c r="F9" i="13" s="1"/>
  <c r="G9" i="13" s="1"/>
  <c r="H8" i="13"/>
  <c r="M8" i="13" s="1"/>
  <c r="O8" i="13" s="1"/>
  <c r="P8" i="13" s="1"/>
  <c r="Q8" i="13" s="1"/>
  <c r="E8" i="13"/>
  <c r="F8" i="13" s="1"/>
  <c r="G8" i="13" s="1"/>
  <c r="H7" i="13"/>
  <c r="M7" i="13" s="1"/>
  <c r="O7" i="13" s="1"/>
  <c r="P7" i="13" s="1"/>
  <c r="Q7" i="13" s="1"/>
  <c r="E7" i="13"/>
  <c r="F7" i="13" s="1"/>
  <c r="G7" i="13" s="1"/>
  <c r="F43" i="6" l="1"/>
  <c r="G43" i="6" s="1"/>
  <c r="P39" i="6"/>
  <c r="Q39" i="6" s="1"/>
  <c r="F40" i="6"/>
  <c r="G40" i="6" s="1"/>
  <c r="F38" i="6"/>
  <c r="G38" i="6" s="1"/>
  <c r="K32" i="6"/>
  <c r="L32" i="6" s="1"/>
  <c r="P46" i="6"/>
  <c r="Q46" i="6" s="1"/>
  <c r="P34" i="6"/>
  <c r="Q34" i="6" s="1"/>
  <c r="P44" i="6"/>
  <c r="Q44" i="6" s="1"/>
  <c r="F36" i="6"/>
  <c r="G36" i="6" s="1"/>
  <c r="P33" i="6"/>
  <c r="Q33" i="6" s="1"/>
  <c r="K35" i="6"/>
  <c r="L35" i="6" s="1"/>
  <c r="K41" i="6"/>
  <c r="L41" i="6" s="1"/>
  <c r="M66" i="13"/>
  <c r="O66" i="13" s="1"/>
  <c r="P66" i="13" s="1"/>
  <c r="Q66" i="13" s="1"/>
  <c r="Q69" i="13" s="1"/>
  <c r="O102" i="7" s="1"/>
  <c r="G69" i="13"/>
  <c r="J67" i="13"/>
  <c r="K67" i="13" s="1"/>
  <c r="L67" i="13" s="1"/>
  <c r="J68" i="13"/>
  <c r="K68" i="13" s="1"/>
  <c r="L68" i="13" s="1"/>
  <c r="J50" i="13"/>
  <c r="K50" i="13" s="1"/>
  <c r="L50" i="13" s="1"/>
  <c r="M32" i="13"/>
  <c r="O32" i="13" s="1"/>
  <c r="P32" i="13" s="1"/>
  <c r="Q32" i="13" s="1"/>
  <c r="J61" i="13"/>
  <c r="K61" i="13" s="1"/>
  <c r="L61" i="13" s="1"/>
  <c r="J19" i="13"/>
  <c r="K19" i="13" s="1"/>
  <c r="L19" i="13" s="1"/>
  <c r="M45" i="13"/>
  <c r="O45" i="13" s="1"/>
  <c r="P45" i="13" s="1"/>
  <c r="Q45" i="13" s="1"/>
  <c r="J51" i="13"/>
  <c r="K51" i="13" s="1"/>
  <c r="L51" i="13" s="1"/>
  <c r="M26" i="13"/>
  <c r="O26" i="13" s="1"/>
  <c r="P26" i="13" s="1"/>
  <c r="Q26" i="13" s="1"/>
  <c r="M60" i="13"/>
  <c r="O60" i="13" s="1"/>
  <c r="P60" i="13" s="1"/>
  <c r="Q60" i="13" s="1"/>
  <c r="Q62" i="13" s="1"/>
  <c r="O101" i="7" s="1"/>
  <c r="P101" i="7" s="1"/>
  <c r="G62" i="13"/>
  <c r="J59" i="13"/>
  <c r="K59" i="13" s="1"/>
  <c r="L59" i="13" s="1"/>
  <c r="G55" i="13"/>
  <c r="M52" i="13"/>
  <c r="O52" i="13" s="1"/>
  <c r="P52" i="13" s="1"/>
  <c r="Q52" i="13" s="1"/>
  <c r="M53" i="13"/>
  <c r="O53" i="13" s="1"/>
  <c r="P53" i="13" s="1"/>
  <c r="Q53" i="13" s="1"/>
  <c r="J54" i="13"/>
  <c r="K54" i="13" s="1"/>
  <c r="L54" i="13" s="1"/>
  <c r="J44" i="13"/>
  <c r="K44" i="13" s="1"/>
  <c r="L44" i="13" s="1"/>
  <c r="M42" i="13"/>
  <c r="O42" i="13" s="1"/>
  <c r="P42" i="13" s="1"/>
  <c r="Q42" i="13" s="1"/>
  <c r="G46" i="13"/>
  <c r="J43" i="13"/>
  <c r="K43" i="13" s="1"/>
  <c r="L43" i="13" s="1"/>
  <c r="J41" i="13"/>
  <c r="K41" i="13" s="1"/>
  <c r="L41" i="13" s="1"/>
  <c r="M35" i="13"/>
  <c r="O35" i="13" s="1"/>
  <c r="P35" i="13" s="1"/>
  <c r="Q35" i="13" s="1"/>
  <c r="J34" i="13"/>
  <c r="K34" i="13" s="1"/>
  <c r="L34" i="13" s="1"/>
  <c r="J33" i="13"/>
  <c r="K33" i="13" s="1"/>
  <c r="L33" i="13" s="1"/>
  <c r="G37" i="13"/>
  <c r="M36" i="13"/>
  <c r="O36" i="13" s="1"/>
  <c r="P36" i="13" s="1"/>
  <c r="Q36" i="13" s="1"/>
  <c r="M27" i="13"/>
  <c r="O27" i="13" s="1"/>
  <c r="P27" i="13" s="1"/>
  <c r="Q27" i="13" s="1"/>
  <c r="M21" i="13"/>
  <c r="O21" i="13" s="1"/>
  <c r="P21" i="13" s="1"/>
  <c r="Q21" i="13" s="1"/>
  <c r="M25" i="13"/>
  <c r="O25" i="13" s="1"/>
  <c r="P25" i="13" s="1"/>
  <c r="Q25" i="13" s="1"/>
  <c r="M24" i="13"/>
  <c r="O24" i="13" s="1"/>
  <c r="P24" i="13" s="1"/>
  <c r="Q24" i="13" s="1"/>
  <c r="M23" i="13"/>
  <c r="O23" i="13" s="1"/>
  <c r="P23" i="13" s="1"/>
  <c r="Q23" i="13" s="1"/>
  <c r="M22" i="13"/>
  <c r="O22" i="13" s="1"/>
  <c r="P22" i="13" s="1"/>
  <c r="Q22" i="13" s="1"/>
  <c r="M20" i="13"/>
  <c r="O20" i="13" s="1"/>
  <c r="P20" i="13" s="1"/>
  <c r="Q20" i="13" s="1"/>
  <c r="M17" i="13"/>
  <c r="O17" i="13" s="1"/>
  <c r="P17" i="13" s="1"/>
  <c r="Q17" i="13" s="1"/>
  <c r="G28" i="13"/>
  <c r="J18" i="13"/>
  <c r="K18" i="13" s="1"/>
  <c r="L18" i="13" s="1"/>
  <c r="J16" i="13"/>
  <c r="K16" i="13" s="1"/>
  <c r="L16" i="13" s="1"/>
  <c r="M10" i="13"/>
  <c r="O10" i="13" s="1"/>
  <c r="P10" i="13" s="1"/>
  <c r="Q10" i="13" s="1"/>
  <c r="J7" i="13"/>
  <c r="K7" i="13" s="1"/>
  <c r="L7" i="13" s="1"/>
  <c r="J8" i="13"/>
  <c r="K8" i="13" s="1"/>
  <c r="L8" i="13" s="1"/>
  <c r="G12" i="13"/>
  <c r="J11" i="13"/>
  <c r="K11" i="13" s="1"/>
  <c r="L11" i="13" s="1"/>
  <c r="M9" i="13"/>
  <c r="O9" i="13" s="1"/>
  <c r="P9" i="13" s="1"/>
  <c r="Q9" i="13" s="1"/>
  <c r="I63" i="7"/>
  <c r="J63" i="7" s="1"/>
  <c r="D55" i="7"/>
  <c r="P47" i="7"/>
  <c r="J47" i="7"/>
  <c r="P40" i="7"/>
  <c r="F46" i="6" l="1"/>
  <c r="G46" i="6" s="1"/>
  <c r="K46" i="6"/>
  <c r="L46" i="6" s="1"/>
  <c r="P38" i="6"/>
  <c r="Q38" i="6" s="1"/>
  <c r="K36" i="6"/>
  <c r="L36" i="6" s="1"/>
  <c r="P36" i="6"/>
  <c r="Q36" i="6" s="1"/>
  <c r="P41" i="6"/>
  <c r="Q41" i="6" s="1"/>
  <c r="K38" i="6"/>
  <c r="L38" i="6" s="1"/>
  <c r="P35" i="6"/>
  <c r="Q35" i="6" s="1"/>
  <c r="F35" i="6"/>
  <c r="G35" i="6" s="1"/>
  <c r="P40" i="6"/>
  <c r="Q40" i="6" s="1"/>
  <c r="K40" i="6"/>
  <c r="L40" i="6" s="1"/>
  <c r="K39" i="6"/>
  <c r="L39" i="6" s="1"/>
  <c r="P43" i="6"/>
  <c r="Q43" i="6" s="1"/>
  <c r="K43" i="6"/>
  <c r="L43" i="6" s="1"/>
  <c r="F39" i="6"/>
  <c r="G39" i="6" s="1"/>
  <c r="P32" i="6"/>
  <c r="Q32" i="6" s="1"/>
  <c r="F41" i="6"/>
  <c r="G41" i="6" s="1"/>
  <c r="F32" i="6"/>
  <c r="G32" i="6" s="1"/>
  <c r="K34" i="6"/>
  <c r="L34" i="6" s="1"/>
  <c r="F34" i="6"/>
  <c r="G34" i="6" s="1"/>
  <c r="F33" i="6"/>
  <c r="G33" i="6" s="1"/>
  <c r="K33" i="6"/>
  <c r="L33" i="6" s="1"/>
  <c r="F44" i="6"/>
  <c r="G44" i="6" s="1"/>
  <c r="K44" i="6"/>
  <c r="L44" i="6" s="1"/>
  <c r="F42" i="6"/>
  <c r="G42" i="6" s="1"/>
  <c r="P42" i="6"/>
  <c r="Q42" i="6" s="1"/>
  <c r="K42" i="6"/>
  <c r="L42" i="6" s="1"/>
  <c r="A47" i="6"/>
  <c r="K31" i="6"/>
  <c r="L31" i="6" s="1"/>
  <c r="F31" i="6"/>
  <c r="G31" i="6" s="1"/>
  <c r="P31" i="6"/>
  <c r="Q31" i="6" s="1"/>
  <c r="F45" i="6"/>
  <c r="G45" i="6" s="1"/>
  <c r="K45" i="6"/>
  <c r="L45" i="6" s="1"/>
  <c r="P45" i="6"/>
  <c r="Q45" i="6" s="1"/>
  <c r="P37" i="6"/>
  <c r="Q37" i="6" s="1"/>
  <c r="F37" i="6"/>
  <c r="G37" i="6" s="1"/>
  <c r="K37" i="6"/>
  <c r="L37" i="6" s="1"/>
  <c r="P102" i="7"/>
  <c r="L69" i="13"/>
  <c r="O56" i="7" s="1"/>
  <c r="P56" i="7" s="1"/>
  <c r="L55" i="13"/>
  <c r="L46" i="13"/>
  <c r="S3" i="13"/>
  <c r="C20" i="7" s="1"/>
  <c r="L62" i="13"/>
  <c r="O55" i="7" s="1"/>
  <c r="P55" i="7" s="1"/>
  <c r="Q46" i="13"/>
  <c r="Q55" i="13"/>
  <c r="Q37" i="13"/>
  <c r="L37" i="13"/>
  <c r="Q28" i="13"/>
  <c r="L28" i="13"/>
  <c r="Q12" i="13"/>
  <c r="O99" i="7" s="1"/>
  <c r="L12" i="13"/>
  <c r="O53" i="7" s="1"/>
  <c r="H249" i="10"/>
  <c r="J249" i="10" s="1"/>
  <c r="E249" i="10"/>
  <c r="H248" i="10"/>
  <c r="M248" i="10" s="1"/>
  <c r="O248" i="10" s="1"/>
  <c r="E248" i="10"/>
  <c r="H247" i="10"/>
  <c r="J247" i="10" s="1"/>
  <c r="E247" i="10"/>
  <c r="H246" i="10"/>
  <c r="M246" i="10" s="1"/>
  <c r="O246" i="10" s="1"/>
  <c r="E246" i="10"/>
  <c r="H245" i="10"/>
  <c r="M245" i="10" s="1"/>
  <c r="O245" i="10" s="1"/>
  <c r="E245" i="10"/>
  <c r="H244" i="10"/>
  <c r="J244" i="10" s="1"/>
  <c r="E244" i="10"/>
  <c r="H243" i="10"/>
  <c r="E243" i="10"/>
  <c r="H238" i="10"/>
  <c r="M238" i="10" s="1"/>
  <c r="O238" i="10" s="1"/>
  <c r="E238" i="10"/>
  <c r="H237" i="10"/>
  <c r="J237" i="10" s="1"/>
  <c r="E237" i="10"/>
  <c r="H236" i="10"/>
  <c r="M236" i="10" s="1"/>
  <c r="O236" i="10" s="1"/>
  <c r="E236" i="10"/>
  <c r="H235" i="10"/>
  <c r="J235" i="10" s="1"/>
  <c r="E235" i="10"/>
  <c r="H234" i="10"/>
  <c r="J234" i="10" s="1"/>
  <c r="E234" i="10"/>
  <c r="H233" i="10"/>
  <c r="E233" i="10"/>
  <c r="H232" i="10"/>
  <c r="M232" i="10" s="1"/>
  <c r="O232" i="10" s="1"/>
  <c r="E232" i="10"/>
  <c r="H227" i="10"/>
  <c r="M227" i="10" s="1"/>
  <c r="O227" i="10" s="1"/>
  <c r="E227" i="10"/>
  <c r="H226" i="10"/>
  <c r="J226" i="10" s="1"/>
  <c r="E226" i="10"/>
  <c r="H225" i="10"/>
  <c r="M225" i="10" s="1"/>
  <c r="O225" i="10" s="1"/>
  <c r="E225" i="10"/>
  <c r="H224" i="10"/>
  <c r="J224" i="10" s="1"/>
  <c r="E224" i="10"/>
  <c r="H223" i="10"/>
  <c r="M223" i="10" s="1"/>
  <c r="O223" i="10" s="1"/>
  <c r="E223" i="10"/>
  <c r="H222" i="10"/>
  <c r="J222" i="10" s="1"/>
  <c r="E222" i="10"/>
  <c r="H221" i="10"/>
  <c r="J221" i="10" s="1"/>
  <c r="E221" i="10"/>
  <c r="H216" i="10"/>
  <c r="J216" i="10" s="1"/>
  <c r="E216" i="10"/>
  <c r="H215" i="10"/>
  <c r="M215" i="10" s="1"/>
  <c r="O215" i="10" s="1"/>
  <c r="E215" i="10"/>
  <c r="H214" i="10"/>
  <c r="M214" i="10" s="1"/>
  <c r="O214" i="10" s="1"/>
  <c r="E214" i="10"/>
  <c r="H213" i="10"/>
  <c r="M213" i="10" s="1"/>
  <c r="O213" i="10" s="1"/>
  <c r="E213" i="10"/>
  <c r="H212" i="10"/>
  <c r="M212" i="10" s="1"/>
  <c r="O212" i="10" s="1"/>
  <c r="E212" i="10"/>
  <c r="H211" i="10"/>
  <c r="J211" i="10" s="1"/>
  <c r="E211" i="10"/>
  <c r="H210" i="10"/>
  <c r="E210" i="10"/>
  <c r="H209" i="10"/>
  <c r="E209" i="10"/>
  <c r="H204" i="10"/>
  <c r="M204" i="10" s="1"/>
  <c r="O204" i="10" s="1"/>
  <c r="E204" i="10"/>
  <c r="H203" i="10"/>
  <c r="J203" i="10" s="1"/>
  <c r="E203" i="10"/>
  <c r="H202" i="10"/>
  <c r="J202" i="10" s="1"/>
  <c r="E202" i="10"/>
  <c r="H201" i="10"/>
  <c r="E201" i="10"/>
  <c r="H200" i="10"/>
  <c r="M200" i="10" s="1"/>
  <c r="O200" i="10" s="1"/>
  <c r="E200" i="10"/>
  <c r="H199" i="10"/>
  <c r="M199" i="10" s="1"/>
  <c r="O199" i="10" s="1"/>
  <c r="E199" i="10"/>
  <c r="H198" i="10"/>
  <c r="E198" i="10"/>
  <c r="H193" i="10"/>
  <c r="M193" i="10" s="1"/>
  <c r="O193" i="10" s="1"/>
  <c r="E193" i="10"/>
  <c r="H192" i="10"/>
  <c r="M192" i="10" s="1"/>
  <c r="O192" i="10" s="1"/>
  <c r="E192" i="10"/>
  <c r="H191" i="10"/>
  <c r="M191" i="10" s="1"/>
  <c r="O191" i="10" s="1"/>
  <c r="E191" i="10"/>
  <c r="H190" i="10"/>
  <c r="E190" i="10"/>
  <c r="H189" i="10"/>
  <c r="M189" i="10" s="1"/>
  <c r="O189" i="10" s="1"/>
  <c r="E189" i="10"/>
  <c r="H188" i="10"/>
  <c r="J188" i="10" s="1"/>
  <c r="E188" i="10"/>
  <c r="H187" i="10"/>
  <c r="M187" i="10" s="1"/>
  <c r="O187" i="10" s="1"/>
  <c r="E187" i="10"/>
  <c r="I109" i="7"/>
  <c r="H54" i="10"/>
  <c r="J54" i="10" s="1"/>
  <c r="K54" i="10" s="1"/>
  <c r="L54" i="10" s="1"/>
  <c r="E54" i="10"/>
  <c r="F54" i="10" s="1"/>
  <c r="G54" i="10" s="1"/>
  <c r="H53" i="10"/>
  <c r="M53" i="10" s="1"/>
  <c r="O53" i="10" s="1"/>
  <c r="P53" i="10" s="1"/>
  <c r="Q53" i="10" s="1"/>
  <c r="E53" i="10"/>
  <c r="F53" i="10" s="1"/>
  <c r="G53" i="10" s="1"/>
  <c r="H52" i="10"/>
  <c r="M52" i="10" s="1"/>
  <c r="O52" i="10" s="1"/>
  <c r="P52" i="10" s="1"/>
  <c r="Q52" i="10" s="1"/>
  <c r="E52" i="10"/>
  <c r="F52" i="10" s="1"/>
  <c r="G52" i="10" s="1"/>
  <c r="H51" i="10"/>
  <c r="J51" i="10" s="1"/>
  <c r="K51" i="10" s="1"/>
  <c r="L51" i="10" s="1"/>
  <c r="E51" i="10"/>
  <c r="F51" i="10" s="1"/>
  <c r="G51" i="10" s="1"/>
  <c r="H50" i="10"/>
  <c r="M50" i="10" s="1"/>
  <c r="O50" i="10" s="1"/>
  <c r="P50" i="10" s="1"/>
  <c r="Q50" i="10" s="1"/>
  <c r="E50" i="10"/>
  <c r="F50" i="10" s="1"/>
  <c r="G50" i="10" s="1"/>
  <c r="H49" i="10"/>
  <c r="M49" i="10" s="1"/>
  <c r="O49" i="10" s="1"/>
  <c r="P49" i="10" s="1"/>
  <c r="Q49" i="10" s="1"/>
  <c r="E49" i="10"/>
  <c r="F49" i="10" s="1"/>
  <c r="G49" i="10" s="1"/>
  <c r="H48" i="10"/>
  <c r="M48" i="10" s="1"/>
  <c r="O48" i="10" s="1"/>
  <c r="P48" i="10" s="1"/>
  <c r="Q48" i="10" s="1"/>
  <c r="E48" i="10"/>
  <c r="F48" i="10" s="1"/>
  <c r="G48" i="10" s="1"/>
  <c r="H303" i="6"/>
  <c r="J303" i="6" s="1"/>
  <c r="E303" i="6"/>
  <c r="H302" i="6"/>
  <c r="E302" i="6"/>
  <c r="H301" i="6"/>
  <c r="M301" i="6" s="1"/>
  <c r="O301" i="6" s="1"/>
  <c r="E301" i="6"/>
  <c r="H300" i="6"/>
  <c r="M300" i="6" s="1"/>
  <c r="O300" i="6" s="1"/>
  <c r="E300" i="6"/>
  <c r="H299" i="6"/>
  <c r="M299" i="6" s="1"/>
  <c r="O299" i="6" s="1"/>
  <c r="E299" i="6"/>
  <c r="H298" i="6"/>
  <c r="J298" i="6" s="1"/>
  <c r="E298" i="6"/>
  <c r="H297" i="6"/>
  <c r="M297" i="6" s="1"/>
  <c r="O297" i="6" s="1"/>
  <c r="E297" i="6"/>
  <c r="H296" i="6"/>
  <c r="M296" i="6" s="1"/>
  <c r="O296" i="6" s="1"/>
  <c r="E296" i="6"/>
  <c r="H295" i="6"/>
  <c r="J295" i="6" s="1"/>
  <c r="E295" i="6"/>
  <c r="H290" i="6"/>
  <c r="J290" i="6" s="1"/>
  <c r="E290" i="6"/>
  <c r="H289" i="6"/>
  <c r="E289" i="6"/>
  <c r="H288" i="6"/>
  <c r="M288" i="6" s="1"/>
  <c r="O288" i="6" s="1"/>
  <c r="E288" i="6"/>
  <c r="H287" i="6"/>
  <c r="J287" i="6" s="1"/>
  <c r="E287" i="6"/>
  <c r="H286" i="6"/>
  <c r="M286" i="6" s="1"/>
  <c r="O286" i="6" s="1"/>
  <c r="E286" i="6"/>
  <c r="H285" i="6"/>
  <c r="M285" i="6" s="1"/>
  <c r="O285" i="6" s="1"/>
  <c r="E285" i="6"/>
  <c r="H284" i="6"/>
  <c r="J284" i="6" s="1"/>
  <c r="E284" i="6"/>
  <c r="H283" i="6"/>
  <c r="M283" i="6" s="1"/>
  <c r="O283" i="6" s="1"/>
  <c r="E283" i="6"/>
  <c r="H282" i="6"/>
  <c r="J282" i="6" s="1"/>
  <c r="E282" i="6"/>
  <c r="H276" i="6"/>
  <c r="M276" i="6" s="1"/>
  <c r="O276" i="6" s="1"/>
  <c r="E276" i="6"/>
  <c r="H275" i="6"/>
  <c r="J275" i="6" s="1"/>
  <c r="E275" i="6"/>
  <c r="H274" i="6"/>
  <c r="M274" i="6" s="1"/>
  <c r="O274" i="6" s="1"/>
  <c r="E274" i="6"/>
  <c r="H273" i="6"/>
  <c r="J273" i="6" s="1"/>
  <c r="E273" i="6"/>
  <c r="H272" i="6"/>
  <c r="M272" i="6" s="1"/>
  <c r="O272" i="6" s="1"/>
  <c r="E272" i="6"/>
  <c r="H271" i="6"/>
  <c r="J271" i="6" s="1"/>
  <c r="E271" i="6"/>
  <c r="H270" i="6"/>
  <c r="M270" i="6" s="1"/>
  <c r="O270" i="6" s="1"/>
  <c r="E270" i="6"/>
  <c r="H269" i="6"/>
  <c r="J269" i="6" s="1"/>
  <c r="E269" i="6"/>
  <c r="H268" i="6"/>
  <c r="M268" i="6" s="1"/>
  <c r="O268" i="6" s="1"/>
  <c r="E268" i="6"/>
  <c r="H191" i="6"/>
  <c r="M191" i="6" s="1"/>
  <c r="O191" i="6" s="1"/>
  <c r="E191" i="6"/>
  <c r="H190" i="6"/>
  <c r="J190" i="6" s="1"/>
  <c r="E190" i="6"/>
  <c r="H189" i="6"/>
  <c r="M189" i="6" s="1"/>
  <c r="O189" i="6" s="1"/>
  <c r="E189" i="6"/>
  <c r="H188" i="6"/>
  <c r="M188" i="6" s="1"/>
  <c r="O188" i="6" s="1"/>
  <c r="E188" i="6"/>
  <c r="H187" i="6"/>
  <c r="M187" i="6" s="1"/>
  <c r="O187" i="6" s="1"/>
  <c r="E187" i="6"/>
  <c r="H186" i="6"/>
  <c r="M186" i="6" s="1"/>
  <c r="O186" i="6" s="1"/>
  <c r="E186" i="6"/>
  <c r="H185" i="6"/>
  <c r="M185" i="6" s="1"/>
  <c r="O185" i="6" s="1"/>
  <c r="E185" i="6"/>
  <c r="H184" i="6"/>
  <c r="J184" i="6" s="1"/>
  <c r="E184" i="6"/>
  <c r="H183" i="6"/>
  <c r="M183" i="6" s="1"/>
  <c r="O183" i="6" s="1"/>
  <c r="E183" i="6"/>
  <c r="H178" i="6"/>
  <c r="E178" i="6"/>
  <c r="H177" i="6"/>
  <c r="M177" i="6" s="1"/>
  <c r="O177" i="6" s="1"/>
  <c r="E177" i="6"/>
  <c r="H176" i="6"/>
  <c r="M176" i="6" s="1"/>
  <c r="O176" i="6" s="1"/>
  <c r="E176" i="6"/>
  <c r="H175" i="6"/>
  <c r="M175" i="6" s="1"/>
  <c r="O175" i="6" s="1"/>
  <c r="E175" i="6"/>
  <c r="H174" i="6"/>
  <c r="J174" i="6" s="1"/>
  <c r="E174" i="6"/>
  <c r="H173" i="6"/>
  <c r="J173" i="6" s="1"/>
  <c r="E173" i="6"/>
  <c r="H172" i="6"/>
  <c r="M172" i="6" s="1"/>
  <c r="O172" i="6" s="1"/>
  <c r="E172" i="6"/>
  <c r="H171" i="6"/>
  <c r="J171" i="6" s="1"/>
  <c r="E171" i="6"/>
  <c r="H170" i="6"/>
  <c r="E170" i="6"/>
  <c r="H165" i="6"/>
  <c r="J165" i="6" s="1"/>
  <c r="E165" i="6"/>
  <c r="H164" i="6"/>
  <c r="J164" i="6" s="1"/>
  <c r="E164" i="6"/>
  <c r="H163" i="6"/>
  <c r="M163" i="6" s="1"/>
  <c r="O163" i="6" s="1"/>
  <c r="E163" i="6"/>
  <c r="H162" i="6"/>
  <c r="J162" i="6" s="1"/>
  <c r="E162" i="6"/>
  <c r="H161" i="6"/>
  <c r="E161" i="6"/>
  <c r="H160" i="6"/>
  <c r="M160" i="6" s="1"/>
  <c r="O160" i="6" s="1"/>
  <c r="E160" i="6"/>
  <c r="H159" i="6"/>
  <c r="M159" i="6" s="1"/>
  <c r="O159" i="6" s="1"/>
  <c r="E159" i="6"/>
  <c r="H158" i="6"/>
  <c r="M158" i="6" s="1"/>
  <c r="O158" i="6" s="1"/>
  <c r="E158" i="6"/>
  <c r="H157" i="6"/>
  <c r="M157" i="6" s="1"/>
  <c r="O157" i="6" s="1"/>
  <c r="E157" i="6"/>
  <c r="H152" i="6"/>
  <c r="J152" i="6" s="1"/>
  <c r="E152" i="6"/>
  <c r="H151" i="6"/>
  <c r="M151" i="6" s="1"/>
  <c r="O151" i="6" s="1"/>
  <c r="E151" i="6"/>
  <c r="H150" i="6"/>
  <c r="J150" i="6" s="1"/>
  <c r="E150" i="6"/>
  <c r="H149" i="6"/>
  <c r="J149" i="6" s="1"/>
  <c r="E149" i="6"/>
  <c r="H148" i="6"/>
  <c r="J148" i="6" s="1"/>
  <c r="E148" i="6"/>
  <c r="H147" i="6"/>
  <c r="J147" i="6" s="1"/>
  <c r="E147" i="6"/>
  <c r="H146" i="6"/>
  <c r="M146" i="6" s="1"/>
  <c r="O146" i="6" s="1"/>
  <c r="E146" i="6"/>
  <c r="H145" i="6"/>
  <c r="J145" i="6" s="1"/>
  <c r="E145" i="6"/>
  <c r="H144" i="6"/>
  <c r="E144" i="6"/>
  <c r="H143" i="6"/>
  <c r="M143" i="6" s="1"/>
  <c r="O143" i="6" s="1"/>
  <c r="E143" i="6"/>
  <c r="H142" i="6"/>
  <c r="M142" i="6" s="1"/>
  <c r="O142" i="6" s="1"/>
  <c r="E142" i="6"/>
  <c r="H141" i="6"/>
  <c r="M141" i="6" s="1"/>
  <c r="O141" i="6" s="1"/>
  <c r="E141" i="6"/>
  <c r="H140" i="6"/>
  <c r="J140" i="6" s="1"/>
  <c r="E140" i="6"/>
  <c r="H135" i="6"/>
  <c r="M135" i="6" s="1"/>
  <c r="O135" i="6" s="1"/>
  <c r="E135" i="6"/>
  <c r="H134" i="6"/>
  <c r="J134" i="6" s="1"/>
  <c r="E134" i="6"/>
  <c r="H133" i="6"/>
  <c r="M133" i="6" s="1"/>
  <c r="O133" i="6" s="1"/>
  <c r="E133" i="6"/>
  <c r="H132" i="6"/>
  <c r="J132" i="6" s="1"/>
  <c r="E132" i="6"/>
  <c r="H131" i="6"/>
  <c r="J131" i="6" s="1"/>
  <c r="E131" i="6"/>
  <c r="H130" i="6"/>
  <c r="M130" i="6" s="1"/>
  <c r="O130" i="6" s="1"/>
  <c r="E130" i="6"/>
  <c r="H129" i="6"/>
  <c r="M129" i="6" s="1"/>
  <c r="O129" i="6" s="1"/>
  <c r="E129" i="6"/>
  <c r="H128" i="6"/>
  <c r="J128" i="6" s="1"/>
  <c r="E128" i="6"/>
  <c r="H127" i="6"/>
  <c r="M127" i="6" s="1"/>
  <c r="O127" i="6" s="1"/>
  <c r="E127" i="6"/>
  <c r="H126" i="6"/>
  <c r="J126" i="6" s="1"/>
  <c r="E126" i="6"/>
  <c r="H125" i="6"/>
  <c r="M125" i="6" s="1"/>
  <c r="O125" i="6" s="1"/>
  <c r="E125" i="6"/>
  <c r="H124" i="6"/>
  <c r="E124" i="6"/>
  <c r="H123" i="6"/>
  <c r="J123" i="6" s="1"/>
  <c r="E123" i="6"/>
  <c r="H72" i="4"/>
  <c r="M72" i="4" s="1"/>
  <c r="O72" i="4" s="1"/>
  <c r="E72" i="4"/>
  <c r="H71" i="4"/>
  <c r="J71" i="4" s="1"/>
  <c r="E71" i="4"/>
  <c r="H70" i="4"/>
  <c r="M70" i="4" s="1"/>
  <c r="O70" i="4" s="1"/>
  <c r="E70" i="4"/>
  <c r="H69" i="4"/>
  <c r="J69" i="4" s="1"/>
  <c r="E69" i="4"/>
  <c r="H68" i="4"/>
  <c r="M68" i="4" s="1"/>
  <c r="O68" i="4" s="1"/>
  <c r="E68" i="4"/>
  <c r="H67" i="4"/>
  <c r="E67" i="4"/>
  <c r="H66" i="4"/>
  <c r="J66" i="4" s="1"/>
  <c r="E66" i="4"/>
  <c r="H65" i="4"/>
  <c r="M65" i="4" s="1"/>
  <c r="O65" i="4" s="1"/>
  <c r="E65" i="4"/>
  <c r="H64" i="4"/>
  <c r="M64" i="4" s="1"/>
  <c r="O64" i="4" s="1"/>
  <c r="E64" i="4"/>
  <c r="H43" i="4"/>
  <c r="J43" i="4" s="1"/>
  <c r="E43" i="4"/>
  <c r="H42" i="4"/>
  <c r="M42" i="4" s="1"/>
  <c r="O42" i="4" s="1"/>
  <c r="E42" i="4"/>
  <c r="H41" i="4"/>
  <c r="J41" i="4" s="1"/>
  <c r="E41" i="4"/>
  <c r="H40" i="4"/>
  <c r="E40" i="4"/>
  <c r="H39" i="4"/>
  <c r="M39" i="4" s="1"/>
  <c r="O39" i="4" s="1"/>
  <c r="E39" i="4"/>
  <c r="H38" i="4"/>
  <c r="J38" i="4" s="1"/>
  <c r="E38" i="4"/>
  <c r="H37" i="4"/>
  <c r="M37" i="4" s="1"/>
  <c r="O37" i="4" s="1"/>
  <c r="E37" i="4"/>
  <c r="H36" i="4"/>
  <c r="J36" i="4" s="1"/>
  <c r="E36" i="4"/>
  <c r="H35" i="4"/>
  <c r="J35" i="4" s="1"/>
  <c r="E35" i="4"/>
  <c r="H34" i="4"/>
  <c r="M34" i="4" s="1"/>
  <c r="O34" i="4" s="1"/>
  <c r="E34" i="4"/>
  <c r="H33" i="4"/>
  <c r="J33" i="4" s="1"/>
  <c r="E33" i="4"/>
  <c r="H32" i="4"/>
  <c r="M32" i="4" s="1"/>
  <c r="O32" i="4" s="1"/>
  <c r="E32" i="4"/>
  <c r="H31" i="4"/>
  <c r="M31" i="4" s="1"/>
  <c r="O31" i="4" s="1"/>
  <c r="E31" i="4"/>
  <c r="D101" i="7"/>
  <c r="P93" i="7"/>
  <c r="J72" i="1"/>
  <c r="L72" i="1" s="1"/>
  <c r="G72" i="1"/>
  <c r="J71" i="1"/>
  <c r="G71" i="1"/>
  <c r="J70" i="1"/>
  <c r="L70" i="1" s="1"/>
  <c r="G70" i="1"/>
  <c r="J69" i="1"/>
  <c r="G69" i="1"/>
  <c r="J68" i="1"/>
  <c r="L68" i="1" s="1"/>
  <c r="G68" i="1"/>
  <c r="J67" i="1"/>
  <c r="G67" i="1"/>
  <c r="J66" i="1"/>
  <c r="L66" i="1" s="1"/>
  <c r="G66" i="1"/>
  <c r="J65" i="1"/>
  <c r="G65" i="1"/>
  <c r="J64" i="1"/>
  <c r="L64" i="1" s="1"/>
  <c r="G64" i="1"/>
  <c r="J43" i="1"/>
  <c r="O43" i="1" s="1"/>
  <c r="Q43" i="1" s="1"/>
  <c r="G43" i="1"/>
  <c r="J42" i="1"/>
  <c r="L42" i="1" s="1"/>
  <c r="G42" i="1"/>
  <c r="J41" i="1"/>
  <c r="O41" i="1" s="1"/>
  <c r="Q41" i="1" s="1"/>
  <c r="G41" i="1"/>
  <c r="J40" i="1"/>
  <c r="L40" i="1" s="1"/>
  <c r="G40" i="1"/>
  <c r="J39" i="1"/>
  <c r="O39" i="1" s="1"/>
  <c r="Q39" i="1" s="1"/>
  <c r="G39" i="1"/>
  <c r="J38" i="1"/>
  <c r="L38" i="1" s="1"/>
  <c r="G38" i="1"/>
  <c r="J37" i="1"/>
  <c r="O37" i="1" s="1"/>
  <c r="Q37" i="1" s="1"/>
  <c r="G37" i="1"/>
  <c r="J36" i="1"/>
  <c r="L36" i="1" s="1"/>
  <c r="G36" i="1"/>
  <c r="J35" i="1"/>
  <c r="O35" i="1" s="1"/>
  <c r="Q35" i="1" s="1"/>
  <c r="G35" i="1"/>
  <c r="J34" i="1"/>
  <c r="L34" i="1" s="1"/>
  <c r="G34" i="1"/>
  <c r="J33" i="1"/>
  <c r="O33" i="1" s="1"/>
  <c r="Q33" i="1" s="1"/>
  <c r="G33" i="1"/>
  <c r="J32" i="1"/>
  <c r="L32" i="1" s="1"/>
  <c r="G32" i="1"/>
  <c r="J31" i="1"/>
  <c r="O31" i="1" s="1"/>
  <c r="Q31" i="1" s="1"/>
  <c r="G31" i="1"/>
  <c r="Q47" i="6" l="1"/>
  <c r="S38" i="6" s="1"/>
  <c r="C87" i="7" s="1"/>
  <c r="L47" i="6"/>
  <c r="W38" i="6" s="1"/>
  <c r="C42" i="7" s="1"/>
  <c r="G47" i="6"/>
  <c r="W23" i="13"/>
  <c r="O54" i="7" s="1"/>
  <c r="J64" i="4"/>
  <c r="S23" i="13"/>
  <c r="O100" i="7" s="1"/>
  <c r="L16" i="18" s="1"/>
  <c r="P53" i="7"/>
  <c r="P99" i="7"/>
  <c r="W3" i="13"/>
  <c r="C32" i="7" s="1"/>
  <c r="M284" i="6"/>
  <c r="O284" i="6" s="1"/>
  <c r="M38" i="4"/>
  <c r="O38" i="4" s="1"/>
  <c r="M33" i="4"/>
  <c r="O33" i="4" s="1"/>
  <c r="M36" i="4"/>
  <c r="O36" i="4" s="1"/>
  <c r="AA3" i="13"/>
  <c r="C77" i="7" s="1"/>
  <c r="J246" i="10"/>
  <c r="M224" i="10"/>
  <c r="O224" i="10" s="1"/>
  <c r="M234" i="10"/>
  <c r="O234" i="10" s="1"/>
  <c r="M244" i="10"/>
  <c r="O244" i="10" s="1"/>
  <c r="M237" i="10"/>
  <c r="O237" i="10" s="1"/>
  <c r="J204" i="10"/>
  <c r="J238" i="10"/>
  <c r="J199" i="10"/>
  <c r="M247" i="10"/>
  <c r="O247" i="10" s="1"/>
  <c r="M222" i="10"/>
  <c r="O222" i="10" s="1"/>
  <c r="J214" i="10"/>
  <c r="J227" i="10"/>
  <c r="J232" i="10"/>
  <c r="M211" i="10"/>
  <c r="O211" i="10" s="1"/>
  <c r="J189" i="10"/>
  <c r="J191" i="10"/>
  <c r="J192" i="10"/>
  <c r="M221" i="10"/>
  <c r="O221" i="10" s="1"/>
  <c r="J223" i="10"/>
  <c r="M203" i="10"/>
  <c r="O203" i="10" s="1"/>
  <c r="J213" i="10"/>
  <c r="M216" i="10"/>
  <c r="O216" i="10" s="1"/>
  <c r="J193" i="10"/>
  <c r="J236" i="10"/>
  <c r="M188" i="10"/>
  <c r="O188" i="10" s="1"/>
  <c r="J190" i="10"/>
  <c r="M190" i="10"/>
  <c r="O190" i="10" s="1"/>
  <c r="M209" i="10"/>
  <c r="O209" i="10" s="1"/>
  <c r="J209" i="10"/>
  <c r="J201" i="10"/>
  <c r="M201" i="10"/>
  <c r="O201" i="10" s="1"/>
  <c r="M202" i="10"/>
  <c r="O202" i="10" s="1"/>
  <c r="M198" i="10"/>
  <c r="O198" i="10" s="1"/>
  <c r="J198" i="10"/>
  <c r="M235" i="10"/>
  <c r="O235" i="10" s="1"/>
  <c r="J187" i="10"/>
  <c r="J212" i="10"/>
  <c r="J225" i="10"/>
  <c r="J245" i="10"/>
  <c r="M249" i="10"/>
  <c r="O249" i="10" s="1"/>
  <c r="M210" i="10"/>
  <c r="O210" i="10" s="1"/>
  <c r="J210" i="10"/>
  <c r="J215" i="10"/>
  <c r="M243" i="10"/>
  <c r="O243" i="10" s="1"/>
  <c r="J243" i="10"/>
  <c r="J248" i="10"/>
  <c r="M233" i="10"/>
  <c r="O233" i="10" s="1"/>
  <c r="J233" i="10"/>
  <c r="J200" i="10"/>
  <c r="M226" i="10"/>
  <c r="O226" i="10" s="1"/>
  <c r="J49" i="10"/>
  <c r="K49" i="10" s="1"/>
  <c r="L49" i="10" s="1"/>
  <c r="M51" i="10"/>
  <c r="O51" i="10" s="1"/>
  <c r="P51" i="10" s="1"/>
  <c r="Q51" i="10" s="1"/>
  <c r="J48" i="10"/>
  <c r="K48" i="10" s="1"/>
  <c r="L48" i="10" s="1"/>
  <c r="M54" i="10"/>
  <c r="O54" i="10" s="1"/>
  <c r="P54" i="10" s="1"/>
  <c r="Q54" i="10" s="1"/>
  <c r="J52" i="10"/>
  <c r="K52" i="10" s="1"/>
  <c r="L52" i="10" s="1"/>
  <c r="G55" i="10"/>
  <c r="J50" i="10"/>
  <c r="K50" i="10" s="1"/>
  <c r="L50" i="10" s="1"/>
  <c r="J53" i="10"/>
  <c r="K53" i="10" s="1"/>
  <c r="L53" i="10" s="1"/>
  <c r="M282" i="6"/>
  <c r="O282" i="6" s="1"/>
  <c r="J285" i="6"/>
  <c r="J301" i="6"/>
  <c r="M275" i="6"/>
  <c r="O275" i="6" s="1"/>
  <c r="M290" i="6"/>
  <c r="O290" i="6" s="1"/>
  <c r="J276" i="6"/>
  <c r="J300" i="6"/>
  <c r="J270" i="6"/>
  <c r="J272" i="6"/>
  <c r="J288" i="6"/>
  <c r="J296" i="6"/>
  <c r="M298" i="6"/>
  <c r="O298" i="6" s="1"/>
  <c r="M271" i="6"/>
  <c r="O271" i="6" s="1"/>
  <c r="M269" i="6"/>
  <c r="O269" i="6" s="1"/>
  <c r="J274" i="6"/>
  <c r="J299" i="6"/>
  <c r="M273" i="6"/>
  <c r="O273" i="6" s="1"/>
  <c r="M303" i="6"/>
  <c r="O303" i="6" s="1"/>
  <c r="M287" i="6"/>
  <c r="O287" i="6" s="1"/>
  <c r="M295" i="6"/>
  <c r="O295" i="6" s="1"/>
  <c r="J268" i="6"/>
  <c r="J283" i="6"/>
  <c r="J286" i="6"/>
  <c r="M302" i="6"/>
  <c r="O302" i="6" s="1"/>
  <c r="J302" i="6"/>
  <c r="M289" i="6"/>
  <c r="O289" i="6" s="1"/>
  <c r="J289" i="6"/>
  <c r="J297" i="6"/>
  <c r="M165" i="6"/>
  <c r="O165" i="6" s="1"/>
  <c r="M174" i="6"/>
  <c r="O174" i="6" s="1"/>
  <c r="J177" i="6"/>
  <c r="J185" i="6"/>
  <c r="J142" i="6"/>
  <c r="J157" i="6"/>
  <c r="M148" i="6"/>
  <c r="O148" i="6" s="1"/>
  <c r="J158" i="6"/>
  <c r="J160" i="6"/>
  <c r="M164" i="6"/>
  <c r="O164" i="6" s="1"/>
  <c r="J186" i="6"/>
  <c r="M140" i="6"/>
  <c r="O140" i="6" s="1"/>
  <c r="M150" i="6"/>
  <c r="O150" i="6" s="1"/>
  <c r="M147" i="6"/>
  <c r="O147" i="6" s="1"/>
  <c r="J163" i="6"/>
  <c r="M171" i="6"/>
  <c r="O171" i="6" s="1"/>
  <c r="J176" i="6"/>
  <c r="M184" i="6"/>
  <c r="O184" i="6" s="1"/>
  <c r="J187" i="6"/>
  <c r="J143" i="6"/>
  <c r="M152" i="6"/>
  <c r="O152" i="6" s="1"/>
  <c r="J159" i="6"/>
  <c r="M145" i="6"/>
  <c r="O145" i="6" s="1"/>
  <c r="J151" i="6"/>
  <c r="J172" i="6"/>
  <c r="J175" i="6"/>
  <c r="J183" i="6"/>
  <c r="M173" i="6"/>
  <c r="O173" i="6" s="1"/>
  <c r="J188" i="6"/>
  <c r="M190" i="6"/>
  <c r="O190" i="6" s="1"/>
  <c r="J191" i="6"/>
  <c r="J141" i="6"/>
  <c r="M149" i="6"/>
  <c r="O149" i="6" s="1"/>
  <c r="M162" i="6"/>
  <c r="O162" i="6" s="1"/>
  <c r="J146" i="6"/>
  <c r="M170" i="6"/>
  <c r="O170" i="6" s="1"/>
  <c r="J170" i="6"/>
  <c r="M161" i="6"/>
  <c r="O161" i="6" s="1"/>
  <c r="J161" i="6"/>
  <c r="M144" i="6"/>
  <c r="O144" i="6" s="1"/>
  <c r="J144" i="6"/>
  <c r="M178" i="6"/>
  <c r="O178" i="6" s="1"/>
  <c r="J178" i="6"/>
  <c r="J189" i="6"/>
  <c r="M134" i="6"/>
  <c r="O134" i="6" s="1"/>
  <c r="M131" i="6"/>
  <c r="O131" i="6" s="1"/>
  <c r="J129" i="6"/>
  <c r="M128" i="6"/>
  <c r="O128" i="6" s="1"/>
  <c r="M123" i="6"/>
  <c r="O123" i="6" s="1"/>
  <c r="M126" i="6"/>
  <c r="O126" i="6" s="1"/>
  <c r="J127" i="6"/>
  <c r="J135" i="6"/>
  <c r="J124" i="6"/>
  <c r="M124" i="6"/>
  <c r="O124" i="6" s="1"/>
  <c r="J130" i="6"/>
  <c r="J125" i="6"/>
  <c r="M132" i="6"/>
  <c r="O132" i="6" s="1"/>
  <c r="J133" i="6"/>
  <c r="M71" i="4"/>
  <c r="O71" i="4" s="1"/>
  <c r="M43" i="4"/>
  <c r="O43" i="4" s="1"/>
  <c r="M69" i="4"/>
  <c r="O69" i="4" s="1"/>
  <c r="J72" i="4"/>
  <c r="M41" i="4"/>
  <c r="O41" i="4" s="1"/>
  <c r="M66" i="4"/>
  <c r="O66" i="4" s="1"/>
  <c r="M67" i="4"/>
  <c r="O67" i="4" s="1"/>
  <c r="J67" i="4"/>
  <c r="J70" i="4"/>
  <c r="J65" i="4"/>
  <c r="J68" i="4"/>
  <c r="J37" i="4"/>
  <c r="J42" i="4"/>
  <c r="J34" i="4"/>
  <c r="M35" i="4"/>
  <c r="O35" i="4" s="1"/>
  <c r="J31" i="4"/>
  <c r="J32" i="4"/>
  <c r="M40" i="4"/>
  <c r="O40" i="4" s="1"/>
  <c r="J40" i="4"/>
  <c r="J39" i="4"/>
  <c r="O72" i="1"/>
  <c r="Q72" i="1" s="1"/>
  <c r="O70" i="1"/>
  <c r="Q70" i="1" s="1"/>
  <c r="O68" i="1"/>
  <c r="Q68" i="1" s="1"/>
  <c r="O64" i="1"/>
  <c r="Q64" i="1" s="1"/>
  <c r="O66" i="1"/>
  <c r="Q66" i="1" s="1"/>
  <c r="O65" i="1"/>
  <c r="Q65" i="1" s="1"/>
  <c r="L65" i="1"/>
  <c r="O67" i="1"/>
  <c r="Q67" i="1" s="1"/>
  <c r="L67" i="1"/>
  <c r="O69" i="1"/>
  <c r="Q69" i="1" s="1"/>
  <c r="L69" i="1"/>
  <c r="O71" i="1"/>
  <c r="Q71" i="1" s="1"/>
  <c r="L71" i="1"/>
  <c r="O32" i="1"/>
  <c r="Q32" i="1" s="1"/>
  <c r="O34" i="1"/>
  <c r="Q34" i="1" s="1"/>
  <c r="O36" i="1"/>
  <c r="Q36" i="1" s="1"/>
  <c r="O38" i="1"/>
  <c r="Q38" i="1" s="1"/>
  <c r="O40" i="1"/>
  <c r="Q40" i="1" s="1"/>
  <c r="O42" i="1"/>
  <c r="Q42" i="1" s="1"/>
  <c r="L31" i="1"/>
  <c r="L33" i="1"/>
  <c r="L35" i="1"/>
  <c r="L37" i="1"/>
  <c r="L39" i="1"/>
  <c r="L41" i="1"/>
  <c r="L43" i="1"/>
  <c r="H310" i="10"/>
  <c r="J310" i="10" s="1"/>
  <c r="E310" i="10"/>
  <c r="H309" i="10"/>
  <c r="M309" i="10" s="1"/>
  <c r="O309" i="10" s="1"/>
  <c r="E309" i="10"/>
  <c r="H308" i="10"/>
  <c r="J308" i="10" s="1"/>
  <c r="E308" i="10"/>
  <c r="H307" i="10"/>
  <c r="M307" i="10" s="1"/>
  <c r="O307" i="10" s="1"/>
  <c r="E307" i="10"/>
  <c r="H306" i="10"/>
  <c r="E306" i="10"/>
  <c r="H305" i="10"/>
  <c r="J305" i="10" s="1"/>
  <c r="E305" i="10"/>
  <c r="H300" i="10"/>
  <c r="M300" i="10" s="1"/>
  <c r="O300" i="10" s="1"/>
  <c r="E300" i="10"/>
  <c r="H299" i="10"/>
  <c r="J299" i="10" s="1"/>
  <c r="E299" i="10"/>
  <c r="H298" i="10"/>
  <c r="J298" i="10" s="1"/>
  <c r="E298" i="10"/>
  <c r="H297" i="10"/>
  <c r="J297" i="10" s="1"/>
  <c r="E297" i="10"/>
  <c r="H296" i="10"/>
  <c r="M296" i="10" s="1"/>
  <c r="O296" i="10" s="1"/>
  <c r="E296" i="10"/>
  <c r="H295" i="10"/>
  <c r="J295" i="10" s="1"/>
  <c r="E295" i="10"/>
  <c r="H290" i="10"/>
  <c r="M290" i="10" s="1"/>
  <c r="O290" i="10" s="1"/>
  <c r="E290" i="10"/>
  <c r="H289" i="10"/>
  <c r="M289" i="10" s="1"/>
  <c r="O289" i="10" s="1"/>
  <c r="E289" i="10"/>
  <c r="H288" i="10"/>
  <c r="J288" i="10" s="1"/>
  <c r="E288" i="10"/>
  <c r="H287" i="10"/>
  <c r="M287" i="10" s="1"/>
  <c r="O287" i="10" s="1"/>
  <c r="E287" i="10"/>
  <c r="H286" i="10"/>
  <c r="M286" i="10" s="1"/>
  <c r="O286" i="10" s="1"/>
  <c r="E286" i="10"/>
  <c r="H285" i="10"/>
  <c r="J285" i="10" s="1"/>
  <c r="E285" i="10"/>
  <c r="H280" i="10"/>
  <c r="M280" i="10" s="1"/>
  <c r="O280" i="10" s="1"/>
  <c r="E280" i="10"/>
  <c r="H279" i="10"/>
  <c r="J279" i="10" s="1"/>
  <c r="E279" i="10"/>
  <c r="H278" i="10"/>
  <c r="J278" i="10" s="1"/>
  <c r="E278" i="10"/>
  <c r="H277" i="10"/>
  <c r="J277" i="10" s="1"/>
  <c r="E277" i="10"/>
  <c r="H276" i="10"/>
  <c r="J276" i="10" s="1"/>
  <c r="E276" i="10"/>
  <c r="H275" i="10"/>
  <c r="J275" i="10" s="1"/>
  <c r="E275" i="10"/>
  <c r="H274" i="10"/>
  <c r="J274" i="10" s="1"/>
  <c r="E274" i="10"/>
  <c r="H269" i="10"/>
  <c r="M269" i="10" s="1"/>
  <c r="O269" i="10" s="1"/>
  <c r="E269" i="10"/>
  <c r="H268" i="10"/>
  <c r="M268" i="10" s="1"/>
  <c r="O268" i="10" s="1"/>
  <c r="E268" i="10"/>
  <c r="H267" i="10"/>
  <c r="J267" i="10" s="1"/>
  <c r="E267" i="10"/>
  <c r="H266" i="10"/>
  <c r="M266" i="10" s="1"/>
  <c r="O266" i="10" s="1"/>
  <c r="E266" i="10"/>
  <c r="H265" i="10"/>
  <c r="M265" i="10" s="1"/>
  <c r="O265" i="10" s="1"/>
  <c r="E265" i="10"/>
  <c r="H264" i="10"/>
  <c r="J264" i="10" s="1"/>
  <c r="E264" i="10"/>
  <c r="H259" i="10"/>
  <c r="M259" i="10" s="1"/>
  <c r="O259" i="10" s="1"/>
  <c r="E259" i="10"/>
  <c r="H258" i="10"/>
  <c r="M258" i="10" s="1"/>
  <c r="O258" i="10" s="1"/>
  <c r="E258" i="10"/>
  <c r="H257" i="10"/>
  <c r="J257" i="10" s="1"/>
  <c r="E257" i="10"/>
  <c r="H256" i="10"/>
  <c r="M256" i="10" s="1"/>
  <c r="O256" i="10" s="1"/>
  <c r="E256" i="10"/>
  <c r="H255" i="10"/>
  <c r="J255" i="10" s="1"/>
  <c r="E255" i="10"/>
  <c r="H254" i="10"/>
  <c r="M254" i="10" s="1"/>
  <c r="O254" i="10" s="1"/>
  <c r="E254" i="10"/>
  <c r="H83" i="10"/>
  <c r="M83" i="10" s="1"/>
  <c r="O83" i="10" s="1"/>
  <c r="P83" i="10" s="1"/>
  <c r="Q83" i="10" s="1"/>
  <c r="E83" i="10"/>
  <c r="F83" i="10" s="1"/>
  <c r="G83" i="10" s="1"/>
  <c r="H82" i="10"/>
  <c r="E82" i="10"/>
  <c r="F82" i="10" s="1"/>
  <c r="G82" i="10" s="1"/>
  <c r="H81" i="10"/>
  <c r="J81" i="10" s="1"/>
  <c r="K81" i="10" s="1"/>
  <c r="L81" i="10" s="1"/>
  <c r="E81" i="10"/>
  <c r="F81" i="10" s="1"/>
  <c r="G81" i="10" s="1"/>
  <c r="P100" i="7" l="1"/>
  <c r="P54" i="7"/>
  <c r="O57" i="7"/>
  <c r="P57" i="7" s="1"/>
  <c r="O103" i="7"/>
  <c r="D77" i="7"/>
  <c r="D32" i="7"/>
  <c r="Q55" i="10"/>
  <c r="L55" i="10"/>
  <c r="I61" i="7" s="1"/>
  <c r="J300" i="10"/>
  <c r="M310" i="10"/>
  <c r="O310" i="10" s="1"/>
  <c r="M308" i="10"/>
  <c r="O308" i="10" s="1"/>
  <c r="M305" i="10"/>
  <c r="O305" i="10" s="1"/>
  <c r="M306" i="10"/>
  <c r="O306" i="10" s="1"/>
  <c r="J306" i="10"/>
  <c r="J309" i="10"/>
  <c r="J307" i="10"/>
  <c r="M298" i="10"/>
  <c r="O298" i="10" s="1"/>
  <c r="M285" i="10"/>
  <c r="O285" i="10" s="1"/>
  <c r="M295" i="10"/>
  <c r="O295" i="10" s="1"/>
  <c r="M299" i="10"/>
  <c r="O299" i="10" s="1"/>
  <c r="M297" i="10"/>
  <c r="O297" i="10" s="1"/>
  <c r="J296" i="10"/>
  <c r="J286" i="10"/>
  <c r="M288" i="10"/>
  <c r="O288" i="10" s="1"/>
  <c r="M276" i="10"/>
  <c r="O276" i="10" s="1"/>
  <c r="J289" i="10"/>
  <c r="J287" i="10"/>
  <c r="J290" i="10"/>
  <c r="M275" i="10"/>
  <c r="O275" i="10" s="1"/>
  <c r="J280" i="10"/>
  <c r="M278" i="10"/>
  <c r="O278" i="10" s="1"/>
  <c r="M279" i="10"/>
  <c r="O279" i="10" s="1"/>
  <c r="M274" i="10"/>
  <c r="O274" i="10" s="1"/>
  <c r="M277" i="10"/>
  <c r="O277" i="10" s="1"/>
  <c r="M264" i="10"/>
  <c r="O264" i="10" s="1"/>
  <c r="J258" i="10"/>
  <c r="M267" i="10"/>
  <c r="O267" i="10" s="1"/>
  <c r="J265" i="10"/>
  <c r="J269" i="10"/>
  <c r="J268" i="10"/>
  <c r="J266" i="10"/>
  <c r="M257" i="10"/>
  <c r="O257" i="10" s="1"/>
  <c r="M255" i="10"/>
  <c r="O255" i="10" s="1"/>
  <c r="J256" i="10"/>
  <c r="J259" i="10"/>
  <c r="J254" i="10"/>
  <c r="M81" i="10"/>
  <c r="O81" i="10" s="1"/>
  <c r="P81" i="10" s="1"/>
  <c r="Q81" i="10" s="1"/>
  <c r="M82" i="10"/>
  <c r="O82" i="10" s="1"/>
  <c r="P82" i="10" s="1"/>
  <c r="Q82" i="10" s="1"/>
  <c r="J82" i="10"/>
  <c r="K82" i="10" s="1"/>
  <c r="L82" i="10" s="1"/>
  <c r="G84" i="10"/>
  <c r="J83" i="10"/>
  <c r="K83" i="10" s="1"/>
  <c r="L83" i="10" s="1"/>
  <c r="L20" i="18" l="1"/>
  <c r="L22" i="18"/>
  <c r="P103" i="7"/>
  <c r="L21" i="18"/>
  <c r="I107" i="7"/>
  <c r="J61" i="7"/>
  <c r="L84" i="10"/>
  <c r="I64" i="7" s="1"/>
  <c r="Q84" i="10"/>
  <c r="H65" i="10"/>
  <c r="M65" i="10" s="1"/>
  <c r="O65" i="10" s="1"/>
  <c r="P65" i="10" s="1"/>
  <c r="Q65" i="10" s="1"/>
  <c r="E65" i="10"/>
  <c r="F65" i="10" s="1"/>
  <c r="G65" i="10" s="1"/>
  <c r="H64" i="10"/>
  <c r="M64" i="10" s="1"/>
  <c r="O64" i="10" s="1"/>
  <c r="P64" i="10" s="1"/>
  <c r="Q64" i="10" s="1"/>
  <c r="E64" i="10"/>
  <c r="F64" i="10" s="1"/>
  <c r="G64" i="10" s="1"/>
  <c r="H63" i="10"/>
  <c r="J63" i="10" s="1"/>
  <c r="K63" i="10" s="1"/>
  <c r="L63" i="10" s="1"/>
  <c r="E63" i="10"/>
  <c r="F63" i="10" s="1"/>
  <c r="G63" i="10" s="1"/>
  <c r="H62" i="10"/>
  <c r="M62" i="10" s="1"/>
  <c r="O62" i="10" s="1"/>
  <c r="P62" i="10" s="1"/>
  <c r="Q62" i="10" s="1"/>
  <c r="E62" i="10"/>
  <c r="F62" i="10" s="1"/>
  <c r="G62" i="10" s="1"/>
  <c r="H61" i="10"/>
  <c r="J61" i="10" s="1"/>
  <c r="K61" i="10" s="1"/>
  <c r="L61" i="10" s="1"/>
  <c r="E61" i="10"/>
  <c r="F61" i="10" s="1"/>
  <c r="G61" i="10" s="1"/>
  <c r="H60" i="10"/>
  <c r="M60" i="10" s="1"/>
  <c r="O60" i="10" s="1"/>
  <c r="P60" i="10" s="1"/>
  <c r="Q60" i="10" s="1"/>
  <c r="E60" i="10"/>
  <c r="F60" i="10" s="1"/>
  <c r="G60" i="10" s="1"/>
  <c r="H59" i="10"/>
  <c r="M59" i="10" s="1"/>
  <c r="O59" i="10" s="1"/>
  <c r="P59" i="10" s="1"/>
  <c r="Q59" i="10" s="1"/>
  <c r="E59" i="10"/>
  <c r="F59" i="10" s="1"/>
  <c r="G59" i="10" s="1"/>
  <c r="E38" i="10"/>
  <c r="F38" i="10" s="1"/>
  <c r="G38" i="10" s="1"/>
  <c r="H38" i="10"/>
  <c r="M38" i="10" s="1"/>
  <c r="O38" i="10" s="1"/>
  <c r="P38" i="10" s="1"/>
  <c r="Q38" i="10" s="1"/>
  <c r="E39" i="10"/>
  <c r="F39" i="10" s="1"/>
  <c r="G39" i="10" s="1"/>
  <c r="H39" i="10"/>
  <c r="M39" i="10" s="1"/>
  <c r="O39" i="10" s="1"/>
  <c r="P39" i="10" s="1"/>
  <c r="Q39" i="10" s="1"/>
  <c r="E40" i="10"/>
  <c r="F40" i="10" s="1"/>
  <c r="G40" i="10" s="1"/>
  <c r="H40" i="10"/>
  <c r="M40" i="10" s="1"/>
  <c r="O40" i="10" s="1"/>
  <c r="P40" i="10" s="1"/>
  <c r="Q40" i="10" s="1"/>
  <c r="E41" i="10"/>
  <c r="F41" i="10" s="1"/>
  <c r="G41" i="10" s="1"/>
  <c r="H41" i="10"/>
  <c r="M41" i="10" s="1"/>
  <c r="O41" i="10" s="1"/>
  <c r="P41" i="10" s="1"/>
  <c r="Q41" i="10" s="1"/>
  <c r="F285" i="6" l="1"/>
  <c r="G285" i="6" s="1"/>
  <c r="P275" i="10"/>
  <c r="Q275" i="10" s="1"/>
  <c r="F309" i="10"/>
  <c r="G309" i="10" s="1"/>
  <c r="C67" i="1"/>
  <c r="M67" i="1" s="1"/>
  <c r="N67" i="1" s="1"/>
  <c r="F269" i="10"/>
  <c r="G269" i="10" s="1"/>
  <c r="P233" i="10"/>
  <c r="Q233" i="10" s="1"/>
  <c r="P267" i="10"/>
  <c r="Q267" i="10" s="1"/>
  <c r="F133" i="6"/>
  <c r="G133" i="6" s="1"/>
  <c r="C33" i="1"/>
  <c r="K301" i="6"/>
  <c r="L301" i="6" s="1"/>
  <c r="P269" i="6"/>
  <c r="Q269" i="6" s="1"/>
  <c r="C40" i="1"/>
  <c r="F144" i="6"/>
  <c r="G144" i="6" s="1"/>
  <c r="C39" i="1"/>
  <c r="H39" i="1" s="1"/>
  <c r="I39" i="1" s="1"/>
  <c r="F71" i="4"/>
  <c r="G71" i="4" s="1"/>
  <c r="C32" i="1"/>
  <c r="C31" i="1"/>
  <c r="C43" i="1"/>
  <c r="K302" i="6"/>
  <c r="L302" i="6" s="1"/>
  <c r="K175" i="6"/>
  <c r="L175" i="6" s="1"/>
  <c r="K178" i="6"/>
  <c r="L178" i="6" s="1"/>
  <c r="K130" i="6"/>
  <c r="L130" i="6" s="1"/>
  <c r="K266" i="10"/>
  <c r="L266" i="10" s="1"/>
  <c r="K129" i="6"/>
  <c r="L129" i="6" s="1"/>
  <c r="F177" i="6"/>
  <c r="G177" i="6" s="1"/>
  <c r="K280" i="10"/>
  <c r="L280" i="10" s="1"/>
  <c r="F40" i="4"/>
  <c r="G40" i="4" s="1"/>
  <c r="P222" i="10"/>
  <c r="Q222" i="10" s="1"/>
  <c r="F221" i="10"/>
  <c r="G221" i="10" s="1"/>
  <c r="F271" i="6"/>
  <c r="G271" i="6" s="1"/>
  <c r="P288" i="10"/>
  <c r="Q288" i="10" s="1"/>
  <c r="K157" i="6"/>
  <c r="L157" i="6" s="1"/>
  <c r="F158" i="6"/>
  <c r="G158" i="6" s="1"/>
  <c r="F191" i="10"/>
  <c r="G191" i="10" s="1"/>
  <c r="K190" i="10"/>
  <c r="L190" i="10" s="1"/>
  <c r="F131" i="6"/>
  <c r="G131" i="6" s="1"/>
  <c r="K224" i="10"/>
  <c r="L224" i="10" s="1"/>
  <c r="P67" i="4"/>
  <c r="Q67" i="4" s="1"/>
  <c r="C64" i="1"/>
  <c r="C65" i="1"/>
  <c r="K258" i="10"/>
  <c r="L258" i="10" s="1"/>
  <c r="P202" i="10"/>
  <c r="Q202" i="10" s="1"/>
  <c r="P209" i="10"/>
  <c r="Q209" i="10" s="1"/>
  <c r="K210" i="10"/>
  <c r="L210" i="10" s="1"/>
  <c r="K214" i="10"/>
  <c r="L214" i="10" s="1"/>
  <c r="K126" i="6"/>
  <c r="L126" i="6" s="1"/>
  <c r="K226" i="10"/>
  <c r="L226" i="10" s="1"/>
  <c r="K70" i="4"/>
  <c r="L70" i="4" s="1"/>
  <c r="C72" i="1"/>
  <c r="C66" i="1"/>
  <c r="P245" i="10"/>
  <c r="Q245" i="10" s="1"/>
  <c r="C69" i="1"/>
  <c r="M69" i="1" s="1"/>
  <c r="N69" i="1" s="1"/>
  <c r="P310" i="10"/>
  <c r="Q310" i="10" s="1"/>
  <c r="C35" i="1"/>
  <c r="M35" i="1" s="1"/>
  <c r="N35" i="1" s="1"/>
  <c r="K42" i="4"/>
  <c r="L42" i="4" s="1"/>
  <c r="K270" i="6"/>
  <c r="L270" i="6" s="1"/>
  <c r="C41" i="1"/>
  <c r="P284" i="6"/>
  <c r="Q284" i="6" s="1"/>
  <c r="K170" i="6"/>
  <c r="L170" i="6" s="1"/>
  <c r="K290" i="10"/>
  <c r="L290" i="10" s="1"/>
  <c r="F227" i="10"/>
  <c r="G227" i="10" s="1"/>
  <c r="K189" i="10"/>
  <c r="L189" i="10" s="1"/>
  <c r="P300" i="6"/>
  <c r="Q300" i="6" s="1"/>
  <c r="K124" i="6"/>
  <c r="L124" i="6" s="1"/>
  <c r="K276" i="10"/>
  <c r="L276" i="10" s="1"/>
  <c r="C36" i="1"/>
  <c r="C71" i="1"/>
  <c r="K265" i="10"/>
  <c r="L265" i="10" s="1"/>
  <c r="F188" i="10"/>
  <c r="G188" i="10" s="1"/>
  <c r="P235" i="10"/>
  <c r="Q235" i="10" s="1"/>
  <c r="F198" i="10"/>
  <c r="G198" i="10" s="1"/>
  <c r="K256" i="10"/>
  <c r="L256" i="10" s="1"/>
  <c r="K268" i="10"/>
  <c r="L268" i="10" s="1"/>
  <c r="P125" i="6"/>
  <c r="Q125" i="6" s="1"/>
  <c r="K143" i="6"/>
  <c r="L143" i="6" s="1"/>
  <c r="F273" i="6"/>
  <c r="G273" i="6" s="1"/>
  <c r="P204" i="10"/>
  <c r="Q204" i="10" s="1"/>
  <c r="F305" i="10"/>
  <c r="G305" i="10" s="1"/>
  <c r="F306" i="10"/>
  <c r="G306" i="10" s="1"/>
  <c r="P255" i="10"/>
  <c r="Q255" i="10" s="1"/>
  <c r="P150" i="6"/>
  <c r="Q150" i="6" s="1"/>
  <c r="P259" i="10"/>
  <c r="Q259" i="10" s="1"/>
  <c r="C34" i="1"/>
  <c r="H34" i="1" s="1"/>
  <c r="I34" i="1" s="1"/>
  <c r="P297" i="10"/>
  <c r="Q297" i="10" s="1"/>
  <c r="C68" i="1"/>
  <c r="R68" i="1" s="1"/>
  <c r="S68" i="1" s="1"/>
  <c r="K276" i="6"/>
  <c r="L276" i="6" s="1"/>
  <c r="K297" i="6"/>
  <c r="L297" i="6" s="1"/>
  <c r="K300" i="10"/>
  <c r="L300" i="10" s="1"/>
  <c r="C38" i="1"/>
  <c r="H38" i="1" s="1"/>
  <c r="I38" i="1" s="1"/>
  <c r="K246" i="10"/>
  <c r="L246" i="10" s="1"/>
  <c r="F176" i="6"/>
  <c r="G176" i="6" s="1"/>
  <c r="C70" i="1"/>
  <c r="F295" i="10"/>
  <c r="G295" i="10" s="1"/>
  <c r="P277" i="10"/>
  <c r="Q277" i="10" s="1"/>
  <c r="P147" i="6"/>
  <c r="Q147" i="6" s="1"/>
  <c r="C42" i="1"/>
  <c r="C37" i="1"/>
  <c r="R37" i="1" s="1"/>
  <c r="S37" i="1" s="1"/>
  <c r="P133" i="6"/>
  <c r="Q133" i="6" s="1"/>
  <c r="K133" i="6"/>
  <c r="L133" i="6" s="1"/>
  <c r="K269" i="10"/>
  <c r="L269" i="10" s="1"/>
  <c r="P269" i="10"/>
  <c r="Q269" i="10" s="1"/>
  <c r="J64" i="7"/>
  <c r="J38" i="10"/>
  <c r="K38" i="10" s="1"/>
  <c r="L38" i="10" s="1"/>
  <c r="J109" i="7"/>
  <c r="I110" i="7"/>
  <c r="M17" i="18" s="1"/>
  <c r="J40" i="10"/>
  <c r="K40" i="10" s="1"/>
  <c r="L40" i="10" s="1"/>
  <c r="M63" i="10"/>
  <c r="O63" i="10" s="1"/>
  <c r="P63" i="10" s="1"/>
  <c r="Q63" i="10" s="1"/>
  <c r="M61" i="10"/>
  <c r="O61" i="10" s="1"/>
  <c r="P61" i="10" s="1"/>
  <c r="Q61" i="10" s="1"/>
  <c r="J64" i="10"/>
  <c r="K64" i="10" s="1"/>
  <c r="L64" i="10" s="1"/>
  <c r="J39" i="10"/>
  <c r="K39" i="10" s="1"/>
  <c r="L39" i="10" s="1"/>
  <c r="G66" i="10"/>
  <c r="J59" i="10"/>
  <c r="K59" i="10" s="1"/>
  <c r="L59" i="10" s="1"/>
  <c r="J62" i="10"/>
  <c r="K62" i="10" s="1"/>
  <c r="L62" i="10" s="1"/>
  <c r="J65" i="10"/>
  <c r="K65" i="10" s="1"/>
  <c r="L65" i="10" s="1"/>
  <c r="J60" i="10"/>
  <c r="K60" i="10" s="1"/>
  <c r="L60" i="10" s="1"/>
  <c r="J41" i="10"/>
  <c r="K41" i="10" s="1"/>
  <c r="L41" i="10" s="1"/>
  <c r="F175" i="6" l="1"/>
  <c r="G175" i="6" s="1"/>
  <c r="K309" i="10"/>
  <c r="L309" i="10" s="1"/>
  <c r="P309" i="10"/>
  <c r="Q309" i="10" s="1"/>
  <c r="F301" i="6"/>
  <c r="G301" i="6" s="1"/>
  <c r="K310" i="10"/>
  <c r="L310" i="10" s="1"/>
  <c r="F222" i="10"/>
  <c r="G222" i="10" s="1"/>
  <c r="K222" i="10"/>
  <c r="L222" i="10" s="1"/>
  <c r="P302" i="6"/>
  <c r="Q302" i="6" s="1"/>
  <c r="P221" i="10"/>
  <c r="Q221" i="10" s="1"/>
  <c r="F310" i="10"/>
  <c r="G310" i="10" s="1"/>
  <c r="F178" i="6"/>
  <c r="G178" i="6" s="1"/>
  <c r="P258" i="10"/>
  <c r="Q258" i="10" s="1"/>
  <c r="F288" i="10"/>
  <c r="G288" i="10" s="1"/>
  <c r="P276" i="10"/>
  <c r="Q276" i="10" s="1"/>
  <c r="R39" i="1"/>
  <c r="S39" i="1" s="1"/>
  <c r="M39" i="1"/>
  <c r="N39" i="1" s="1"/>
  <c r="P271" i="6"/>
  <c r="Q271" i="6" s="1"/>
  <c r="P178" i="6"/>
  <c r="Q178" i="6" s="1"/>
  <c r="K271" i="6"/>
  <c r="L271" i="6" s="1"/>
  <c r="F233" i="10"/>
  <c r="G233" i="10" s="1"/>
  <c r="F302" i="6"/>
  <c r="G302" i="6" s="1"/>
  <c r="F275" i="10"/>
  <c r="G275" i="10" s="1"/>
  <c r="K269" i="6"/>
  <c r="L269" i="6" s="1"/>
  <c r="K275" i="10"/>
  <c r="L275" i="10" s="1"/>
  <c r="K233" i="10"/>
  <c r="L233" i="10" s="1"/>
  <c r="K297" i="10"/>
  <c r="L297" i="10" s="1"/>
  <c r="K177" i="6"/>
  <c r="L177" i="6" s="1"/>
  <c r="K227" i="10"/>
  <c r="L227" i="10" s="1"/>
  <c r="P177" i="6"/>
  <c r="Q177" i="6" s="1"/>
  <c r="P285" i="6"/>
  <c r="Q285" i="6" s="1"/>
  <c r="K285" i="6"/>
  <c r="L285" i="6" s="1"/>
  <c r="F129" i="6"/>
  <c r="G129" i="6" s="1"/>
  <c r="F266" i="10"/>
  <c r="G266" i="10" s="1"/>
  <c r="P266" i="10"/>
  <c r="Q266" i="10" s="1"/>
  <c r="F280" i="10"/>
  <c r="G280" i="10" s="1"/>
  <c r="P280" i="10"/>
  <c r="Q280" i="10" s="1"/>
  <c r="K221" i="10"/>
  <c r="L221" i="10" s="1"/>
  <c r="P268" i="10"/>
  <c r="Q268" i="10" s="1"/>
  <c r="P301" i="6"/>
  <c r="Q301" i="6" s="1"/>
  <c r="P130" i="6"/>
  <c r="Q130" i="6" s="1"/>
  <c r="P158" i="6"/>
  <c r="Q158" i="6" s="1"/>
  <c r="K288" i="10"/>
  <c r="L288" i="10" s="1"/>
  <c r="K255" i="10"/>
  <c r="L255" i="10" s="1"/>
  <c r="F256" i="10"/>
  <c r="G256" i="10" s="1"/>
  <c r="H68" i="1"/>
  <c r="I68" i="1" s="1"/>
  <c r="F270" i="6"/>
  <c r="G270" i="6" s="1"/>
  <c r="P306" i="10"/>
  <c r="Q306" i="10" s="1"/>
  <c r="K147" i="6"/>
  <c r="L147" i="6" s="1"/>
  <c r="P157" i="6"/>
  <c r="Q157" i="6" s="1"/>
  <c r="F143" i="6"/>
  <c r="G143" i="6" s="1"/>
  <c r="F297" i="10"/>
  <c r="G297" i="10" s="1"/>
  <c r="F276" i="6"/>
  <c r="G276" i="6" s="1"/>
  <c r="K209" i="10"/>
  <c r="L209" i="10" s="1"/>
  <c r="P224" i="10"/>
  <c r="Q224" i="10" s="1"/>
  <c r="K150" i="6"/>
  <c r="L150" i="6" s="1"/>
  <c r="F224" i="10"/>
  <c r="G224" i="10" s="1"/>
  <c r="K306" i="10"/>
  <c r="L306" i="10" s="1"/>
  <c r="F276" i="10"/>
  <c r="G276" i="10" s="1"/>
  <c r="A110" i="10"/>
  <c r="A179" i="6"/>
  <c r="P297" i="6"/>
  <c r="Q297" i="6" s="1"/>
  <c r="P210" i="10"/>
  <c r="Q210" i="10" s="1"/>
  <c r="P189" i="10"/>
  <c r="Q189" i="10" s="1"/>
  <c r="A99" i="6"/>
  <c r="P175" i="6"/>
  <c r="Q175" i="6" s="1"/>
  <c r="F290" i="10"/>
  <c r="G290" i="10" s="1"/>
  <c r="K158" i="6"/>
  <c r="L158" i="6" s="1"/>
  <c r="A153" i="6"/>
  <c r="A127" i="10"/>
  <c r="F210" i="10"/>
  <c r="G210" i="10" s="1"/>
  <c r="F147" i="6"/>
  <c r="G147" i="6" s="1"/>
  <c r="P290" i="10"/>
  <c r="Q290" i="10" s="1"/>
  <c r="F150" i="6"/>
  <c r="G150" i="6" s="1"/>
  <c r="P144" i="6"/>
  <c r="Q144" i="6" s="1"/>
  <c r="K144" i="6"/>
  <c r="L144" i="6" s="1"/>
  <c r="P143" i="6"/>
  <c r="Q143" i="6" s="1"/>
  <c r="A304" i="6"/>
  <c r="H35" i="1"/>
  <c r="I35" i="1" s="1"/>
  <c r="A140" i="10"/>
  <c r="F269" i="6"/>
  <c r="G269" i="6" s="1"/>
  <c r="A100" i="4"/>
  <c r="H67" i="1"/>
  <c r="I67" i="1" s="1"/>
  <c r="P198" i="10"/>
  <c r="Q198" i="10" s="1"/>
  <c r="F267" i="10"/>
  <c r="G267" i="10" s="1"/>
  <c r="K198" i="10"/>
  <c r="L198" i="10" s="1"/>
  <c r="P129" i="6"/>
  <c r="Q129" i="6" s="1"/>
  <c r="R67" i="1"/>
  <c r="S67" i="1" s="1"/>
  <c r="A86" i="6"/>
  <c r="R69" i="1"/>
  <c r="S69" i="1" s="1"/>
  <c r="H69" i="1"/>
  <c r="I69" i="1" s="1"/>
  <c r="K305" i="10"/>
  <c r="L305" i="10" s="1"/>
  <c r="A73" i="4"/>
  <c r="F130" i="6"/>
  <c r="G130" i="6" s="1"/>
  <c r="F189" i="10"/>
  <c r="G189" i="10" s="1"/>
  <c r="F258" i="10"/>
  <c r="G258" i="10" s="1"/>
  <c r="F297" i="6"/>
  <c r="G297" i="6" s="1"/>
  <c r="B132" i="1"/>
  <c r="A221" i="6"/>
  <c r="A119" i="6"/>
  <c r="F268" i="10"/>
  <c r="G268" i="10" s="1"/>
  <c r="R35" i="1"/>
  <c r="S35" i="1" s="1"/>
  <c r="A363" i="6"/>
  <c r="A377" i="6" s="1"/>
  <c r="P300" i="10"/>
  <c r="Q300" i="10" s="1"/>
  <c r="K40" i="4"/>
  <c r="L40" i="4" s="1"/>
  <c r="K267" i="10"/>
  <c r="L267" i="10" s="1"/>
  <c r="B113" i="1"/>
  <c r="A60" i="4"/>
  <c r="A113" i="4"/>
  <c r="A132" i="4"/>
  <c r="A208" i="6"/>
  <c r="A250" i="10"/>
  <c r="A71" i="6"/>
  <c r="A136" i="6"/>
  <c r="B27" i="1"/>
  <c r="A344" i="6"/>
  <c r="F300" i="10"/>
  <c r="G300" i="10" s="1"/>
  <c r="P40" i="4"/>
  <c r="Q40" i="4" s="1"/>
  <c r="B100" i="1"/>
  <c r="A228" i="10"/>
  <c r="K277" i="10"/>
  <c r="L277" i="10" s="1"/>
  <c r="F42" i="4"/>
  <c r="G42" i="4" s="1"/>
  <c r="P42" i="4"/>
  <c r="Q42" i="4" s="1"/>
  <c r="A239" i="10"/>
  <c r="M68" i="1"/>
  <c r="N68" i="1" s="1"/>
  <c r="F255" i="10"/>
  <c r="G255" i="10" s="1"/>
  <c r="K202" i="10"/>
  <c r="L202" i="10" s="1"/>
  <c r="A237" i="6"/>
  <c r="F265" i="10"/>
  <c r="G265" i="10" s="1"/>
  <c r="P176" i="6"/>
  <c r="Q176" i="6" s="1"/>
  <c r="P282" i="6"/>
  <c r="Q282" i="6" s="1"/>
  <c r="F282" i="6"/>
  <c r="G282" i="6" s="1"/>
  <c r="K282" i="6"/>
  <c r="L282" i="6" s="1"/>
  <c r="R36" i="1"/>
  <c r="S36" i="1" s="1"/>
  <c r="H36" i="1"/>
  <c r="I36" i="1" s="1"/>
  <c r="M36" i="1"/>
  <c r="N36" i="1" s="1"/>
  <c r="K300" i="6"/>
  <c r="L300" i="6" s="1"/>
  <c r="F300" i="6"/>
  <c r="G300" i="6" s="1"/>
  <c r="P148" i="6"/>
  <c r="Q148" i="6" s="1"/>
  <c r="F148" i="6"/>
  <c r="G148" i="6" s="1"/>
  <c r="K148" i="6"/>
  <c r="L148" i="6" s="1"/>
  <c r="P36" i="4"/>
  <c r="Q36" i="4" s="1"/>
  <c r="K36" i="4"/>
  <c r="L36" i="4" s="1"/>
  <c r="F36" i="4"/>
  <c r="G36" i="4" s="1"/>
  <c r="P43" i="4"/>
  <c r="Q43" i="4" s="1"/>
  <c r="F43" i="4"/>
  <c r="G43" i="4" s="1"/>
  <c r="K43" i="4"/>
  <c r="L43" i="4" s="1"/>
  <c r="K34" i="4"/>
  <c r="L34" i="4" s="1"/>
  <c r="P34" i="4"/>
  <c r="Q34" i="4" s="1"/>
  <c r="F34" i="4"/>
  <c r="G34" i="4" s="1"/>
  <c r="P237" i="10"/>
  <c r="Q237" i="10" s="1"/>
  <c r="F237" i="10"/>
  <c r="G237" i="10" s="1"/>
  <c r="K237" i="10"/>
  <c r="L237" i="10" s="1"/>
  <c r="P41" i="4"/>
  <c r="Q41" i="4" s="1"/>
  <c r="K41" i="4"/>
  <c r="L41" i="4" s="1"/>
  <c r="F41" i="4"/>
  <c r="G41" i="4" s="1"/>
  <c r="F254" i="10"/>
  <c r="G254" i="10" s="1"/>
  <c r="K254" i="10"/>
  <c r="L254" i="10" s="1"/>
  <c r="A260" i="10"/>
  <c r="P254" i="10"/>
  <c r="Q254" i="10" s="1"/>
  <c r="A264" i="6"/>
  <c r="K257" i="10"/>
  <c r="L257" i="10" s="1"/>
  <c r="P257" i="10"/>
  <c r="Q257" i="10" s="1"/>
  <c r="F257" i="10"/>
  <c r="G257" i="10" s="1"/>
  <c r="K295" i="10"/>
  <c r="L295" i="10" s="1"/>
  <c r="K191" i="6"/>
  <c r="L191" i="6" s="1"/>
  <c r="F191" i="6"/>
  <c r="G191" i="6" s="1"/>
  <c r="P191" i="6"/>
  <c r="Q191" i="6" s="1"/>
  <c r="K283" i="6"/>
  <c r="L283" i="6" s="1"/>
  <c r="P283" i="6"/>
  <c r="Q283" i="6" s="1"/>
  <c r="K189" i="6"/>
  <c r="L189" i="6" s="1"/>
  <c r="F189" i="6"/>
  <c r="G189" i="6" s="1"/>
  <c r="P189" i="6"/>
  <c r="Q189" i="6" s="1"/>
  <c r="F209" i="10"/>
  <c r="G209" i="10" s="1"/>
  <c r="P265" i="10"/>
  <c r="Q265" i="10" s="1"/>
  <c r="P305" i="10"/>
  <c r="Q305" i="10" s="1"/>
  <c r="M70" i="1"/>
  <c r="N70" i="1" s="1"/>
  <c r="H70" i="1"/>
  <c r="I70" i="1" s="1"/>
  <c r="R70" i="1"/>
  <c r="S70" i="1" s="1"/>
  <c r="R38" i="1"/>
  <c r="S38" i="1" s="1"/>
  <c r="M38" i="1"/>
  <c r="N38" i="1" s="1"/>
  <c r="K238" i="10"/>
  <c r="L238" i="10" s="1"/>
  <c r="P238" i="10"/>
  <c r="Q238" i="10" s="1"/>
  <c r="F238" i="10"/>
  <c r="G238" i="10" s="1"/>
  <c r="F308" i="10"/>
  <c r="G308" i="10" s="1"/>
  <c r="P308" i="10"/>
  <c r="Q308" i="10" s="1"/>
  <c r="K308" i="10"/>
  <c r="L308" i="10" s="1"/>
  <c r="F201" i="10"/>
  <c r="G201" i="10" s="1"/>
  <c r="P201" i="10"/>
  <c r="Q201" i="10" s="1"/>
  <c r="K201" i="10"/>
  <c r="L201" i="10" s="1"/>
  <c r="P226" i="10"/>
  <c r="Q226" i="10" s="1"/>
  <c r="F226" i="10"/>
  <c r="G226" i="10" s="1"/>
  <c r="P127" i="6"/>
  <c r="Q127" i="6" s="1"/>
  <c r="F127" i="6"/>
  <c r="G127" i="6" s="1"/>
  <c r="K127" i="6"/>
  <c r="L127" i="6" s="1"/>
  <c r="P164" i="6"/>
  <c r="Q164" i="6" s="1"/>
  <c r="K164" i="6"/>
  <c r="L164" i="6" s="1"/>
  <c r="F164" i="6"/>
  <c r="G164" i="6" s="1"/>
  <c r="P249" i="10"/>
  <c r="Q249" i="10" s="1"/>
  <c r="F249" i="10"/>
  <c r="G249" i="10" s="1"/>
  <c r="K249" i="10"/>
  <c r="L249" i="10" s="1"/>
  <c r="F287" i="10"/>
  <c r="G287" i="10" s="1"/>
  <c r="K287" i="10"/>
  <c r="L287" i="10" s="1"/>
  <c r="P287" i="10"/>
  <c r="Q287" i="10" s="1"/>
  <c r="K176" i="6"/>
  <c r="L176" i="6" s="1"/>
  <c r="P276" i="6"/>
  <c r="Q276" i="6" s="1"/>
  <c r="F214" i="10"/>
  <c r="G214" i="10" s="1"/>
  <c r="H71" i="1"/>
  <c r="I71" i="1" s="1"/>
  <c r="M71" i="1"/>
  <c r="N71" i="1" s="1"/>
  <c r="R71" i="1"/>
  <c r="S71" i="1" s="1"/>
  <c r="A291" i="6"/>
  <c r="P270" i="6"/>
  <c r="Q270" i="6" s="1"/>
  <c r="F283" i="6"/>
  <c r="G283" i="6" s="1"/>
  <c r="P256" i="10"/>
  <c r="Q256" i="10" s="1"/>
  <c r="P227" i="10"/>
  <c r="Q227" i="10" s="1"/>
  <c r="M37" i="1"/>
  <c r="N37" i="1" s="1"/>
  <c r="H37" i="1"/>
  <c r="I37" i="1" s="1"/>
  <c r="K174" i="6"/>
  <c r="L174" i="6" s="1"/>
  <c r="P174" i="6"/>
  <c r="Q174" i="6" s="1"/>
  <c r="F174" i="6"/>
  <c r="G174" i="6" s="1"/>
  <c r="K199" i="10"/>
  <c r="L199" i="10" s="1"/>
  <c r="P199" i="10"/>
  <c r="Q199" i="10" s="1"/>
  <c r="F199" i="10"/>
  <c r="G199" i="10" s="1"/>
  <c r="F170" i="6"/>
  <c r="G170" i="6" s="1"/>
  <c r="P170" i="6"/>
  <c r="Q170" i="6" s="1"/>
  <c r="P307" i="10"/>
  <c r="Q307" i="10" s="1"/>
  <c r="K307" i="10"/>
  <c r="L307" i="10" s="1"/>
  <c r="F307" i="10"/>
  <c r="G307" i="10" s="1"/>
  <c r="P126" i="6"/>
  <c r="Q126" i="6" s="1"/>
  <c r="F126" i="6"/>
  <c r="G126" i="6" s="1"/>
  <c r="P191" i="10"/>
  <c r="Q191" i="10" s="1"/>
  <c r="K191" i="10"/>
  <c r="L191" i="10" s="1"/>
  <c r="P211" i="10"/>
  <c r="Q211" i="10" s="1"/>
  <c r="F211" i="10"/>
  <c r="G211" i="10" s="1"/>
  <c r="K211" i="10"/>
  <c r="L211" i="10" s="1"/>
  <c r="K225" i="10"/>
  <c r="L225" i="10" s="1"/>
  <c r="F225" i="10"/>
  <c r="G225" i="10" s="1"/>
  <c r="P225" i="10"/>
  <c r="Q225" i="10" s="1"/>
  <c r="F289" i="10"/>
  <c r="G289" i="10" s="1"/>
  <c r="P289" i="10"/>
  <c r="Q289" i="10" s="1"/>
  <c r="K289" i="10"/>
  <c r="L289" i="10" s="1"/>
  <c r="K37" i="4"/>
  <c r="L37" i="4" s="1"/>
  <c r="P37" i="4"/>
  <c r="Q37" i="4" s="1"/>
  <c r="F37" i="4"/>
  <c r="G37" i="4" s="1"/>
  <c r="P149" i="6"/>
  <c r="Q149" i="6" s="1"/>
  <c r="F149" i="6"/>
  <c r="G149" i="6" s="1"/>
  <c r="K149" i="6"/>
  <c r="L149" i="6" s="1"/>
  <c r="P272" i="6"/>
  <c r="Q272" i="6" s="1"/>
  <c r="F272" i="6"/>
  <c r="G272" i="6" s="1"/>
  <c r="K272" i="6"/>
  <c r="L272" i="6" s="1"/>
  <c r="P38" i="4"/>
  <c r="Q38" i="4" s="1"/>
  <c r="K38" i="4"/>
  <c r="L38" i="4" s="1"/>
  <c r="F38" i="4"/>
  <c r="G38" i="4" s="1"/>
  <c r="B73" i="1"/>
  <c r="K279" i="10"/>
  <c r="L279" i="10" s="1"/>
  <c r="P279" i="10"/>
  <c r="Q279" i="10" s="1"/>
  <c r="F279" i="10"/>
  <c r="G279" i="10" s="1"/>
  <c r="P171" i="6"/>
  <c r="Q171" i="6" s="1"/>
  <c r="K171" i="6"/>
  <c r="L171" i="6" s="1"/>
  <c r="F171" i="6"/>
  <c r="G171" i="6" s="1"/>
  <c r="K173" i="6"/>
  <c r="L173" i="6" s="1"/>
  <c r="F173" i="6"/>
  <c r="G173" i="6" s="1"/>
  <c r="B44" i="1"/>
  <c r="A217" i="10"/>
  <c r="P286" i="10"/>
  <c r="Q286" i="10" s="1"/>
  <c r="F286" i="10"/>
  <c r="G286" i="10" s="1"/>
  <c r="K286" i="10"/>
  <c r="L286" i="10" s="1"/>
  <c r="K125" i="6"/>
  <c r="L125" i="6" s="1"/>
  <c r="F125" i="6"/>
  <c r="G125" i="6" s="1"/>
  <c r="P290" i="6"/>
  <c r="Q290" i="6" s="1"/>
  <c r="K290" i="6"/>
  <c r="L290" i="6" s="1"/>
  <c r="F290" i="6"/>
  <c r="G290" i="6" s="1"/>
  <c r="F284" i="6"/>
  <c r="G284" i="6" s="1"/>
  <c r="K284" i="6"/>
  <c r="L284" i="6" s="1"/>
  <c r="K288" i="6"/>
  <c r="L288" i="6" s="1"/>
  <c r="F288" i="6"/>
  <c r="G288" i="6" s="1"/>
  <c r="R66" i="1"/>
  <c r="S66" i="1" s="1"/>
  <c r="M66" i="1"/>
  <c r="N66" i="1" s="1"/>
  <c r="H66" i="1"/>
  <c r="I66" i="1" s="1"/>
  <c r="F39" i="4"/>
  <c r="G39" i="4" s="1"/>
  <c r="P39" i="4"/>
  <c r="Q39" i="4" s="1"/>
  <c r="K39" i="4"/>
  <c r="L39" i="4" s="1"/>
  <c r="F299" i="10"/>
  <c r="G299" i="10" s="1"/>
  <c r="P299" i="10"/>
  <c r="Q299" i="10" s="1"/>
  <c r="K299" i="10"/>
  <c r="L299" i="10" s="1"/>
  <c r="K213" i="10"/>
  <c r="L213" i="10" s="1"/>
  <c r="F213" i="10"/>
  <c r="G213" i="10" s="1"/>
  <c r="P213" i="10"/>
  <c r="Q213" i="10" s="1"/>
  <c r="P71" i="4"/>
  <c r="Q71" i="4" s="1"/>
  <c r="K71" i="4"/>
  <c r="L71" i="4" s="1"/>
  <c r="K274" i="6"/>
  <c r="L274" i="6" s="1"/>
  <c r="P274" i="6"/>
  <c r="Q274" i="6" s="1"/>
  <c r="F274" i="6"/>
  <c r="G274" i="6" s="1"/>
  <c r="F274" i="10"/>
  <c r="G274" i="10" s="1"/>
  <c r="P274" i="10"/>
  <c r="Q274" i="10" s="1"/>
  <c r="K274" i="10"/>
  <c r="L274" i="10" s="1"/>
  <c r="A281" i="10"/>
  <c r="F285" i="10"/>
  <c r="G285" i="10" s="1"/>
  <c r="K285" i="10"/>
  <c r="L285" i="10" s="1"/>
  <c r="A291" i="10"/>
  <c r="P285" i="10"/>
  <c r="Q285" i="10" s="1"/>
  <c r="K193" i="10"/>
  <c r="L193" i="10" s="1"/>
  <c r="F193" i="10"/>
  <c r="G193" i="10" s="1"/>
  <c r="P193" i="10"/>
  <c r="Q193" i="10" s="1"/>
  <c r="P152" i="6"/>
  <c r="Q152" i="6" s="1"/>
  <c r="F152" i="6"/>
  <c r="G152" i="6" s="1"/>
  <c r="K152" i="6"/>
  <c r="L152" i="6" s="1"/>
  <c r="M40" i="1"/>
  <c r="N40" i="1" s="1"/>
  <c r="H40" i="1"/>
  <c r="I40" i="1" s="1"/>
  <c r="R40" i="1"/>
  <c r="S40" i="1" s="1"/>
  <c r="F157" i="6"/>
  <c r="G157" i="6" s="1"/>
  <c r="F202" i="10"/>
  <c r="G202" i="10" s="1"/>
  <c r="F243" i="10"/>
  <c r="G243" i="10" s="1"/>
  <c r="A166" i="6"/>
  <c r="F235" i="10"/>
  <c r="G235" i="10" s="1"/>
  <c r="A87" i="4"/>
  <c r="K223" i="10"/>
  <c r="L223" i="10" s="1"/>
  <c r="P223" i="10"/>
  <c r="Q223" i="10" s="1"/>
  <c r="F223" i="10"/>
  <c r="G223" i="10" s="1"/>
  <c r="P123" i="6"/>
  <c r="Q123" i="6" s="1"/>
  <c r="K123" i="6"/>
  <c r="L123" i="6" s="1"/>
  <c r="F123" i="6"/>
  <c r="G123" i="6" s="1"/>
  <c r="F31" i="4"/>
  <c r="G31" i="4" s="1"/>
  <c r="P31" i="4"/>
  <c r="Q31" i="4" s="1"/>
  <c r="K31" i="4"/>
  <c r="L31" i="4" s="1"/>
  <c r="P234" i="10"/>
  <c r="Q234" i="10" s="1"/>
  <c r="K234" i="10"/>
  <c r="L234" i="10" s="1"/>
  <c r="F234" i="10"/>
  <c r="G234" i="10" s="1"/>
  <c r="K248" i="10"/>
  <c r="L248" i="10" s="1"/>
  <c r="F248" i="10"/>
  <c r="G248" i="10" s="1"/>
  <c r="P248" i="10"/>
  <c r="Q248" i="10" s="1"/>
  <c r="K200" i="10"/>
  <c r="L200" i="10" s="1"/>
  <c r="F200" i="10"/>
  <c r="G200" i="10" s="1"/>
  <c r="P200" i="10"/>
  <c r="Q200" i="10" s="1"/>
  <c r="H65" i="1"/>
  <c r="I65" i="1" s="1"/>
  <c r="M65" i="1"/>
  <c r="N65" i="1" s="1"/>
  <c r="R65" i="1"/>
  <c r="S65" i="1" s="1"/>
  <c r="M43" i="1"/>
  <c r="N43" i="1" s="1"/>
  <c r="H43" i="1"/>
  <c r="I43" i="1" s="1"/>
  <c r="R43" i="1"/>
  <c r="S43" i="1" s="1"/>
  <c r="R42" i="1"/>
  <c r="S42" i="1" s="1"/>
  <c r="H42" i="1"/>
  <c r="I42" i="1" s="1"/>
  <c r="M42" i="1"/>
  <c r="N42" i="1" s="1"/>
  <c r="P247" i="10"/>
  <c r="Q247" i="10" s="1"/>
  <c r="K247" i="10"/>
  <c r="L247" i="10" s="1"/>
  <c r="F247" i="10"/>
  <c r="G247" i="10" s="1"/>
  <c r="A311" i="10"/>
  <c r="P288" i="6"/>
  <c r="Q288" i="6" s="1"/>
  <c r="K296" i="6"/>
  <c r="L296" i="6" s="1"/>
  <c r="P296" i="6"/>
  <c r="Q296" i="6" s="1"/>
  <c r="F296" i="6"/>
  <c r="G296" i="6" s="1"/>
  <c r="K132" i="6"/>
  <c r="L132" i="6" s="1"/>
  <c r="F132" i="6"/>
  <c r="G132" i="6" s="1"/>
  <c r="P132" i="6"/>
  <c r="Q132" i="6" s="1"/>
  <c r="K32" i="4"/>
  <c r="L32" i="4" s="1"/>
  <c r="F32" i="4"/>
  <c r="G32" i="4" s="1"/>
  <c r="P32" i="4"/>
  <c r="Q32" i="4" s="1"/>
  <c r="K192" i="10"/>
  <c r="L192" i="10" s="1"/>
  <c r="P192" i="10"/>
  <c r="Q192" i="10" s="1"/>
  <c r="F192" i="10"/>
  <c r="G192" i="10" s="1"/>
  <c r="R64" i="1"/>
  <c r="S64" i="1" s="1"/>
  <c r="H64" i="1"/>
  <c r="I64" i="1" s="1"/>
  <c r="M64" i="1"/>
  <c r="N64" i="1" s="1"/>
  <c r="F161" i="6"/>
  <c r="G161" i="6" s="1"/>
  <c r="P161" i="6"/>
  <c r="Q161" i="6" s="1"/>
  <c r="K161" i="6"/>
  <c r="L161" i="6" s="1"/>
  <c r="M31" i="1"/>
  <c r="N31" i="1" s="1"/>
  <c r="H31" i="1"/>
  <c r="I31" i="1" s="1"/>
  <c r="R31" i="1"/>
  <c r="S31" i="1" s="1"/>
  <c r="B60" i="1"/>
  <c r="F172" i="6"/>
  <c r="G172" i="6" s="1"/>
  <c r="P172" i="6"/>
  <c r="Q172" i="6" s="1"/>
  <c r="K172" i="6"/>
  <c r="L172" i="6" s="1"/>
  <c r="P162" i="6"/>
  <c r="Q162" i="6" s="1"/>
  <c r="F162" i="6"/>
  <c r="G162" i="6" s="1"/>
  <c r="K162" i="6"/>
  <c r="L162" i="6" s="1"/>
  <c r="P243" i="10"/>
  <c r="Q243" i="10" s="1"/>
  <c r="K243" i="10"/>
  <c r="L243" i="10" s="1"/>
  <c r="P295" i="6"/>
  <c r="Q295" i="6" s="1"/>
  <c r="K295" i="6"/>
  <c r="L295" i="6" s="1"/>
  <c r="F295" i="6"/>
  <c r="G295" i="6" s="1"/>
  <c r="F296" i="10"/>
  <c r="G296" i="10" s="1"/>
  <c r="P296" i="10"/>
  <c r="Q296" i="10" s="1"/>
  <c r="K296" i="10"/>
  <c r="L296" i="10" s="1"/>
  <c r="R34" i="1"/>
  <c r="S34" i="1" s="1"/>
  <c r="M34" i="1"/>
  <c r="N34" i="1" s="1"/>
  <c r="K204" i="10"/>
  <c r="L204" i="10" s="1"/>
  <c r="F204" i="10"/>
  <c r="G204" i="10" s="1"/>
  <c r="F264" i="10"/>
  <c r="G264" i="10" s="1"/>
  <c r="K264" i="10"/>
  <c r="L264" i="10" s="1"/>
  <c r="P264" i="10"/>
  <c r="Q264" i="10" s="1"/>
  <c r="H32" i="1"/>
  <c r="I32" i="1" s="1"/>
  <c r="M32" i="1"/>
  <c r="N32" i="1" s="1"/>
  <c r="R32" i="1"/>
  <c r="S32" i="1" s="1"/>
  <c r="K286" i="6"/>
  <c r="L286" i="6" s="1"/>
  <c r="P286" i="6"/>
  <c r="Q286" i="6" s="1"/>
  <c r="F286" i="6"/>
  <c r="G286" i="6" s="1"/>
  <c r="P35" i="4"/>
  <c r="Q35" i="4" s="1"/>
  <c r="K35" i="4"/>
  <c r="L35" i="4" s="1"/>
  <c r="F35" i="4"/>
  <c r="G35" i="4" s="1"/>
  <c r="P275" i="6"/>
  <c r="Q275" i="6" s="1"/>
  <c r="F275" i="6"/>
  <c r="G275" i="6" s="1"/>
  <c r="K275" i="6"/>
  <c r="L275" i="6" s="1"/>
  <c r="K187" i="10"/>
  <c r="L187" i="10" s="1"/>
  <c r="F187" i="10"/>
  <c r="G187" i="10" s="1"/>
  <c r="A194" i="10"/>
  <c r="P187" i="10"/>
  <c r="Q187" i="10" s="1"/>
  <c r="P33" i="4"/>
  <c r="Q33" i="4" s="1"/>
  <c r="K33" i="4"/>
  <c r="L33" i="4" s="1"/>
  <c r="F33" i="4"/>
  <c r="G33" i="4" s="1"/>
  <c r="P244" i="10"/>
  <c r="Q244" i="10" s="1"/>
  <c r="K244" i="10"/>
  <c r="L244" i="10" s="1"/>
  <c r="F244" i="10"/>
  <c r="G244" i="10" s="1"/>
  <c r="K68" i="4"/>
  <c r="L68" i="4" s="1"/>
  <c r="F68" i="4"/>
  <c r="G68" i="4" s="1"/>
  <c r="P68" i="4"/>
  <c r="Q68" i="4" s="1"/>
  <c r="F289" i="6"/>
  <c r="G289" i="6" s="1"/>
  <c r="K289" i="6"/>
  <c r="L289" i="6" s="1"/>
  <c r="P289" i="6"/>
  <c r="Q289" i="6" s="1"/>
  <c r="P145" i="6"/>
  <c r="Q145" i="6" s="1"/>
  <c r="K145" i="6"/>
  <c r="L145" i="6" s="1"/>
  <c r="F145" i="6"/>
  <c r="G145" i="6" s="1"/>
  <c r="K163" i="6"/>
  <c r="L163" i="6" s="1"/>
  <c r="F163" i="6"/>
  <c r="G163" i="6" s="1"/>
  <c r="P163" i="6"/>
  <c r="Q163" i="6" s="1"/>
  <c r="K188" i="10"/>
  <c r="L188" i="10" s="1"/>
  <c r="P188" i="10"/>
  <c r="Q188" i="10" s="1"/>
  <c r="R72" i="1"/>
  <c r="S72" i="1" s="1"/>
  <c r="M72" i="1"/>
  <c r="N72" i="1" s="1"/>
  <c r="P134" i="6"/>
  <c r="Q134" i="6" s="1"/>
  <c r="F134" i="6"/>
  <c r="G134" i="6" s="1"/>
  <c r="K134" i="6"/>
  <c r="L134" i="6" s="1"/>
  <c r="H72" i="1"/>
  <c r="I72" i="1" s="1"/>
  <c r="K146" i="6"/>
  <c r="L146" i="6" s="1"/>
  <c r="P146" i="6"/>
  <c r="Q146" i="6" s="1"/>
  <c r="F146" i="6"/>
  <c r="G146" i="6" s="1"/>
  <c r="A278" i="6"/>
  <c r="P214" i="10"/>
  <c r="Q214" i="10" s="1"/>
  <c r="K268" i="6"/>
  <c r="L268" i="6" s="1"/>
  <c r="F268" i="6"/>
  <c r="G268" i="6" s="1"/>
  <c r="P268" i="6"/>
  <c r="Q268" i="6" s="1"/>
  <c r="K232" i="10"/>
  <c r="L232" i="10" s="1"/>
  <c r="F232" i="10"/>
  <c r="G232" i="10" s="1"/>
  <c r="P232" i="10"/>
  <c r="Q232" i="10" s="1"/>
  <c r="P298" i="6"/>
  <c r="Q298" i="6" s="1"/>
  <c r="F298" i="6"/>
  <c r="G298" i="6" s="1"/>
  <c r="K298" i="6"/>
  <c r="L298" i="6" s="1"/>
  <c r="A301" i="10"/>
  <c r="P295" i="10"/>
  <c r="Q295" i="10" s="1"/>
  <c r="K151" i="6"/>
  <c r="L151" i="6" s="1"/>
  <c r="F151" i="6"/>
  <c r="G151" i="6" s="1"/>
  <c r="P151" i="6"/>
  <c r="Q151" i="6" s="1"/>
  <c r="K160" i="6"/>
  <c r="L160" i="6" s="1"/>
  <c r="P160" i="6"/>
  <c r="Q160" i="6" s="1"/>
  <c r="F160" i="6"/>
  <c r="G160" i="6" s="1"/>
  <c r="K298" i="10"/>
  <c r="L298" i="10" s="1"/>
  <c r="P298" i="10"/>
  <c r="Q298" i="10" s="1"/>
  <c r="F298" i="10"/>
  <c r="G298" i="10" s="1"/>
  <c r="K186" i="6"/>
  <c r="L186" i="6" s="1"/>
  <c r="F186" i="6"/>
  <c r="G186" i="6" s="1"/>
  <c r="P186" i="6"/>
  <c r="Q186" i="6" s="1"/>
  <c r="P165" i="6"/>
  <c r="Q165" i="6" s="1"/>
  <c r="F165" i="6"/>
  <c r="G165" i="6" s="1"/>
  <c r="K165" i="6"/>
  <c r="L165" i="6" s="1"/>
  <c r="K299" i="6"/>
  <c r="L299" i="6" s="1"/>
  <c r="P299" i="6"/>
  <c r="Q299" i="6" s="1"/>
  <c r="F299" i="6"/>
  <c r="G299" i="6" s="1"/>
  <c r="F212" i="10"/>
  <c r="G212" i="10" s="1"/>
  <c r="K212" i="10"/>
  <c r="L212" i="10" s="1"/>
  <c r="P212" i="10"/>
  <c r="Q212" i="10" s="1"/>
  <c r="K236" i="10"/>
  <c r="L236" i="10" s="1"/>
  <c r="F236" i="10"/>
  <c r="G236" i="10" s="1"/>
  <c r="P236" i="10"/>
  <c r="Q236" i="10" s="1"/>
  <c r="P159" i="6"/>
  <c r="Q159" i="6" s="1"/>
  <c r="F159" i="6"/>
  <c r="G159" i="6" s="1"/>
  <c r="K159" i="6"/>
  <c r="L159" i="6" s="1"/>
  <c r="F303" i="6"/>
  <c r="G303" i="6" s="1"/>
  <c r="K303" i="6"/>
  <c r="L303" i="6" s="1"/>
  <c r="P303" i="6"/>
  <c r="Q303" i="6" s="1"/>
  <c r="P69" i="4"/>
  <c r="Q69" i="4" s="1"/>
  <c r="K69" i="4"/>
  <c r="L69" i="4" s="1"/>
  <c r="F69" i="4"/>
  <c r="G69" i="4" s="1"/>
  <c r="A318" i="6"/>
  <c r="A205" i="10"/>
  <c r="P124" i="6"/>
  <c r="Q124" i="6" s="1"/>
  <c r="K235" i="10"/>
  <c r="L235" i="10" s="1"/>
  <c r="P173" i="6"/>
  <c r="Q173" i="6" s="1"/>
  <c r="P246" i="10"/>
  <c r="Q246" i="10" s="1"/>
  <c r="F246" i="10"/>
  <c r="G246" i="10" s="1"/>
  <c r="F259" i="10"/>
  <c r="G259" i="10" s="1"/>
  <c r="K259" i="10"/>
  <c r="L259" i="10" s="1"/>
  <c r="A252" i="6"/>
  <c r="K72" i="4"/>
  <c r="L72" i="4" s="1"/>
  <c r="F72" i="4"/>
  <c r="G72" i="4" s="1"/>
  <c r="P72" i="4"/>
  <c r="Q72" i="4" s="1"/>
  <c r="F277" i="10"/>
  <c r="G277" i="10" s="1"/>
  <c r="A270" i="10"/>
  <c r="F124" i="6"/>
  <c r="G124" i="6" s="1"/>
  <c r="P216" i="10"/>
  <c r="Q216" i="10" s="1"/>
  <c r="F216" i="10"/>
  <c r="G216" i="10" s="1"/>
  <c r="K216" i="10"/>
  <c r="L216" i="10" s="1"/>
  <c r="A157" i="10"/>
  <c r="M41" i="1"/>
  <c r="N41" i="1" s="1"/>
  <c r="H41" i="1"/>
  <c r="I41" i="1" s="1"/>
  <c r="R41" i="1"/>
  <c r="S41" i="1" s="1"/>
  <c r="F245" i="10"/>
  <c r="G245" i="10" s="1"/>
  <c r="K245" i="10"/>
  <c r="L245" i="10" s="1"/>
  <c r="F67" i="4"/>
  <c r="G67" i="4" s="1"/>
  <c r="K67" i="4"/>
  <c r="L67" i="4" s="1"/>
  <c r="P131" i="6"/>
  <c r="Q131" i="6" s="1"/>
  <c r="K131" i="6"/>
  <c r="L131" i="6" s="1"/>
  <c r="P287" i="6"/>
  <c r="Q287" i="6" s="1"/>
  <c r="F287" i="6"/>
  <c r="G287" i="6" s="1"/>
  <c r="K287" i="6"/>
  <c r="L287" i="6" s="1"/>
  <c r="K215" i="10"/>
  <c r="L215" i="10" s="1"/>
  <c r="F215" i="10"/>
  <c r="G215" i="10" s="1"/>
  <c r="P215" i="10"/>
  <c r="Q215" i="10" s="1"/>
  <c r="P184" i="6"/>
  <c r="Q184" i="6" s="1"/>
  <c r="F184" i="6"/>
  <c r="G184" i="6" s="1"/>
  <c r="K184" i="6"/>
  <c r="L184" i="6" s="1"/>
  <c r="K273" i="6"/>
  <c r="L273" i="6" s="1"/>
  <c r="P273" i="6"/>
  <c r="Q273" i="6" s="1"/>
  <c r="F203" i="10"/>
  <c r="G203" i="10" s="1"/>
  <c r="K203" i="10"/>
  <c r="L203" i="10" s="1"/>
  <c r="P203" i="10"/>
  <c r="Q203" i="10" s="1"/>
  <c r="A183" i="10"/>
  <c r="K65" i="4"/>
  <c r="L65" i="4" s="1"/>
  <c r="P65" i="4"/>
  <c r="Q65" i="4" s="1"/>
  <c r="F65" i="4"/>
  <c r="G65" i="4" s="1"/>
  <c r="P142" i="6"/>
  <c r="Q142" i="6" s="1"/>
  <c r="F142" i="6"/>
  <c r="G142" i="6" s="1"/>
  <c r="K142" i="6"/>
  <c r="L142" i="6" s="1"/>
  <c r="P190" i="6"/>
  <c r="Q190" i="6" s="1"/>
  <c r="K190" i="6"/>
  <c r="L190" i="6" s="1"/>
  <c r="F190" i="6"/>
  <c r="G190" i="6" s="1"/>
  <c r="P66" i="4"/>
  <c r="Q66" i="4" s="1"/>
  <c r="K66" i="4"/>
  <c r="L66" i="4" s="1"/>
  <c r="F66" i="4"/>
  <c r="G66" i="4" s="1"/>
  <c r="K185" i="6"/>
  <c r="L185" i="6" s="1"/>
  <c r="P185" i="6"/>
  <c r="Q185" i="6" s="1"/>
  <c r="F185" i="6"/>
  <c r="G185" i="6" s="1"/>
  <c r="M33" i="1"/>
  <c r="N33" i="1" s="1"/>
  <c r="H33" i="1"/>
  <c r="I33" i="1" s="1"/>
  <c r="R33" i="1"/>
  <c r="S33" i="1" s="1"/>
  <c r="K141" i="6"/>
  <c r="L141" i="6" s="1"/>
  <c r="F141" i="6"/>
  <c r="G141" i="6" s="1"/>
  <c r="P141" i="6"/>
  <c r="Q141" i="6" s="1"/>
  <c r="K187" i="6"/>
  <c r="L187" i="6" s="1"/>
  <c r="P187" i="6"/>
  <c r="Q187" i="6" s="1"/>
  <c r="F187" i="6"/>
  <c r="G187" i="6" s="1"/>
  <c r="K64" i="4"/>
  <c r="L64" i="4" s="1"/>
  <c r="F64" i="4"/>
  <c r="G64" i="4" s="1"/>
  <c r="P64" i="4"/>
  <c r="Q64" i="4" s="1"/>
  <c r="F70" i="4"/>
  <c r="G70" i="4" s="1"/>
  <c r="P70" i="4"/>
  <c r="Q70" i="4" s="1"/>
  <c r="P188" i="6"/>
  <c r="Q188" i="6" s="1"/>
  <c r="F188" i="6"/>
  <c r="G188" i="6" s="1"/>
  <c r="K188" i="6"/>
  <c r="L188" i="6" s="1"/>
  <c r="B87" i="1"/>
  <c r="F190" i="10"/>
  <c r="G190" i="10" s="1"/>
  <c r="P190" i="10"/>
  <c r="Q190" i="10" s="1"/>
  <c r="K135" i="6"/>
  <c r="L135" i="6" s="1"/>
  <c r="P135" i="6"/>
  <c r="Q135" i="6" s="1"/>
  <c r="F135" i="6"/>
  <c r="G135" i="6" s="1"/>
  <c r="P128" i="6"/>
  <c r="Q128" i="6" s="1"/>
  <c r="K128" i="6"/>
  <c r="L128" i="6" s="1"/>
  <c r="F128" i="6"/>
  <c r="G128" i="6" s="1"/>
  <c r="P140" i="6"/>
  <c r="Q140" i="6" s="1"/>
  <c r="K140" i="6"/>
  <c r="L140" i="6" s="1"/>
  <c r="F140" i="6"/>
  <c r="G140" i="6" s="1"/>
  <c r="K278" i="10"/>
  <c r="L278" i="10" s="1"/>
  <c r="P278" i="10"/>
  <c r="Q278" i="10" s="1"/>
  <c r="F278" i="10"/>
  <c r="G278" i="10" s="1"/>
  <c r="J110" i="7"/>
  <c r="Q66" i="10"/>
  <c r="L66" i="10"/>
  <c r="I62" i="7" s="1"/>
  <c r="H98" i="6"/>
  <c r="J98" i="6" s="1"/>
  <c r="K98" i="6" s="1"/>
  <c r="L98" i="6" s="1"/>
  <c r="E98" i="6"/>
  <c r="F98" i="6" s="1"/>
  <c r="G98" i="6" s="1"/>
  <c r="H97" i="6"/>
  <c r="M97" i="6" s="1"/>
  <c r="O97" i="6" s="1"/>
  <c r="P97" i="6" s="1"/>
  <c r="Q97" i="6" s="1"/>
  <c r="E97" i="6"/>
  <c r="F97" i="6" s="1"/>
  <c r="G97" i="6" s="1"/>
  <c r="H96" i="6"/>
  <c r="M96" i="6" s="1"/>
  <c r="O96" i="6" s="1"/>
  <c r="P96" i="6" s="1"/>
  <c r="Q96" i="6" s="1"/>
  <c r="E96" i="6"/>
  <c r="F96" i="6" s="1"/>
  <c r="G96" i="6" s="1"/>
  <c r="H95" i="6"/>
  <c r="J95" i="6" s="1"/>
  <c r="K95" i="6" s="1"/>
  <c r="L95" i="6" s="1"/>
  <c r="E95" i="6"/>
  <c r="F95" i="6" s="1"/>
  <c r="G95" i="6" s="1"/>
  <c r="H94" i="6"/>
  <c r="M94" i="6" s="1"/>
  <c r="O94" i="6" s="1"/>
  <c r="P94" i="6" s="1"/>
  <c r="Q94" i="6" s="1"/>
  <c r="E94" i="6"/>
  <c r="F94" i="6" s="1"/>
  <c r="G94" i="6" s="1"/>
  <c r="H93" i="6"/>
  <c r="M93" i="6" s="1"/>
  <c r="O93" i="6" s="1"/>
  <c r="P93" i="6" s="1"/>
  <c r="Q93" i="6" s="1"/>
  <c r="E93" i="6"/>
  <c r="F93" i="6" s="1"/>
  <c r="G93" i="6" s="1"/>
  <c r="H92" i="6"/>
  <c r="M92" i="6" s="1"/>
  <c r="O92" i="6" s="1"/>
  <c r="P92" i="6" s="1"/>
  <c r="Q92" i="6" s="1"/>
  <c r="E92" i="6"/>
  <c r="F92" i="6" s="1"/>
  <c r="G92" i="6" s="1"/>
  <c r="H91" i="6"/>
  <c r="M91" i="6" s="1"/>
  <c r="O91" i="6" s="1"/>
  <c r="P91" i="6" s="1"/>
  <c r="Q91" i="6" s="1"/>
  <c r="E91" i="6"/>
  <c r="F91" i="6" s="1"/>
  <c r="G91" i="6" s="1"/>
  <c r="H90" i="6"/>
  <c r="J90" i="6" s="1"/>
  <c r="K90" i="6" s="1"/>
  <c r="L90" i="6" s="1"/>
  <c r="E90" i="6"/>
  <c r="F90" i="6" s="1"/>
  <c r="G90" i="6" s="1"/>
  <c r="H263" i="6"/>
  <c r="J263" i="6" s="1"/>
  <c r="K263" i="6" s="1"/>
  <c r="L263" i="6" s="1"/>
  <c r="E263" i="6"/>
  <c r="F263" i="6" s="1"/>
  <c r="G263" i="6" s="1"/>
  <c r="H262" i="6"/>
  <c r="M262" i="6" s="1"/>
  <c r="O262" i="6" s="1"/>
  <c r="P262" i="6" s="1"/>
  <c r="Q262" i="6" s="1"/>
  <c r="E262" i="6"/>
  <c r="F262" i="6" s="1"/>
  <c r="G262" i="6" s="1"/>
  <c r="H261" i="6"/>
  <c r="J261" i="6" s="1"/>
  <c r="K261" i="6" s="1"/>
  <c r="L261" i="6" s="1"/>
  <c r="E261" i="6"/>
  <c r="F261" i="6" s="1"/>
  <c r="G261" i="6" s="1"/>
  <c r="H260" i="6"/>
  <c r="M260" i="6" s="1"/>
  <c r="O260" i="6" s="1"/>
  <c r="P260" i="6" s="1"/>
  <c r="Q260" i="6" s="1"/>
  <c r="E260" i="6"/>
  <c r="F260" i="6" s="1"/>
  <c r="G260" i="6" s="1"/>
  <c r="H259" i="6"/>
  <c r="J259" i="6" s="1"/>
  <c r="K259" i="6" s="1"/>
  <c r="L259" i="6" s="1"/>
  <c r="E259" i="6"/>
  <c r="F259" i="6" s="1"/>
  <c r="G259" i="6" s="1"/>
  <c r="H258" i="6"/>
  <c r="J258" i="6" s="1"/>
  <c r="K258" i="6" s="1"/>
  <c r="L258" i="6" s="1"/>
  <c r="E258" i="6"/>
  <c r="F258" i="6" s="1"/>
  <c r="G258" i="6" s="1"/>
  <c r="H257" i="6"/>
  <c r="M257" i="6" s="1"/>
  <c r="O257" i="6" s="1"/>
  <c r="P257" i="6" s="1"/>
  <c r="Q257" i="6" s="1"/>
  <c r="E257" i="6"/>
  <c r="F257" i="6" s="1"/>
  <c r="G257" i="6" s="1"/>
  <c r="H256" i="6"/>
  <c r="J256" i="6" s="1"/>
  <c r="E256" i="6"/>
  <c r="H251" i="6"/>
  <c r="M251" i="6" s="1"/>
  <c r="O251" i="6" s="1"/>
  <c r="P251" i="6" s="1"/>
  <c r="Q251" i="6" s="1"/>
  <c r="E251" i="6"/>
  <c r="F251" i="6" s="1"/>
  <c r="G251" i="6" s="1"/>
  <c r="H250" i="6"/>
  <c r="J250" i="6" s="1"/>
  <c r="K250" i="6" s="1"/>
  <c r="L250" i="6" s="1"/>
  <c r="E250" i="6"/>
  <c r="F250" i="6" s="1"/>
  <c r="G250" i="6" s="1"/>
  <c r="H249" i="6"/>
  <c r="M249" i="6" s="1"/>
  <c r="O249" i="6" s="1"/>
  <c r="P249" i="6" s="1"/>
  <c r="Q249" i="6" s="1"/>
  <c r="E249" i="6"/>
  <c r="F249" i="6" s="1"/>
  <c r="G249" i="6" s="1"/>
  <c r="H248" i="6"/>
  <c r="J248" i="6" s="1"/>
  <c r="K248" i="6" s="1"/>
  <c r="L248" i="6" s="1"/>
  <c r="E248" i="6"/>
  <c r="F248" i="6" s="1"/>
  <c r="G248" i="6" s="1"/>
  <c r="H247" i="6"/>
  <c r="J247" i="6" s="1"/>
  <c r="K247" i="6" s="1"/>
  <c r="L247" i="6" s="1"/>
  <c r="E247" i="6"/>
  <c r="F247" i="6" s="1"/>
  <c r="G247" i="6" s="1"/>
  <c r="H246" i="6"/>
  <c r="M246" i="6" s="1"/>
  <c r="O246" i="6" s="1"/>
  <c r="P246" i="6" s="1"/>
  <c r="Q246" i="6" s="1"/>
  <c r="E246" i="6"/>
  <c r="F246" i="6" s="1"/>
  <c r="G246" i="6" s="1"/>
  <c r="H245" i="6"/>
  <c r="J245" i="6" s="1"/>
  <c r="K245" i="6" s="1"/>
  <c r="L245" i="6" s="1"/>
  <c r="E245" i="6"/>
  <c r="F245" i="6" s="1"/>
  <c r="G245" i="6" s="1"/>
  <c r="H244" i="6"/>
  <c r="M244" i="6" s="1"/>
  <c r="O244" i="6" s="1"/>
  <c r="P244" i="6" s="1"/>
  <c r="Q244" i="6" s="1"/>
  <c r="E244" i="6"/>
  <c r="F244" i="6" s="1"/>
  <c r="G244" i="6" s="1"/>
  <c r="H243" i="6"/>
  <c r="M243" i="6" s="1"/>
  <c r="O243" i="6" s="1"/>
  <c r="P243" i="6" s="1"/>
  <c r="Q243" i="6" s="1"/>
  <c r="E243" i="6"/>
  <c r="F243" i="6" s="1"/>
  <c r="G243" i="6" s="1"/>
  <c r="H242" i="6"/>
  <c r="J242" i="6" s="1"/>
  <c r="K242" i="6" s="1"/>
  <c r="L242" i="6" s="1"/>
  <c r="E242" i="6"/>
  <c r="F242" i="6" s="1"/>
  <c r="G242" i="6" s="1"/>
  <c r="H241" i="6"/>
  <c r="M241" i="6" s="1"/>
  <c r="O241" i="6" s="1"/>
  <c r="P241" i="6" s="1"/>
  <c r="Q241" i="6" s="1"/>
  <c r="E241" i="6"/>
  <c r="F241" i="6" s="1"/>
  <c r="G241" i="6" s="1"/>
  <c r="H236" i="6"/>
  <c r="J236" i="6" s="1"/>
  <c r="K236" i="6" s="1"/>
  <c r="L236" i="6" s="1"/>
  <c r="E236" i="6"/>
  <c r="F236" i="6" s="1"/>
  <c r="G236" i="6" s="1"/>
  <c r="H235" i="6"/>
  <c r="M235" i="6" s="1"/>
  <c r="O235" i="6" s="1"/>
  <c r="P235" i="6" s="1"/>
  <c r="Q235" i="6" s="1"/>
  <c r="E235" i="6"/>
  <c r="F235" i="6" s="1"/>
  <c r="G235" i="6" s="1"/>
  <c r="H234" i="6"/>
  <c r="J234" i="6" s="1"/>
  <c r="K234" i="6" s="1"/>
  <c r="L234" i="6" s="1"/>
  <c r="E234" i="6"/>
  <c r="F234" i="6" s="1"/>
  <c r="G234" i="6" s="1"/>
  <c r="H233" i="6"/>
  <c r="E233" i="6"/>
  <c r="F233" i="6" s="1"/>
  <c r="G233" i="6" s="1"/>
  <c r="H232" i="6"/>
  <c r="M232" i="6" s="1"/>
  <c r="O232" i="6" s="1"/>
  <c r="P232" i="6" s="1"/>
  <c r="Q232" i="6" s="1"/>
  <c r="E232" i="6"/>
  <c r="F232" i="6" s="1"/>
  <c r="G232" i="6" s="1"/>
  <c r="H231" i="6"/>
  <c r="J231" i="6" s="1"/>
  <c r="K231" i="6" s="1"/>
  <c r="L231" i="6" s="1"/>
  <c r="E231" i="6"/>
  <c r="F231" i="6" s="1"/>
  <c r="G231" i="6" s="1"/>
  <c r="H230" i="6"/>
  <c r="M230" i="6" s="1"/>
  <c r="O230" i="6" s="1"/>
  <c r="P230" i="6" s="1"/>
  <c r="Q230" i="6" s="1"/>
  <c r="E230" i="6"/>
  <c r="F230" i="6" s="1"/>
  <c r="G230" i="6" s="1"/>
  <c r="H229" i="6"/>
  <c r="M229" i="6" s="1"/>
  <c r="O229" i="6" s="1"/>
  <c r="P229" i="6" s="1"/>
  <c r="Q229" i="6" s="1"/>
  <c r="E229" i="6"/>
  <c r="F229" i="6" s="1"/>
  <c r="G229" i="6" s="1"/>
  <c r="H228" i="6"/>
  <c r="J228" i="6" s="1"/>
  <c r="K228" i="6" s="1"/>
  <c r="L228" i="6" s="1"/>
  <c r="E228" i="6"/>
  <c r="F228" i="6" s="1"/>
  <c r="G228" i="6" s="1"/>
  <c r="H227" i="6"/>
  <c r="M227" i="6" s="1"/>
  <c r="O227" i="6" s="1"/>
  <c r="P227" i="6" s="1"/>
  <c r="Q227" i="6" s="1"/>
  <c r="E227" i="6"/>
  <c r="F227" i="6" s="1"/>
  <c r="G227" i="6" s="1"/>
  <c r="H226" i="6"/>
  <c r="J226" i="6" s="1"/>
  <c r="K226" i="6" s="1"/>
  <c r="L226" i="6" s="1"/>
  <c r="E226" i="6"/>
  <c r="F226" i="6" s="1"/>
  <c r="G226" i="6" s="1"/>
  <c r="H225" i="6"/>
  <c r="M225" i="6" s="1"/>
  <c r="O225" i="6" s="1"/>
  <c r="P225" i="6" s="1"/>
  <c r="Q225" i="6" s="1"/>
  <c r="E225" i="6"/>
  <c r="F225" i="6" s="1"/>
  <c r="G225" i="6" s="1"/>
  <c r="K256" i="6" l="1"/>
  <c r="L256" i="6" s="1"/>
  <c r="Q270" i="10"/>
  <c r="L270" i="10"/>
  <c r="A193" i="6"/>
  <c r="G301" i="10"/>
  <c r="L301" i="10"/>
  <c r="G278" i="6"/>
  <c r="Q311" i="10"/>
  <c r="Q260" i="10"/>
  <c r="Q301" i="10"/>
  <c r="L194" i="10"/>
  <c r="L260" i="10"/>
  <c r="Q44" i="4"/>
  <c r="I84" i="7" s="1"/>
  <c r="L311" i="10"/>
  <c r="G270" i="10"/>
  <c r="G260" i="10"/>
  <c r="I44" i="1"/>
  <c r="L281" i="10"/>
  <c r="G304" i="6"/>
  <c r="Q281" i="10"/>
  <c r="L217" i="10"/>
  <c r="G153" i="6"/>
  <c r="Q278" i="6"/>
  <c r="Q304" i="6"/>
  <c r="Q73" i="4"/>
  <c r="I92" i="7" s="1"/>
  <c r="H11" i="18" s="1"/>
  <c r="G73" i="4"/>
  <c r="Q136" i="6"/>
  <c r="G228" i="10"/>
  <c r="A4" i="4"/>
  <c r="L205" i="10"/>
  <c r="L153" i="6"/>
  <c r="Q228" i="10"/>
  <c r="Q217" i="10"/>
  <c r="F256" i="6"/>
  <c r="G256" i="6" s="1"/>
  <c r="G264" i="6" s="1"/>
  <c r="L228" i="10"/>
  <c r="G136" i="6"/>
  <c r="L278" i="6"/>
  <c r="L304" i="6"/>
  <c r="D1" i="6"/>
  <c r="L166" i="6"/>
  <c r="G311" i="10"/>
  <c r="N73" i="1"/>
  <c r="I45" i="7" s="1"/>
  <c r="J45" i="7" s="1"/>
  <c r="N44" i="1"/>
  <c r="I38" i="7" s="1"/>
  <c r="J38" i="7" s="1"/>
  <c r="B4" i="1"/>
  <c r="L136" i="6"/>
  <c r="L291" i="10"/>
  <c r="S44" i="1"/>
  <c r="I83" i="7" s="1"/>
  <c r="E5" i="18" s="1"/>
  <c r="G239" i="10"/>
  <c r="L44" i="4"/>
  <c r="I39" i="7" s="1"/>
  <c r="J39" i="7" s="1"/>
  <c r="Q291" i="10"/>
  <c r="G179" i="6"/>
  <c r="G291" i="10"/>
  <c r="Q153" i="6"/>
  <c r="Q166" i="6"/>
  <c r="Q194" i="10"/>
  <c r="G194" i="10"/>
  <c r="L250" i="10"/>
  <c r="L179" i="6"/>
  <c r="Q250" i="10"/>
  <c r="I73" i="1"/>
  <c r="G44" i="4"/>
  <c r="G166" i="6"/>
  <c r="A192" i="6"/>
  <c r="A4" i="6" s="1"/>
  <c r="P183" i="6"/>
  <c r="Q183" i="6" s="1"/>
  <c r="Q192" i="6" s="1"/>
  <c r="K183" i="6"/>
  <c r="L183" i="6" s="1"/>
  <c r="L192" i="6" s="1"/>
  <c r="F183" i="6"/>
  <c r="G183" i="6" s="1"/>
  <c r="G192" i="6" s="1"/>
  <c r="S73" i="1"/>
  <c r="I91" i="7" s="1"/>
  <c r="L73" i="4"/>
  <c r="I46" i="7" s="1"/>
  <c r="J46" i="7" s="1"/>
  <c r="K47" i="7" s="1"/>
  <c r="Q291" i="6"/>
  <c r="Q239" i="10"/>
  <c r="G217" i="10"/>
  <c r="G291" i="6"/>
  <c r="G281" i="10"/>
  <c r="L291" i="6"/>
  <c r="Q179" i="6"/>
  <c r="G205" i="10"/>
  <c r="Q205" i="10"/>
  <c r="G250" i="10"/>
  <c r="L239" i="10"/>
  <c r="J62" i="7"/>
  <c r="J107" i="7"/>
  <c r="I108" i="7"/>
  <c r="J108" i="7" s="1"/>
  <c r="J96" i="6"/>
  <c r="K96" i="6" s="1"/>
  <c r="L96" i="6" s="1"/>
  <c r="M98" i="6"/>
  <c r="O98" i="6" s="1"/>
  <c r="P98" i="6" s="1"/>
  <c r="Q98" i="6" s="1"/>
  <c r="M256" i="6"/>
  <c r="O256" i="6" s="1"/>
  <c r="P256" i="6" s="1"/>
  <c r="Q256" i="6" s="1"/>
  <c r="J93" i="6"/>
  <c r="K93" i="6" s="1"/>
  <c r="L93" i="6" s="1"/>
  <c r="J91" i="6"/>
  <c r="K91" i="6" s="1"/>
  <c r="L91" i="6" s="1"/>
  <c r="M90" i="6"/>
  <c r="O90" i="6" s="1"/>
  <c r="P90" i="6" s="1"/>
  <c r="Q90" i="6" s="1"/>
  <c r="G99" i="6"/>
  <c r="J94" i="6"/>
  <c r="K94" i="6" s="1"/>
  <c r="L94" i="6" s="1"/>
  <c r="J97" i="6"/>
  <c r="K97" i="6" s="1"/>
  <c r="L97" i="6" s="1"/>
  <c r="J92" i="6"/>
  <c r="K92" i="6" s="1"/>
  <c r="L92" i="6" s="1"/>
  <c r="M95" i="6"/>
  <c r="O95" i="6" s="1"/>
  <c r="P95" i="6" s="1"/>
  <c r="Q95" i="6" s="1"/>
  <c r="M245" i="6"/>
  <c r="O245" i="6" s="1"/>
  <c r="P245" i="6" s="1"/>
  <c r="Q245" i="6" s="1"/>
  <c r="M226" i="6"/>
  <c r="O226" i="6" s="1"/>
  <c r="P226" i="6" s="1"/>
  <c r="Q226" i="6" s="1"/>
  <c r="M261" i="6"/>
  <c r="O261" i="6" s="1"/>
  <c r="P261" i="6" s="1"/>
  <c r="Q261" i="6" s="1"/>
  <c r="M228" i="6"/>
  <c r="O228" i="6" s="1"/>
  <c r="P228" i="6" s="1"/>
  <c r="Q228" i="6" s="1"/>
  <c r="M258" i="6"/>
  <c r="O258" i="6" s="1"/>
  <c r="P258" i="6" s="1"/>
  <c r="Q258" i="6" s="1"/>
  <c r="M259" i="6"/>
  <c r="O259" i="6" s="1"/>
  <c r="P259" i="6" s="1"/>
  <c r="Q259" i="6" s="1"/>
  <c r="M234" i="6"/>
  <c r="O234" i="6" s="1"/>
  <c r="P234" i="6" s="1"/>
  <c r="Q234" i="6" s="1"/>
  <c r="J229" i="6"/>
  <c r="K229" i="6" s="1"/>
  <c r="L229" i="6" s="1"/>
  <c r="G237" i="6"/>
  <c r="J227" i="6"/>
  <c r="K227" i="6" s="1"/>
  <c r="L227" i="6" s="1"/>
  <c r="J235" i="6"/>
  <c r="K235" i="6" s="1"/>
  <c r="L235" i="6" s="1"/>
  <c r="M242" i="6"/>
  <c r="O242" i="6" s="1"/>
  <c r="P242" i="6" s="1"/>
  <c r="Q242" i="6" s="1"/>
  <c r="M247" i="6"/>
  <c r="O247" i="6" s="1"/>
  <c r="P247" i="6" s="1"/>
  <c r="Q247" i="6" s="1"/>
  <c r="M250" i="6"/>
  <c r="O250" i="6" s="1"/>
  <c r="P250" i="6" s="1"/>
  <c r="Q250" i="6" s="1"/>
  <c r="M236" i="6"/>
  <c r="O236" i="6" s="1"/>
  <c r="P236" i="6" s="1"/>
  <c r="Q236" i="6" s="1"/>
  <c r="M248" i="6"/>
  <c r="O248" i="6" s="1"/>
  <c r="P248" i="6" s="1"/>
  <c r="Q248" i="6" s="1"/>
  <c r="M231" i="6"/>
  <c r="O231" i="6" s="1"/>
  <c r="P231" i="6" s="1"/>
  <c r="Q231" i="6" s="1"/>
  <c r="G252" i="6"/>
  <c r="J241" i="6"/>
  <c r="K241" i="6" s="1"/>
  <c r="L241" i="6" s="1"/>
  <c r="J243" i="6"/>
  <c r="K243" i="6" s="1"/>
  <c r="L243" i="6" s="1"/>
  <c r="J244" i="6"/>
  <c r="K244" i="6" s="1"/>
  <c r="L244" i="6" s="1"/>
  <c r="J251" i="6"/>
  <c r="K251" i="6" s="1"/>
  <c r="L251" i="6" s="1"/>
  <c r="J262" i="6"/>
  <c r="K262" i="6" s="1"/>
  <c r="L262" i="6" s="1"/>
  <c r="M263" i="6"/>
  <c r="O263" i="6" s="1"/>
  <c r="P263" i="6" s="1"/>
  <c r="Q263" i="6" s="1"/>
  <c r="J246" i="6"/>
  <c r="K246" i="6" s="1"/>
  <c r="L246" i="6" s="1"/>
  <c r="J249" i="6"/>
  <c r="K249" i="6" s="1"/>
  <c r="L249" i="6" s="1"/>
  <c r="J260" i="6"/>
  <c r="K260" i="6" s="1"/>
  <c r="L260" i="6" s="1"/>
  <c r="J257" i="6"/>
  <c r="K257" i="6" s="1"/>
  <c r="L257" i="6" s="1"/>
  <c r="M233" i="6"/>
  <c r="O233" i="6" s="1"/>
  <c r="P233" i="6" s="1"/>
  <c r="Q233" i="6" s="1"/>
  <c r="J233" i="6"/>
  <c r="K233" i="6" s="1"/>
  <c r="L233" i="6" s="1"/>
  <c r="J232" i="6"/>
  <c r="K232" i="6" s="1"/>
  <c r="L232" i="6" s="1"/>
  <c r="J230" i="6"/>
  <c r="K230" i="6" s="1"/>
  <c r="L230" i="6" s="1"/>
  <c r="J225" i="6"/>
  <c r="K225" i="6" s="1"/>
  <c r="L225" i="6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17" i="1"/>
  <c r="J105" i="1"/>
  <c r="J106" i="1"/>
  <c r="J107" i="1"/>
  <c r="J108" i="1"/>
  <c r="J109" i="1"/>
  <c r="J110" i="1"/>
  <c r="J111" i="1"/>
  <c r="J112" i="1"/>
  <c r="J104" i="1"/>
  <c r="J92" i="1"/>
  <c r="J93" i="1"/>
  <c r="J94" i="1"/>
  <c r="J95" i="1"/>
  <c r="J96" i="1"/>
  <c r="J97" i="1"/>
  <c r="J98" i="1"/>
  <c r="J99" i="1"/>
  <c r="J91" i="1"/>
  <c r="J78" i="1"/>
  <c r="J79" i="1"/>
  <c r="J80" i="1"/>
  <c r="J81" i="1"/>
  <c r="J82" i="1"/>
  <c r="J83" i="1"/>
  <c r="J84" i="1"/>
  <c r="J85" i="1"/>
  <c r="J86" i="1"/>
  <c r="J77" i="1"/>
  <c r="J49" i="1"/>
  <c r="J50" i="1"/>
  <c r="J51" i="1"/>
  <c r="J52" i="1"/>
  <c r="J53" i="1"/>
  <c r="J54" i="1"/>
  <c r="J55" i="1"/>
  <c r="J56" i="1"/>
  <c r="J57" i="1"/>
  <c r="J58" i="1"/>
  <c r="J59" i="1"/>
  <c r="J48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E6" i="18" l="1"/>
  <c r="S278" i="6"/>
  <c r="I94" i="7" s="1"/>
  <c r="H14" i="18" s="1"/>
  <c r="J40" i="7"/>
  <c r="K40" i="7" s="1"/>
  <c r="T264" i="10"/>
  <c r="O106" i="7" s="1"/>
  <c r="W278" i="6"/>
  <c r="I48" i="7" s="1"/>
  <c r="J48" i="7" s="1"/>
  <c r="W264" i="10"/>
  <c r="O60" i="7" s="1"/>
  <c r="P60" i="7" s="1"/>
  <c r="J83" i="7"/>
  <c r="P72" i="7" s="1"/>
  <c r="W151" i="6"/>
  <c r="I41" i="7" s="1"/>
  <c r="J41" i="7" s="1"/>
  <c r="W205" i="10"/>
  <c r="O62" i="7" s="1"/>
  <c r="P62" i="7" s="1"/>
  <c r="S151" i="6"/>
  <c r="I86" i="7" s="1"/>
  <c r="T205" i="10"/>
  <c r="O108" i="7" s="1"/>
  <c r="P108" i="7" s="1"/>
  <c r="H5" i="18"/>
  <c r="J91" i="7"/>
  <c r="P75" i="7" s="1"/>
  <c r="Q99" i="6"/>
  <c r="L99" i="6"/>
  <c r="Q252" i="6"/>
  <c r="Q264" i="6"/>
  <c r="Q237" i="6"/>
  <c r="L264" i="6"/>
  <c r="L252" i="6"/>
  <c r="L237" i="6"/>
  <c r="E374" i="6"/>
  <c r="F374" i="6" s="1"/>
  <c r="G374" i="6" s="1"/>
  <c r="H374" i="6"/>
  <c r="M374" i="6" s="1"/>
  <c r="O374" i="6" s="1"/>
  <c r="P374" i="6" s="1"/>
  <c r="Q374" i="6" s="1"/>
  <c r="E143" i="4"/>
  <c r="F143" i="4" s="1"/>
  <c r="G143" i="4" s="1"/>
  <c r="H143" i="4"/>
  <c r="J143" i="4" s="1"/>
  <c r="K143" i="4" s="1"/>
  <c r="L143" i="4" s="1"/>
  <c r="G143" i="1"/>
  <c r="L143" i="1"/>
  <c r="O143" i="1"/>
  <c r="Q143" i="1" s="1"/>
  <c r="C143" i="1"/>
  <c r="H22" i="18" l="1"/>
  <c r="I42" i="7"/>
  <c r="J42" i="7" s="1"/>
  <c r="E7" i="18"/>
  <c r="E13" i="18"/>
  <c r="I49" i="7"/>
  <c r="J49" i="7" s="1"/>
  <c r="H20" i="18"/>
  <c r="M143" i="1"/>
  <c r="N143" i="1" s="1"/>
  <c r="M143" i="4"/>
  <c r="O143" i="4" s="1"/>
  <c r="P143" i="4" s="1"/>
  <c r="Q143" i="4" s="1"/>
  <c r="R143" i="1"/>
  <c r="S143" i="1" s="1"/>
  <c r="H143" i="1"/>
  <c r="I143" i="1" s="1"/>
  <c r="J374" i="6"/>
  <c r="K374" i="6" s="1"/>
  <c r="L374" i="6" s="1"/>
  <c r="E20" i="18" l="1"/>
  <c r="E22" i="18"/>
  <c r="H368" i="6"/>
  <c r="H369" i="6"/>
  <c r="H370" i="6"/>
  <c r="H371" i="6"/>
  <c r="H372" i="6"/>
  <c r="H375" i="6"/>
  <c r="H376" i="6"/>
  <c r="H367" i="6"/>
  <c r="C373" i="6" l="1"/>
  <c r="H373" i="6" s="1"/>
  <c r="H7" i="10" l="1"/>
  <c r="E11" i="10"/>
  <c r="F11" i="10" s="1"/>
  <c r="G11" i="10" s="1"/>
  <c r="H11" i="10"/>
  <c r="M11" i="10" s="1"/>
  <c r="O11" i="10" s="1"/>
  <c r="P11" i="10" s="1"/>
  <c r="Q11" i="10" s="1"/>
  <c r="J11" i="10" l="1"/>
  <c r="K11" i="10" s="1"/>
  <c r="L11" i="10" s="1"/>
  <c r="H320" i="10"/>
  <c r="J320" i="10" s="1"/>
  <c r="K320" i="10" s="1"/>
  <c r="L320" i="10" s="1"/>
  <c r="E320" i="10"/>
  <c r="F320" i="10" s="1"/>
  <c r="G320" i="10" s="1"/>
  <c r="H319" i="10"/>
  <c r="M319" i="10" s="1"/>
  <c r="O319" i="10" s="1"/>
  <c r="P319" i="10" s="1"/>
  <c r="Q319" i="10" s="1"/>
  <c r="E319" i="10"/>
  <c r="F319" i="10" s="1"/>
  <c r="G319" i="10" s="1"/>
  <c r="H317" i="10"/>
  <c r="M317" i="10" s="1"/>
  <c r="O317" i="10" s="1"/>
  <c r="P317" i="10" s="1"/>
  <c r="Q317" i="10" s="1"/>
  <c r="E317" i="10"/>
  <c r="F317" i="10" s="1"/>
  <c r="G317" i="10" s="1"/>
  <c r="H316" i="10"/>
  <c r="M316" i="10" s="1"/>
  <c r="O316" i="10" s="1"/>
  <c r="P316" i="10" s="1"/>
  <c r="Q316" i="10" s="1"/>
  <c r="E316" i="10"/>
  <c r="F316" i="10" s="1"/>
  <c r="G316" i="10" s="1"/>
  <c r="H315" i="10"/>
  <c r="M315" i="10" s="1"/>
  <c r="O315" i="10" s="1"/>
  <c r="P315" i="10" s="1"/>
  <c r="Q315" i="10" s="1"/>
  <c r="E315" i="10"/>
  <c r="F315" i="10" s="1"/>
  <c r="G315" i="10" s="1"/>
  <c r="J316" i="10" l="1"/>
  <c r="K316" i="10" s="1"/>
  <c r="L316" i="10" s="1"/>
  <c r="M320" i="10"/>
  <c r="O320" i="10" s="1"/>
  <c r="P320" i="10" s="1"/>
  <c r="Q320" i="10" s="1"/>
  <c r="Q321" i="10" s="1"/>
  <c r="C108" i="7" s="1"/>
  <c r="G321" i="10"/>
  <c r="J317" i="10"/>
  <c r="K317" i="10" s="1"/>
  <c r="L317" i="10" s="1"/>
  <c r="J315" i="10"/>
  <c r="K315" i="10" s="1"/>
  <c r="L315" i="10" s="1"/>
  <c r="J319" i="10"/>
  <c r="K319" i="10" s="1"/>
  <c r="L319" i="10" s="1"/>
  <c r="H182" i="10"/>
  <c r="J182" i="10" s="1"/>
  <c r="K182" i="10" s="1"/>
  <c r="L182" i="10" s="1"/>
  <c r="E182" i="10"/>
  <c r="F182" i="10" s="1"/>
  <c r="G182" i="10" s="1"/>
  <c r="H181" i="10"/>
  <c r="M181" i="10" s="1"/>
  <c r="O181" i="10" s="1"/>
  <c r="P181" i="10" s="1"/>
  <c r="Q181" i="10" s="1"/>
  <c r="E181" i="10"/>
  <c r="F181" i="10" s="1"/>
  <c r="G181" i="10" s="1"/>
  <c r="H180" i="10"/>
  <c r="M180" i="10" s="1"/>
  <c r="O180" i="10" s="1"/>
  <c r="P180" i="10" s="1"/>
  <c r="Q180" i="10" s="1"/>
  <c r="E180" i="10"/>
  <c r="F180" i="10" s="1"/>
  <c r="G180" i="10" s="1"/>
  <c r="H179" i="10"/>
  <c r="M179" i="10" s="1"/>
  <c r="O179" i="10" s="1"/>
  <c r="P179" i="10" s="1"/>
  <c r="Q179" i="10" s="1"/>
  <c r="E179" i="10"/>
  <c r="F179" i="10" s="1"/>
  <c r="G179" i="10" s="1"/>
  <c r="H178" i="10"/>
  <c r="M178" i="10" s="1"/>
  <c r="O178" i="10" s="1"/>
  <c r="P178" i="10" s="1"/>
  <c r="Q178" i="10" s="1"/>
  <c r="E178" i="10"/>
  <c r="F178" i="10" s="1"/>
  <c r="G178" i="10" s="1"/>
  <c r="H177" i="10"/>
  <c r="J177" i="10" s="1"/>
  <c r="K177" i="10" s="1"/>
  <c r="L177" i="10" s="1"/>
  <c r="E177" i="10"/>
  <c r="F177" i="10" s="1"/>
  <c r="G177" i="10" s="1"/>
  <c r="H176" i="10"/>
  <c r="M176" i="10" s="1"/>
  <c r="O176" i="10" s="1"/>
  <c r="P176" i="10" s="1"/>
  <c r="Q176" i="10" s="1"/>
  <c r="E176" i="10"/>
  <c r="F176" i="10" s="1"/>
  <c r="G176" i="10" s="1"/>
  <c r="H175" i="10"/>
  <c r="J175" i="10" s="1"/>
  <c r="K175" i="10" s="1"/>
  <c r="L175" i="10" s="1"/>
  <c r="E175" i="10"/>
  <c r="F175" i="10" s="1"/>
  <c r="G175" i="10" s="1"/>
  <c r="H174" i="10"/>
  <c r="J174" i="10" s="1"/>
  <c r="K174" i="10" s="1"/>
  <c r="L174" i="10" s="1"/>
  <c r="E174" i="10"/>
  <c r="F174" i="10" s="1"/>
  <c r="G174" i="10" s="1"/>
  <c r="H173" i="10"/>
  <c r="M173" i="10" s="1"/>
  <c r="O173" i="10" s="1"/>
  <c r="P173" i="10" s="1"/>
  <c r="Q173" i="10" s="1"/>
  <c r="E173" i="10"/>
  <c r="F173" i="10" s="1"/>
  <c r="G173" i="10" s="1"/>
  <c r="H168" i="10"/>
  <c r="J168" i="10" s="1"/>
  <c r="K168" i="10" s="1"/>
  <c r="L168" i="10" s="1"/>
  <c r="E168" i="10"/>
  <c r="F168" i="10" s="1"/>
  <c r="G168" i="10" s="1"/>
  <c r="H167" i="10"/>
  <c r="M167" i="10" s="1"/>
  <c r="O167" i="10" s="1"/>
  <c r="P167" i="10" s="1"/>
  <c r="Q167" i="10" s="1"/>
  <c r="E167" i="10"/>
  <c r="F167" i="10" s="1"/>
  <c r="G167" i="10" s="1"/>
  <c r="H166" i="10"/>
  <c r="M166" i="10" s="1"/>
  <c r="O166" i="10" s="1"/>
  <c r="P166" i="10" s="1"/>
  <c r="Q166" i="10" s="1"/>
  <c r="E166" i="10"/>
  <c r="F166" i="10" s="1"/>
  <c r="G166" i="10" s="1"/>
  <c r="H165" i="10"/>
  <c r="J165" i="10" s="1"/>
  <c r="K165" i="10" s="1"/>
  <c r="L165" i="10" s="1"/>
  <c r="E165" i="10"/>
  <c r="F165" i="10" s="1"/>
  <c r="G165" i="10" s="1"/>
  <c r="H164" i="10"/>
  <c r="M164" i="10" s="1"/>
  <c r="O164" i="10" s="1"/>
  <c r="P164" i="10" s="1"/>
  <c r="Q164" i="10" s="1"/>
  <c r="E164" i="10"/>
  <c r="F164" i="10" s="1"/>
  <c r="G164" i="10" s="1"/>
  <c r="H163" i="10"/>
  <c r="M163" i="10" s="1"/>
  <c r="O163" i="10" s="1"/>
  <c r="P163" i="10" s="1"/>
  <c r="Q163" i="10" s="1"/>
  <c r="E163" i="10"/>
  <c r="F163" i="10" s="1"/>
  <c r="G163" i="10" s="1"/>
  <c r="H162" i="10"/>
  <c r="M162" i="10" s="1"/>
  <c r="O162" i="10" s="1"/>
  <c r="P162" i="10" s="1"/>
  <c r="Q162" i="10" s="1"/>
  <c r="E162" i="10"/>
  <c r="F162" i="10" s="1"/>
  <c r="G162" i="10" s="1"/>
  <c r="H161" i="10"/>
  <c r="M161" i="10" s="1"/>
  <c r="O161" i="10" s="1"/>
  <c r="P161" i="10" s="1"/>
  <c r="Q161" i="10" s="1"/>
  <c r="E161" i="10"/>
  <c r="F161" i="10" s="1"/>
  <c r="G161" i="10" s="1"/>
  <c r="H156" i="10"/>
  <c r="J156" i="10" s="1"/>
  <c r="K156" i="10" s="1"/>
  <c r="L156" i="10" s="1"/>
  <c r="E156" i="10"/>
  <c r="F156" i="10" s="1"/>
  <c r="G156" i="10" s="1"/>
  <c r="H155" i="10"/>
  <c r="J155" i="10" s="1"/>
  <c r="K155" i="10" s="1"/>
  <c r="L155" i="10" s="1"/>
  <c r="E155" i="10"/>
  <c r="F155" i="10" s="1"/>
  <c r="G155" i="10" s="1"/>
  <c r="H154" i="10"/>
  <c r="M154" i="10" s="1"/>
  <c r="O154" i="10" s="1"/>
  <c r="P154" i="10" s="1"/>
  <c r="Q154" i="10" s="1"/>
  <c r="E154" i="10"/>
  <c r="F154" i="10" s="1"/>
  <c r="G154" i="10" s="1"/>
  <c r="H153" i="10"/>
  <c r="J153" i="10" s="1"/>
  <c r="K153" i="10" s="1"/>
  <c r="L153" i="10" s="1"/>
  <c r="E153" i="10"/>
  <c r="F153" i="10" s="1"/>
  <c r="G153" i="10" s="1"/>
  <c r="H152" i="10"/>
  <c r="M152" i="10" s="1"/>
  <c r="O152" i="10" s="1"/>
  <c r="P152" i="10" s="1"/>
  <c r="Q152" i="10" s="1"/>
  <c r="E152" i="10"/>
  <c r="F152" i="10" s="1"/>
  <c r="G152" i="10" s="1"/>
  <c r="H151" i="10"/>
  <c r="J151" i="10" s="1"/>
  <c r="K151" i="10" s="1"/>
  <c r="L151" i="10" s="1"/>
  <c r="E151" i="10"/>
  <c r="F151" i="10" s="1"/>
  <c r="G151" i="10" s="1"/>
  <c r="H150" i="10"/>
  <c r="M150" i="10" s="1"/>
  <c r="O150" i="10" s="1"/>
  <c r="P150" i="10" s="1"/>
  <c r="Q150" i="10" s="1"/>
  <c r="E150" i="10"/>
  <c r="F150" i="10" s="1"/>
  <c r="G150" i="10" s="1"/>
  <c r="H149" i="10"/>
  <c r="M149" i="10" s="1"/>
  <c r="O149" i="10" s="1"/>
  <c r="P149" i="10" s="1"/>
  <c r="Q149" i="10" s="1"/>
  <c r="E149" i="10"/>
  <c r="F149" i="10" s="1"/>
  <c r="G149" i="10" s="1"/>
  <c r="H148" i="10"/>
  <c r="J148" i="10" s="1"/>
  <c r="K148" i="10" s="1"/>
  <c r="L148" i="10" s="1"/>
  <c r="E148" i="10"/>
  <c r="F148" i="10" s="1"/>
  <c r="G148" i="10" s="1"/>
  <c r="H147" i="10"/>
  <c r="M147" i="10" s="1"/>
  <c r="O147" i="10" s="1"/>
  <c r="P147" i="10" s="1"/>
  <c r="Q147" i="10" s="1"/>
  <c r="E147" i="10"/>
  <c r="F147" i="10" s="1"/>
  <c r="G147" i="10" s="1"/>
  <c r="H146" i="10"/>
  <c r="J146" i="10" s="1"/>
  <c r="K146" i="10" s="1"/>
  <c r="L146" i="10" s="1"/>
  <c r="E146" i="10"/>
  <c r="F146" i="10" s="1"/>
  <c r="G146" i="10" s="1"/>
  <c r="H145" i="10"/>
  <c r="J145" i="10" s="1"/>
  <c r="K145" i="10" s="1"/>
  <c r="L145" i="10" s="1"/>
  <c r="E145" i="10"/>
  <c r="F145" i="10" s="1"/>
  <c r="G145" i="10" s="1"/>
  <c r="H144" i="10"/>
  <c r="M144" i="10" s="1"/>
  <c r="O144" i="10" s="1"/>
  <c r="P144" i="10" s="1"/>
  <c r="Q144" i="10" s="1"/>
  <c r="E144" i="10"/>
  <c r="F144" i="10" s="1"/>
  <c r="G144" i="10" s="1"/>
  <c r="H139" i="10"/>
  <c r="M139" i="10" s="1"/>
  <c r="O139" i="10" s="1"/>
  <c r="P139" i="10" s="1"/>
  <c r="Q139" i="10" s="1"/>
  <c r="E139" i="10"/>
  <c r="F139" i="10" s="1"/>
  <c r="G139" i="10" s="1"/>
  <c r="H138" i="10"/>
  <c r="J138" i="10" s="1"/>
  <c r="K138" i="10" s="1"/>
  <c r="L138" i="10" s="1"/>
  <c r="E138" i="10"/>
  <c r="F138" i="10" s="1"/>
  <c r="G138" i="10" s="1"/>
  <c r="H137" i="10"/>
  <c r="M137" i="10" s="1"/>
  <c r="O137" i="10" s="1"/>
  <c r="P137" i="10" s="1"/>
  <c r="Q137" i="10" s="1"/>
  <c r="E137" i="10"/>
  <c r="F137" i="10" s="1"/>
  <c r="G137" i="10" s="1"/>
  <c r="H136" i="10"/>
  <c r="J136" i="10" s="1"/>
  <c r="K136" i="10" s="1"/>
  <c r="L136" i="10" s="1"/>
  <c r="E136" i="10"/>
  <c r="F136" i="10" s="1"/>
  <c r="G136" i="10" s="1"/>
  <c r="H135" i="10"/>
  <c r="M135" i="10" s="1"/>
  <c r="O135" i="10" s="1"/>
  <c r="P135" i="10" s="1"/>
  <c r="Q135" i="10" s="1"/>
  <c r="E135" i="10"/>
  <c r="F135" i="10" s="1"/>
  <c r="G135" i="10" s="1"/>
  <c r="H134" i="10"/>
  <c r="M134" i="10" s="1"/>
  <c r="O134" i="10" s="1"/>
  <c r="P134" i="10" s="1"/>
  <c r="Q134" i="10" s="1"/>
  <c r="E134" i="10"/>
  <c r="F134" i="10" s="1"/>
  <c r="G134" i="10" s="1"/>
  <c r="H133" i="10"/>
  <c r="J133" i="10" s="1"/>
  <c r="K133" i="10" s="1"/>
  <c r="L133" i="10" s="1"/>
  <c r="E133" i="10"/>
  <c r="F133" i="10" s="1"/>
  <c r="G133" i="10" s="1"/>
  <c r="H132" i="10"/>
  <c r="J132" i="10" s="1"/>
  <c r="K132" i="10" s="1"/>
  <c r="L132" i="10" s="1"/>
  <c r="E132" i="10"/>
  <c r="F132" i="10" s="1"/>
  <c r="G132" i="10" s="1"/>
  <c r="H131" i="10"/>
  <c r="M131" i="10" s="1"/>
  <c r="O131" i="10" s="1"/>
  <c r="P131" i="10" s="1"/>
  <c r="Q131" i="10" s="1"/>
  <c r="E131" i="10"/>
  <c r="F131" i="10" s="1"/>
  <c r="G131" i="10" s="1"/>
  <c r="H126" i="10"/>
  <c r="M126" i="10" s="1"/>
  <c r="O126" i="10" s="1"/>
  <c r="P126" i="10" s="1"/>
  <c r="Q126" i="10" s="1"/>
  <c r="E126" i="10"/>
  <c r="F126" i="10" s="1"/>
  <c r="G126" i="10" s="1"/>
  <c r="H125" i="10"/>
  <c r="M125" i="10" s="1"/>
  <c r="O125" i="10" s="1"/>
  <c r="P125" i="10" s="1"/>
  <c r="Q125" i="10" s="1"/>
  <c r="E125" i="10"/>
  <c r="F125" i="10" s="1"/>
  <c r="G125" i="10" s="1"/>
  <c r="H124" i="10"/>
  <c r="M124" i="10" s="1"/>
  <c r="O124" i="10" s="1"/>
  <c r="P124" i="10" s="1"/>
  <c r="Q124" i="10" s="1"/>
  <c r="E124" i="10"/>
  <c r="F124" i="10" s="1"/>
  <c r="G124" i="10" s="1"/>
  <c r="H123" i="10"/>
  <c r="J123" i="10" s="1"/>
  <c r="K123" i="10" s="1"/>
  <c r="L123" i="10" s="1"/>
  <c r="E123" i="10"/>
  <c r="F123" i="10" s="1"/>
  <c r="G123" i="10" s="1"/>
  <c r="H122" i="10"/>
  <c r="M122" i="10" s="1"/>
  <c r="O122" i="10" s="1"/>
  <c r="P122" i="10" s="1"/>
  <c r="Q122" i="10" s="1"/>
  <c r="E122" i="10"/>
  <c r="F122" i="10" s="1"/>
  <c r="G122" i="10" s="1"/>
  <c r="H121" i="10"/>
  <c r="J121" i="10" s="1"/>
  <c r="K121" i="10" s="1"/>
  <c r="L121" i="10" s="1"/>
  <c r="E121" i="10"/>
  <c r="F121" i="10" s="1"/>
  <c r="G121" i="10" s="1"/>
  <c r="H120" i="10"/>
  <c r="M120" i="10" s="1"/>
  <c r="O120" i="10" s="1"/>
  <c r="P120" i="10" s="1"/>
  <c r="Q120" i="10" s="1"/>
  <c r="E120" i="10"/>
  <c r="F120" i="10" s="1"/>
  <c r="G120" i="10" s="1"/>
  <c r="H119" i="10"/>
  <c r="M119" i="10" s="1"/>
  <c r="O119" i="10" s="1"/>
  <c r="P119" i="10" s="1"/>
  <c r="Q119" i="10" s="1"/>
  <c r="E119" i="10"/>
  <c r="F119" i="10" s="1"/>
  <c r="G119" i="10" s="1"/>
  <c r="H118" i="10"/>
  <c r="J118" i="10" s="1"/>
  <c r="K118" i="10" s="1"/>
  <c r="L118" i="10" s="1"/>
  <c r="E118" i="10"/>
  <c r="F118" i="10" s="1"/>
  <c r="G118" i="10" s="1"/>
  <c r="H117" i="10"/>
  <c r="J117" i="10" s="1"/>
  <c r="K117" i="10" s="1"/>
  <c r="L117" i="10" s="1"/>
  <c r="E117" i="10"/>
  <c r="F117" i="10" s="1"/>
  <c r="G117" i="10" s="1"/>
  <c r="H116" i="10"/>
  <c r="J116" i="10" s="1"/>
  <c r="K116" i="10" s="1"/>
  <c r="L116" i="10" s="1"/>
  <c r="E116" i="10"/>
  <c r="F116" i="10" s="1"/>
  <c r="G116" i="10" s="1"/>
  <c r="H115" i="10"/>
  <c r="J115" i="10" s="1"/>
  <c r="K115" i="10" s="1"/>
  <c r="L115" i="10" s="1"/>
  <c r="E115" i="10"/>
  <c r="F115" i="10" s="1"/>
  <c r="G115" i="10" s="1"/>
  <c r="H114" i="10"/>
  <c r="M114" i="10" s="1"/>
  <c r="O114" i="10" s="1"/>
  <c r="P114" i="10" s="1"/>
  <c r="Q114" i="10" s="1"/>
  <c r="E114" i="10"/>
  <c r="F114" i="10" s="1"/>
  <c r="G114" i="10" s="1"/>
  <c r="E106" i="10"/>
  <c r="F106" i="10" s="1"/>
  <c r="G106" i="10" s="1"/>
  <c r="H106" i="10"/>
  <c r="M106" i="10" s="1"/>
  <c r="O106" i="10" s="1"/>
  <c r="P106" i="10" s="1"/>
  <c r="Q106" i="10" s="1"/>
  <c r="E107" i="10"/>
  <c r="F107" i="10" s="1"/>
  <c r="G107" i="10" s="1"/>
  <c r="H107" i="10"/>
  <c r="M107" i="10" s="1"/>
  <c r="O107" i="10" s="1"/>
  <c r="P107" i="10" s="1"/>
  <c r="Q107" i="10" s="1"/>
  <c r="E108" i="10"/>
  <c r="F108" i="10" s="1"/>
  <c r="G108" i="10" s="1"/>
  <c r="H108" i="10"/>
  <c r="M108" i="10" s="1"/>
  <c r="O108" i="10" s="1"/>
  <c r="P108" i="10" s="1"/>
  <c r="Q108" i="10" s="1"/>
  <c r="H109" i="10"/>
  <c r="M109" i="10" s="1"/>
  <c r="O109" i="10" s="1"/>
  <c r="P109" i="10" s="1"/>
  <c r="Q109" i="10" s="1"/>
  <c r="E109" i="10"/>
  <c r="F109" i="10" s="1"/>
  <c r="G109" i="10" s="1"/>
  <c r="H105" i="10"/>
  <c r="M105" i="10" s="1"/>
  <c r="O105" i="10" s="1"/>
  <c r="P105" i="10" s="1"/>
  <c r="Q105" i="10" s="1"/>
  <c r="E105" i="10"/>
  <c r="F105" i="10" s="1"/>
  <c r="G105" i="10" s="1"/>
  <c r="H104" i="10"/>
  <c r="M104" i="10" s="1"/>
  <c r="O104" i="10" s="1"/>
  <c r="P104" i="10" s="1"/>
  <c r="Q104" i="10" s="1"/>
  <c r="E104" i="10"/>
  <c r="F104" i="10" s="1"/>
  <c r="G104" i="10" s="1"/>
  <c r="H103" i="10"/>
  <c r="J103" i="10" s="1"/>
  <c r="K103" i="10" s="1"/>
  <c r="L103" i="10" s="1"/>
  <c r="E103" i="10"/>
  <c r="F103" i="10" s="1"/>
  <c r="G103" i="10" s="1"/>
  <c r="H102" i="10"/>
  <c r="M102" i="10" s="1"/>
  <c r="O102" i="10" s="1"/>
  <c r="P102" i="10" s="1"/>
  <c r="Q102" i="10" s="1"/>
  <c r="E102" i="10"/>
  <c r="F102" i="10" s="1"/>
  <c r="G102" i="10" s="1"/>
  <c r="H101" i="10"/>
  <c r="J101" i="10" s="1"/>
  <c r="K101" i="10" s="1"/>
  <c r="L101" i="10" s="1"/>
  <c r="E101" i="10"/>
  <c r="F101" i="10" s="1"/>
  <c r="G101" i="10" s="1"/>
  <c r="H100" i="10"/>
  <c r="M100" i="10" s="1"/>
  <c r="O100" i="10" s="1"/>
  <c r="P100" i="10" s="1"/>
  <c r="Q100" i="10" s="1"/>
  <c r="E100" i="10"/>
  <c r="F100" i="10" s="1"/>
  <c r="G100" i="10" s="1"/>
  <c r="H99" i="10"/>
  <c r="M99" i="10" s="1"/>
  <c r="O99" i="10" s="1"/>
  <c r="P99" i="10" s="1"/>
  <c r="Q99" i="10" s="1"/>
  <c r="E99" i="10"/>
  <c r="F99" i="10" s="1"/>
  <c r="G99" i="10" s="1"/>
  <c r="H98" i="10"/>
  <c r="M98" i="10" s="1"/>
  <c r="O98" i="10" s="1"/>
  <c r="P98" i="10" s="1"/>
  <c r="Q98" i="10" s="1"/>
  <c r="G98" i="10"/>
  <c r="H97" i="10"/>
  <c r="J97" i="10" s="1"/>
  <c r="K97" i="10" s="1"/>
  <c r="L97" i="10" s="1"/>
  <c r="G97" i="10"/>
  <c r="H92" i="10"/>
  <c r="J92" i="10" s="1"/>
  <c r="K92" i="10" s="1"/>
  <c r="L92" i="10" s="1"/>
  <c r="E92" i="10"/>
  <c r="F92" i="10" s="1"/>
  <c r="G92" i="10" s="1"/>
  <c r="H91" i="10"/>
  <c r="M91" i="10" s="1"/>
  <c r="O91" i="10" s="1"/>
  <c r="P91" i="10" s="1"/>
  <c r="Q91" i="10" s="1"/>
  <c r="E91" i="10"/>
  <c r="F91" i="10" s="1"/>
  <c r="G91" i="10" s="1"/>
  <c r="H90" i="10"/>
  <c r="M90" i="10" s="1"/>
  <c r="O90" i="10" s="1"/>
  <c r="P90" i="10" s="1"/>
  <c r="Q90" i="10" s="1"/>
  <c r="E90" i="10"/>
  <c r="F90" i="10" s="1"/>
  <c r="G90" i="10" s="1"/>
  <c r="H89" i="10"/>
  <c r="M89" i="10" s="1"/>
  <c r="O89" i="10" s="1"/>
  <c r="P89" i="10" s="1"/>
  <c r="Q89" i="10" s="1"/>
  <c r="E89" i="10"/>
  <c r="F89" i="10" s="1"/>
  <c r="G89" i="10" s="1"/>
  <c r="H88" i="10"/>
  <c r="J88" i="10" s="1"/>
  <c r="K88" i="10" s="1"/>
  <c r="L88" i="10" s="1"/>
  <c r="E88" i="10"/>
  <c r="F88" i="10" s="1"/>
  <c r="G88" i="10" s="1"/>
  <c r="H43" i="10"/>
  <c r="J43" i="10" s="1"/>
  <c r="K43" i="10" s="1"/>
  <c r="L43" i="10" s="1"/>
  <c r="E43" i="10"/>
  <c r="F43" i="10" s="1"/>
  <c r="G43" i="10" s="1"/>
  <c r="H42" i="10"/>
  <c r="M42" i="10" s="1"/>
  <c r="O42" i="10" s="1"/>
  <c r="P42" i="10" s="1"/>
  <c r="Q42" i="10" s="1"/>
  <c r="E42" i="10"/>
  <c r="F42" i="10" s="1"/>
  <c r="G42" i="10" s="1"/>
  <c r="H37" i="10"/>
  <c r="M37" i="10" s="1"/>
  <c r="O37" i="10" s="1"/>
  <c r="P37" i="10" s="1"/>
  <c r="Q37" i="10" s="1"/>
  <c r="E37" i="10"/>
  <c r="F37" i="10" s="1"/>
  <c r="G37" i="10" s="1"/>
  <c r="H32" i="10"/>
  <c r="J32" i="10" s="1"/>
  <c r="K32" i="10" s="1"/>
  <c r="L32" i="10" s="1"/>
  <c r="E32" i="10"/>
  <c r="F32" i="10" s="1"/>
  <c r="G32" i="10" s="1"/>
  <c r="H31" i="10"/>
  <c r="J31" i="10" s="1"/>
  <c r="K31" i="10" s="1"/>
  <c r="L31" i="10" s="1"/>
  <c r="E31" i="10"/>
  <c r="F31" i="10" s="1"/>
  <c r="G31" i="10" s="1"/>
  <c r="H30" i="10"/>
  <c r="J30" i="10" s="1"/>
  <c r="K30" i="10" s="1"/>
  <c r="L30" i="10" s="1"/>
  <c r="E30" i="10"/>
  <c r="F30" i="10" s="1"/>
  <c r="G30" i="10" s="1"/>
  <c r="H29" i="10"/>
  <c r="J29" i="10" s="1"/>
  <c r="K29" i="10" s="1"/>
  <c r="L29" i="10" s="1"/>
  <c r="E29" i="10"/>
  <c r="F29" i="10" s="1"/>
  <c r="G29" i="10" s="1"/>
  <c r="H28" i="10"/>
  <c r="J28" i="10" s="1"/>
  <c r="K28" i="10" s="1"/>
  <c r="L28" i="10" s="1"/>
  <c r="E28" i="10"/>
  <c r="F28" i="10" s="1"/>
  <c r="G28" i="10" s="1"/>
  <c r="H27" i="10"/>
  <c r="M27" i="10" s="1"/>
  <c r="O27" i="10" s="1"/>
  <c r="P27" i="10" s="1"/>
  <c r="Q27" i="10" s="1"/>
  <c r="E27" i="10"/>
  <c r="F27" i="10" s="1"/>
  <c r="G27" i="10" s="1"/>
  <c r="H22" i="10"/>
  <c r="M22" i="10" s="1"/>
  <c r="O22" i="10" s="1"/>
  <c r="P22" i="10" s="1"/>
  <c r="Q22" i="10" s="1"/>
  <c r="E22" i="10"/>
  <c r="F22" i="10" s="1"/>
  <c r="G22" i="10" s="1"/>
  <c r="H21" i="10"/>
  <c r="M21" i="10" s="1"/>
  <c r="O21" i="10" s="1"/>
  <c r="P21" i="10" s="1"/>
  <c r="Q21" i="10" s="1"/>
  <c r="E21" i="10"/>
  <c r="F21" i="10" s="1"/>
  <c r="G21" i="10" s="1"/>
  <c r="H20" i="10"/>
  <c r="J20" i="10" s="1"/>
  <c r="K20" i="10" s="1"/>
  <c r="L20" i="10" s="1"/>
  <c r="E20" i="10"/>
  <c r="F20" i="10" s="1"/>
  <c r="G20" i="10" s="1"/>
  <c r="H19" i="10"/>
  <c r="J19" i="10" s="1"/>
  <c r="K19" i="10" s="1"/>
  <c r="L19" i="10" s="1"/>
  <c r="E19" i="10"/>
  <c r="F19" i="10" s="1"/>
  <c r="G19" i="10" s="1"/>
  <c r="H18" i="10"/>
  <c r="M18" i="10" s="1"/>
  <c r="O18" i="10" s="1"/>
  <c r="P18" i="10" s="1"/>
  <c r="Q18" i="10" s="1"/>
  <c r="E18" i="10"/>
  <c r="F18" i="10" s="1"/>
  <c r="G18" i="10" s="1"/>
  <c r="H17" i="10"/>
  <c r="J17" i="10" s="1"/>
  <c r="K17" i="10" s="1"/>
  <c r="L17" i="10" s="1"/>
  <c r="E17" i="10"/>
  <c r="F17" i="10" s="1"/>
  <c r="G17" i="10" s="1"/>
  <c r="E10" i="10"/>
  <c r="F10" i="10" s="1"/>
  <c r="G10" i="10" s="1"/>
  <c r="H10" i="10"/>
  <c r="J10" i="10" s="1"/>
  <c r="K10" i="10" s="1"/>
  <c r="L10" i="10" s="1"/>
  <c r="E12" i="10"/>
  <c r="F12" i="10" s="1"/>
  <c r="G12" i="10" s="1"/>
  <c r="H12" i="10"/>
  <c r="M12" i="10" s="1"/>
  <c r="O12" i="10" s="1"/>
  <c r="P12" i="10" s="1"/>
  <c r="Q12" i="10" s="1"/>
  <c r="H9" i="10"/>
  <c r="J9" i="10" s="1"/>
  <c r="K9" i="10" s="1"/>
  <c r="L9" i="10" s="1"/>
  <c r="E9" i="10"/>
  <c r="F9" i="10" s="1"/>
  <c r="G9" i="10" s="1"/>
  <c r="H8" i="10"/>
  <c r="M8" i="10" s="1"/>
  <c r="O8" i="10" s="1"/>
  <c r="P8" i="10" s="1"/>
  <c r="Q8" i="10" s="1"/>
  <c r="E8" i="10"/>
  <c r="F8" i="10" s="1"/>
  <c r="G8" i="10" s="1"/>
  <c r="J7" i="10"/>
  <c r="K7" i="10" s="1"/>
  <c r="L7" i="10" s="1"/>
  <c r="E7" i="10"/>
  <c r="F7" i="10" s="1"/>
  <c r="G7" i="10" s="1"/>
  <c r="C359" i="6"/>
  <c r="C358" i="6"/>
  <c r="C357" i="6"/>
  <c r="C356" i="6"/>
  <c r="C354" i="6"/>
  <c r="C355" i="6"/>
  <c r="C353" i="6"/>
  <c r="C352" i="6"/>
  <c r="C340" i="6"/>
  <c r="C339" i="6"/>
  <c r="C338" i="6"/>
  <c r="C337" i="6"/>
  <c r="C335" i="6"/>
  <c r="C336" i="6"/>
  <c r="C317" i="6"/>
  <c r="C316" i="6"/>
  <c r="C315" i="6"/>
  <c r="C314" i="6"/>
  <c r="C313" i="6"/>
  <c r="C312" i="6"/>
  <c r="C311" i="6"/>
  <c r="C310" i="6"/>
  <c r="C309" i="6"/>
  <c r="C308" i="6"/>
  <c r="T3" i="18" l="1"/>
  <c r="U3" i="18" s="1"/>
  <c r="U5" i="18"/>
  <c r="W13" i="18"/>
  <c r="W5" i="18"/>
  <c r="U13" i="18"/>
  <c r="Y13" i="18"/>
  <c r="U6" i="18"/>
  <c r="W6" i="18"/>
  <c r="Y5" i="18"/>
  <c r="J107" i="10"/>
  <c r="K107" i="10" s="1"/>
  <c r="L107" i="10" s="1"/>
  <c r="M155" i="10"/>
  <c r="O155" i="10" s="1"/>
  <c r="P155" i="10" s="1"/>
  <c r="Q155" i="10" s="1"/>
  <c r="M175" i="10"/>
  <c r="O175" i="10" s="1"/>
  <c r="P175" i="10" s="1"/>
  <c r="Q175" i="10" s="1"/>
  <c r="L321" i="10"/>
  <c r="C62" i="7" s="1"/>
  <c r="D62" i="7" s="1"/>
  <c r="M168" i="10"/>
  <c r="O168" i="10" s="1"/>
  <c r="P168" i="10" s="1"/>
  <c r="Q168" i="10" s="1"/>
  <c r="J147" i="10"/>
  <c r="K147" i="10" s="1"/>
  <c r="L147" i="10" s="1"/>
  <c r="M165" i="10"/>
  <c r="O165" i="10" s="1"/>
  <c r="P165" i="10" s="1"/>
  <c r="Q165" i="10" s="1"/>
  <c r="M133" i="10"/>
  <c r="O133" i="10" s="1"/>
  <c r="P133" i="10" s="1"/>
  <c r="Q133" i="10" s="1"/>
  <c r="M138" i="10"/>
  <c r="O138" i="10" s="1"/>
  <c r="P138" i="10" s="1"/>
  <c r="Q138" i="10" s="1"/>
  <c r="M156" i="10"/>
  <c r="O156" i="10" s="1"/>
  <c r="P156" i="10" s="1"/>
  <c r="Q156" i="10" s="1"/>
  <c r="J167" i="10"/>
  <c r="K167" i="10" s="1"/>
  <c r="L167" i="10" s="1"/>
  <c r="M177" i="10"/>
  <c r="O177" i="10" s="1"/>
  <c r="P177" i="10" s="1"/>
  <c r="Q177" i="10" s="1"/>
  <c r="M182" i="10"/>
  <c r="O182" i="10" s="1"/>
  <c r="P182" i="10" s="1"/>
  <c r="Q182" i="10" s="1"/>
  <c r="J180" i="10"/>
  <c r="K180" i="10" s="1"/>
  <c r="L180" i="10" s="1"/>
  <c r="J176" i="10"/>
  <c r="K176" i="10" s="1"/>
  <c r="L176" i="10" s="1"/>
  <c r="M174" i="10"/>
  <c r="O174" i="10" s="1"/>
  <c r="P174" i="10" s="1"/>
  <c r="Q174" i="10" s="1"/>
  <c r="G183" i="10"/>
  <c r="J178" i="10"/>
  <c r="K178" i="10" s="1"/>
  <c r="L178" i="10" s="1"/>
  <c r="J173" i="10"/>
  <c r="K173" i="10" s="1"/>
  <c r="L173" i="10" s="1"/>
  <c r="J181" i="10"/>
  <c r="K181" i="10" s="1"/>
  <c r="L181" i="10" s="1"/>
  <c r="J179" i="10"/>
  <c r="K179" i="10" s="1"/>
  <c r="L179" i="10" s="1"/>
  <c r="J166" i="10"/>
  <c r="K166" i="10" s="1"/>
  <c r="L166" i="10" s="1"/>
  <c r="J163" i="10"/>
  <c r="K163" i="10" s="1"/>
  <c r="L163" i="10" s="1"/>
  <c r="M88" i="10"/>
  <c r="O88" i="10" s="1"/>
  <c r="P88" i="10" s="1"/>
  <c r="Q88" i="10" s="1"/>
  <c r="M146" i="10"/>
  <c r="O146" i="10" s="1"/>
  <c r="P146" i="10" s="1"/>
  <c r="Q146" i="10" s="1"/>
  <c r="J108" i="10"/>
  <c r="K108" i="10" s="1"/>
  <c r="L108" i="10" s="1"/>
  <c r="G169" i="10"/>
  <c r="J161" i="10"/>
  <c r="K161" i="10" s="1"/>
  <c r="L161" i="10" s="1"/>
  <c r="J164" i="10"/>
  <c r="K164" i="10" s="1"/>
  <c r="L164" i="10" s="1"/>
  <c r="J162" i="10"/>
  <c r="K162" i="10" s="1"/>
  <c r="L162" i="10" s="1"/>
  <c r="J154" i="10"/>
  <c r="K154" i="10" s="1"/>
  <c r="L154" i="10" s="1"/>
  <c r="M153" i="10"/>
  <c r="O153" i="10" s="1"/>
  <c r="P153" i="10" s="1"/>
  <c r="Q153" i="10" s="1"/>
  <c r="M148" i="10"/>
  <c r="O148" i="10" s="1"/>
  <c r="P148" i="10" s="1"/>
  <c r="Q148" i="10" s="1"/>
  <c r="M145" i="10"/>
  <c r="O145" i="10" s="1"/>
  <c r="P145" i="10" s="1"/>
  <c r="Q145" i="10" s="1"/>
  <c r="G157" i="10"/>
  <c r="J149" i="10"/>
  <c r="K149" i="10" s="1"/>
  <c r="L149" i="10" s="1"/>
  <c r="J144" i="10"/>
  <c r="K144" i="10" s="1"/>
  <c r="L144" i="10" s="1"/>
  <c r="M151" i="10"/>
  <c r="O151" i="10" s="1"/>
  <c r="P151" i="10" s="1"/>
  <c r="Q151" i="10" s="1"/>
  <c r="J152" i="10"/>
  <c r="K152" i="10" s="1"/>
  <c r="L152" i="10" s="1"/>
  <c r="J150" i="10"/>
  <c r="K150" i="10" s="1"/>
  <c r="L150" i="10" s="1"/>
  <c r="M116" i="10"/>
  <c r="O116" i="10" s="1"/>
  <c r="P116" i="10" s="1"/>
  <c r="Q116" i="10" s="1"/>
  <c r="J109" i="10"/>
  <c r="K109" i="10" s="1"/>
  <c r="L109" i="10" s="1"/>
  <c r="M92" i="10"/>
  <c r="O92" i="10" s="1"/>
  <c r="P92" i="10" s="1"/>
  <c r="Q92" i="10" s="1"/>
  <c r="J135" i="10"/>
  <c r="K135" i="10" s="1"/>
  <c r="L135" i="10" s="1"/>
  <c r="M136" i="10"/>
  <c r="O136" i="10" s="1"/>
  <c r="P136" i="10" s="1"/>
  <c r="Q136" i="10" s="1"/>
  <c r="M117" i="10"/>
  <c r="O117" i="10" s="1"/>
  <c r="P117" i="10" s="1"/>
  <c r="Q117" i="10" s="1"/>
  <c r="G140" i="10"/>
  <c r="J131" i="10"/>
  <c r="K131" i="10" s="1"/>
  <c r="L131" i="10" s="1"/>
  <c r="J139" i="10"/>
  <c r="K139" i="10" s="1"/>
  <c r="L139" i="10" s="1"/>
  <c r="J134" i="10"/>
  <c r="K134" i="10" s="1"/>
  <c r="L134" i="10" s="1"/>
  <c r="J137" i="10"/>
  <c r="K137" i="10" s="1"/>
  <c r="L137" i="10" s="1"/>
  <c r="M132" i="10"/>
  <c r="O132" i="10" s="1"/>
  <c r="P132" i="10" s="1"/>
  <c r="Q132" i="10" s="1"/>
  <c r="J126" i="10"/>
  <c r="K126" i="10" s="1"/>
  <c r="L126" i="10" s="1"/>
  <c r="J125" i="10"/>
  <c r="K125" i="10" s="1"/>
  <c r="L125" i="10" s="1"/>
  <c r="J124" i="10"/>
  <c r="K124" i="10" s="1"/>
  <c r="L124" i="10" s="1"/>
  <c r="M123" i="10"/>
  <c r="O123" i="10" s="1"/>
  <c r="P123" i="10" s="1"/>
  <c r="Q123" i="10" s="1"/>
  <c r="M118" i="10"/>
  <c r="O118" i="10" s="1"/>
  <c r="P118" i="10" s="1"/>
  <c r="Q118" i="10" s="1"/>
  <c r="M115" i="10"/>
  <c r="O115" i="10" s="1"/>
  <c r="P115" i="10" s="1"/>
  <c r="Q115" i="10" s="1"/>
  <c r="G127" i="10"/>
  <c r="J119" i="10"/>
  <c r="K119" i="10" s="1"/>
  <c r="L119" i="10" s="1"/>
  <c r="J114" i="10"/>
  <c r="K114" i="10" s="1"/>
  <c r="L114" i="10" s="1"/>
  <c r="M121" i="10"/>
  <c r="O121" i="10" s="1"/>
  <c r="P121" i="10" s="1"/>
  <c r="Q121" i="10" s="1"/>
  <c r="J122" i="10"/>
  <c r="K122" i="10" s="1"/>
  <c r="L122" i="10" s="1"/>
  <c r="J120" i="10"/>
  <c r="K120" i="10" s="1"/>
  <c r="L120" i="10" s="1"/>
  <c r="J106" i="10"/>
  <c r="K106" i="10" s="1"/>
  <c r="L106" i="10" s="1"/>
  <c r="J105" i="10"/>
  <c r="K105" i="10" s="1"/>
  <c r="L105" i="10" s="1"/>
  <c r="J104" i="10"/>
  <c r="K104" i="10" s="1"/>
  <c r="L104" i="10" s="1"/>
  <c r="M103" i="10"/>
  <c r="O103" i="10" s="1"/>
  <c r="P103" i="10" s="1"/>
  <c r="Q103" i="10" s="1"/>
  <c r="J98" i="10"/>
  <c r="K98" i="10" s="1"/>
  <c r="L98" i="10" s="1"/>
  <c r="M97" i="10"/>
  <c r="O97" i="10" s="1"/>
  <c r="P97" i="10" s="1"/>
  <c r="Q97" i="10" s="1"/>
  <c r="G110" i="10"/>
  <c r="J99" i="10"/>
  <c r="K99" i="10" s="1"/>
  <c r="L99" i="10" s="1"/>
  <c r="M101" i="10"/>
  <c r="O101" i="10" s="1"/>
  <c r="P101" i="10" s="1"/>
  <c r="Q101" i="10" s="1"/>
  <c r="J102" i="10"/>
  <c r="K102" i="10" s="1"/>
  <c r="L102" i="10" s="1"/>
  <c r="J100" i="10"/>
  <c r="K100" i="10" s="1"/>
  <c r="L100" i="10" s="1"/>
  <c r="M43" i="10"/>
  <c r="O43" i="10" s="1"/>
  <c r="P43" i="10" s="1"/>
  <c r="Q43" i="10" s="1"/>
  <c r="M31" i="10"/>
  <c r="O31" i="10" s="1"/>
  <c r="P31" i="10" s="1"/>
  <c r="Q31" i="10" s="1"/>
  <c r="J42" i="10"/>
  <c r="K42" i="10" s="1"/>
  <c r="L42" i="10" s="1"/>
  <c r="J89" i="10"/>
  <c r="K89" i="10" s="1"/>
  <c r="L89" i="10" s="1"/>
  <c r="M20" i="10"/>
  <c r="O20" i="10" s="1"/>
  <c r="P20" i="10" s="1"/>
  <c r="Q20" i="10" s="1"/>
  <c r="G93" i="10"/>
  <c r="J90" i="10"/>
  <c r="K90" i="10" s="1"/>
  <c r="L90" i="10" s="1"/>
  <c r="J91" i="10"/>
  <c r="K91" i="10" s="1"/>
  <c r="L91" i="10" s="1"/>
  <c r="J12" i="10"/>
  <c r="K12" i="10" s="1"/>
  <c r="L12" i="10" s="1"/>
  <c r="J37" i="10"/>
  <c r="K37" i="10" s="1"/>
  <c r="L37" i="10" s="1"/>
  <c r="G44" i="10"/>
  <c r="M30" i="10"/>
  <c r="O30" i="10" s="1"/>
  <c r="P30" i="10" s="1"/>
  <c r="Q30" i="10" s="1"/>
  <c r="M28" i="10"/>
  <c r="O28" i="10" s="1"/>
  <c r="P28" i="10" s="1"/>
  <c r="Q28" i="10" s="1"/>
  <c r="J27" i="10"/>
  <c r="K27" i="10" s="1"/>
  <c r="L27" i="10" s="1"/>
  <c r="L33" i="10" s="1"/>
  <c r="G33" i="10"/>
  <c r="M29" i="10"/>
  <c r="O29" i="10" s="1"/>
  <c r="P29" i="10" s="1"/>
  <c r="Q29" i="10" s="1"/>
  <c r="M32" i="10"/>
  <c r="O32" i="10" s="1"/>
  <c r="P32" i="10" s="1"/>
  <c r="Q32" i="10" s="1"/>
  <c r="J22" i="10"/>
  <c r="K22" i="10" s="1"/>
  <c r="L22" i="10" s="1"/>
  <c r="J18" i="10"/>
  <c r="K18" i="10" s="1"/>
  <c r="L18" i="10" s="1"/>
  <c r="M17" i="10"/>
  <c r="O17" i="10" s="1"/>
  <c r="P17" i="10" s="1"/>
  <c r="Q17" i="10" s="1"/>
  <c r="G23" i="10"/>
  <c r="M19" i="10"/>
  <c r="O19" i="10" s="1"/>
  <c r="P19" i="10" s="1"/>
  <c r="Q19" i="10" s="1"/>
  <c r="J21" i="10"/>
  <c r="K21" i="10" s="1"/>
  <c r="L21" i="10" s="1"/>
  <c r="M10" i="10"/>
  <c r="O10" i="10" s="1"/>
  <c r="P10" i="10" s="1"/>
  <c r="Q10" i="10" s="1"/>
  <c r="G13" i="10"/>
  <c r="M7" i="10"/>
  <c r="O7" i="10" s="1"/>
  <c r="P7" i="10" s="1"/>
  <c r="Q7" i="10" s="1"/>
  <c r="M9" i="10"/>
  <c r="O9" i="10" s="1"/>
  <c r="P9" i="10" s="1"/>
  <c r="Q9" i="10" s="1"/>
  <c r="J8" i="10"/>
  <c r="K8" i="10" s="1"/>
  <c r="L8" i="10" s="1"/>
  <c r="P85" i="7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48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51" i="6"/>
  <c r="J375" i="6"/>
  <c r="K375" i="6" s="1"/>
  <c r="L375" i="6" s="1"/>
  <c r="E375" i="6"/>
  <c r="F375" i="6" s="1"/>
  <c r="G375" i="6" s="1"/>
  <c r="H137" i="4"/>
  <c r="H138" i="4"/>
  <c r="H139" i="4"/>
  <c r="H140" i="4"/>
  <c r="H141" i="4"/>
  <c r="H142" i="4"/>
  <c r="H144" i="4"/>
  <c r="J144" i="4" s="1"/>
  <c r="K144" i="4" s="1"/>
  <c r="L144" i="4" s="1"/>
  <c r="H136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17" i="4"/>
  <c r="E144" i="4"/>
  <c r="F144" i="4" s="1"/>
  <c r="G144" i="4" s="1"/>
  <c r="O144" i="1"/>
  <c r="Q144" i="1" s="1"/>
  <c r="G144" i="1"/>
  <c r="C144" i="1"/>
  <c r="C145" i="1"/>
  <c r="U4" i="18" l="1"/>
  <c r="W4" i="18"/>
  <c r="Y4" i="18"/>
  <c r="S3" i="10"/>
  <c r="C19" i="7" s="1"/>
  <c r="Q169" i="10"/>
  <c r="Q93" i="10"/>
  <c r="Q183" i="10"/>
  <c r="Q157" i="10"/>
  <c r="L183" i="10"/>
  <c r="Q23" i="10"/>
  <c r="L169" i="10"/>
  <c r="L157" i="10"/>
  <c r="Q140" i="10"/>
  <c r="L23" i="10"/>
  <c r="L127" i="10"/>
  <c r="L140" i="10"/>
  <c r="Q127" i="10"/>
  <c r="Q110" i="10"/>
  <c r="L110" i="10"/>
  <c r="L13" i="10"/>
  <c r="Q33" i="10"/>
  <c r="L93" i="10"/>
  <c r="C61" i="7" s="1"/>
  <c r="Q44" i="10"/>
  <c r="L44" i="10"/>
  <c r="I60" i="7" s="1"/>
  <c r="Q13" i="10"/>
  <c r="M375" i="6"/>
  <c r="O375" i="6" s="1"/>
  <c r="P375" i="6" s="1"/>
  <c r="Q375" i="6" s="1"/>
  <c r="H144" i="1"/>
  <c r="I144" i="1" s="1"/>
  <c r="R144" i="1"/>
  <c r="S144" i="1" s="1"/>
  <c r="M144" i="4"/>
  <c r="O144" i="4" s="1"/>
  <c r="P144" i="4" s="1"/>
  <c r="Q144" i="4" s="1"/>
  <c r="L144" i="1"/>
  <c r="M144" i="1" s="1"/>
  <c r="N144" i="1" s="1"/>
  <c r="H343" i="6"/>
  <c r="J343" i="6" s="1"/>
  <c r="K343" i="6" s="1"/>
  <c r="H336" i="6"/>
  <c r="J336" i="6" s="1"/>
  <c r="K336" i="6" s="1"/>
  <c r="H337" i="6"/>
  <c r="M337" i="6" s="1"/>
  <c r="O337" i="6" s="1"/>
  <c r="P337" i="6" s="1"/>
  <c r="H338" i="6"/>
  <c r="J338" i="6" s="1"/>
  <c r="K338" i="6" s="1"/>
  <c r="H339" i="6"/>
  <c r="M339" i="6" s="1"/>
  <c r="O339" i="6" s="1"/>
  <c r="P339" i="6" s="1"/>
  <c r="H340" i="6"/>
  <c r="M340" i="6" s="1"/>
  <c r="O340" i="6" s="1"/>
  <c r="P340" i="6" s="1"/>
  <c r="H341" i="6"/>
  <c r="H342" i="6"/>
  <c r="M342" i="6" s="1"/>
  <c r="O342" i="6" s="1"/>
  <c r="P342" i="6" s="1"/>
  <c r="H335" i="6"/>
  <c r="J335" i="6" s="1"/>
  <c r="K335" i="6" s="1"/>
  <c r="H322" i="6"/>
  <c r="H323" i="6"/>
  <c r="M323" i="6" s="1"/>
  <c r="O323" i="6" s="1"/>
  <c r="P323" i="6" s="1"/>
  <c r="H324" i="6"/>
  <c r="J324" i="6" s="1"/>
  <c r="K324" i="6" s="1"/>
  <c r="H325" i="6"/>
  <c r="M325" i="6" s="1"/>
  <c r="O325" i="6" s="1"/>
  <c r="P325" i="6" s="1"/>
  <c r="H326" i="6"/>
  <c r="M326" i="6" s="1"/>
  <c r="O326" i="6" s="1"/>
  <c r="P326" i="6" s="1"/>
  <c r="H327" i="6"/>
  <c r="J327" i="6" s="1"/>
  <c r="K327" i="6" s="1"/>
  <c r="H328" i="6"/>
  <c r="M328" i="6" s="1"/>
  <c r="O328" i="6" s="1"/>
  <c r="P328" i="6" s="1"/>
  <c r="H329" i="6"/>
  <c r="J329" i="6" s="1"/>
  <c r="K329" i="6" s="1"/>
  <c r="H330" i="6"/>
  <c r="J330" i="6" s="1"/>
  <c r="K330" i="6" s="1"/>
  <c r="H309" i="6"/>
  <c r="M309" i="6" s="1"/>
  <c r="O309" i="6" s="1"/>
  <c r="P309" i="6" s="1"/>
  <c r="H310" i="6"/>
  <c r="J310" i="6" s="1"/>
  <c r="K310" i="6" s="1"/>
  <c r="H311" i="6"/>
  <c r="M311" i="6" s="1"/>
  <c r="O311" i="6" s="1"/>
  <c r="P311" i="6" s="1"/>
  <c r="H312" i="6"/>
  <c r="J312" i="6" s="1"/>
  <c r="K312" i="6" s="1"/>
  <c r="H313" i="6"/>
  <c r="J313" i="6" s="1"/>
  <c r="K313" i="6" s="1"/>
  <c r="H314" i="6"/>
  <c r="H315" i="6"/>
  <c r="M315" i="6" s="1"/>
  <c r="O315" i="6" s="1"/>
  <c r="P315" i="6" s="1"/>
  <c r="H316" i="6"/>
  <c r="J316" i="6" s="1"/>
  <c r="K316" i="6" s="1"/>
  <c r="H317" i="6"/>
  <c r="J317" i="6" s="1"/>
  <c r="K317" i="6" s="1"/>
  <c r="H308" i="6"/>
  <c r="J308" i="6" s="1"/>
  <c r="K308" i="6" s="1"/>
  <c r="H220" i="6"/>
  <c r="M220" i="6" s="1"/>
  <c r="O220" i="6" s="1"/>
  <c r="P220" i="6" s="1"/>
  <c r="E220" i="6"/>
  <c r="F220" i="6" s="1"/>
  <c r="H219" i="6"/>
  <c r="J219" i="6" s="1"/>
  <c r="K219" i="6" s="1"/>
  <c r="E219" i="6"/>
  <c r="F219" i="6" s="1"/>
  <c r="H218" i="6"/>
  <c r="M218" i="6" s="1"/>
  <c r="O218" i="6" s="1"/>
  <c r="P218" i="6" s="1"/>
  <c r="E218" i="6"/>
  <c r="F218" i="6" s="1"/>
  <c r="H217" i="6"/>
  <c r="J217" i="6" s="1"/>
  <c r="K217" i="6" s="1"/>
  <c r="E217" i="6"/>
  <c r="F217" i="6" s="1"/>
  <c r="H216" i="6"/>
  <c r="M216" i="6" s="1"/>
  <c r="O216" i="6" s="1"/>
  <c r="P216" i="6" s="1"/>
  <c r="E216" i="6"/>
  <c r="F216" i="6" s="1"/>
  <c r="H215" i="6"/>
  <c r="J215" i="6" s="1"/>
  <c r="K215" i="6" s="1"/>
  <c r="E215" i="6"/>
  <c r="F215" i="6" s="1"/>
  <c r="H214" i="6"/>
  <c r="M214" i="6" s="1"/>
  <c r="O214" i="6" s="1"/>
  <c r="P214" i="6" s="1"/>
  <c r="E214" i="6"/>
  <c r="F214" i="6" s="1"/>
  <c r="H213" i="6"/>
  <c r="J213" i="6" s="1"/>
  <c r="K213" i="6" s="1"/>
  <c r="E213" i="6"/>
  <c r="F213" i="6" s="1"/>
  <c r="H212" i="6"/>
  <c r="M212" i="6" s="1"/>
  <c r="O212" i="6" s="1"/>
  <c r="P212" i="6" s="1"/>
  <c r="E212" i="6"/>
  <c r="F212" i="6" s="1"/>
  <c r="H197" i="6"/>
  <c r="J197" i="6" s="1"/>
  <c r="K197" i="6" s="1"/>
  <c r="H198" i="6"/>
  <c r="M198" i="6" s="1"/>
  <c r="O198" i="6" s="1"/>
  <c r="P198" i="6" s="1"/>
  <c r="H199" i="6"/>
  <c r="J199" i="6" s="1"/>
  <c r="K199" i="6" s="1"/>
  <c r="H200" i="6"/>
  <c r="M200" i="6" s="1"/>
  <c r="O200" i="6" s="1"/>
  <c r="P200" i="6" s="1"/>
  <c r="H201" i="6"/>
  <c r="J201" i="6" s="1"/>
  <c r="K201" i="6" s="1"/>
  <c r="H202" i="6"/>
  <c r="M202" i="6" s="1"/>
  <c r="O202" i="6" s="1"/>
  <c r="P202" i="6" s="1"/>
  <c r="H203" i="6"/>
  <c r="J203" i="6" s="1"/>
  <c r="K203" i="6" s="1"/>
  <c r="H204" i="6"/>
  <c r="M204" i="6" s="1"/>
  <c r="O204" i="6" s="1"/>
  <c r="P204" i="6" s="1"/>
  <c r="H205" i="6"/>
  <c r="J205" i="6" s="1"/>
  <c r="K205" i="6" s="1"/>
  <c r="H206" i="6"/>
  <c r="M206" i="6" s="1"/>
  <c r="O206" i="6" s="1"/>
  <c r="P206" i="6" s="1"/>
  <c r="H207" i="6"/>
  <c r="M207" i="6" s="1"/>
  <c r="O207" i="6" s="1"/>
  <c r="P207" i="6" s="1"/>
  <c r="H196" i="6"/>
  <c r="M196" i="6" s="1"/>
  <c r="O196" i="6" s="1"/>
  <c r="P196" i="6" s="1"/>
  <c r="H104" i="6"/>
  <c r="J104" i="6" s="1"/>
  <c r="K104" i="6" s="1"/>
  <c r="H105" i="6"/>
  <c r="M105" i="6" s="1"/>
  <c r="O105" i="6" s="1"/>
  <c r="P105" i="6" s="1"/>
  <c r="H106" i="6"/>
  <c r="J106" i="6" s="1"/>
  <c r="K106" i="6" s="1"/>
  <c r="H107" i="6"/>
  <c r="M107" i="6" s="1"/>
  <c r="O107" i="6" s="1"/>
  <c r="P107" i="6" s="1"/>
  <c r="H108" i="6"/>
  <c r="M108" i="6" s="1"/>
  <c r="O108" i="6" s="1"/>
  <c r="P108" i="6" s="1"/>
  <c r="H109" i="6"/>
  <c r="M109" i="6" s="1"/>
  <c r="O109" i="6" s="1"/>
  <c r="P109" i="6" s="1"/>
  <c r="H110" i="6"/>
  <c r="J110" i="6" s="1"/>
  <c r="K110" i="6" s="1"/>
  <c r="H111" i="6"/>
  <c r="M111" i="6" s="1"/>
  <c r="O111" i="6" s="1"/>
  <c r="P111" i="6" s="1"/>
  <c r="H112" i="6"/>
  <c r="J112" i="6" s="1"/>
  <c r="K112" i="6" s="1"/>
  <c r="H113" i="6"/>
  <c r="M113" i="6" s="1"/>
  <c r="O113" i="6" s="1"/>
  <c r="P113" i="6" s="1"/>
  <c r="H114" i="6"/>
  <c r="J114" i="6" s="1"/>
  <c r="K114" i="6" s="1"/>
  <c r="H115" i="6"/>
  <c r="M115" i="6" s="1"/>
  <c r="O115" i="6" s="1"/>
  <c r="P115" i="6" s="1"/>
  <c r="H116" i="6"/>
  <c r="M116" i="6" s="1"/>
  <c r="O116" i="6" s="1"/>
  <c r="P116" i="6" s="1"/>
  <c r="H117" i="6"/>
  <c r="M117" i="6" s="1"/>
  <c r="O117" i="6" s="1"/>
  <c r="P117" i="6" s="1"/>
  <c r="H118" i="6"/>
  <c r="M118" i="6" s="1"/>
  <c r="O118" i="6" s="1"/>
  <c r="P118" i="6" s="1"/>
  <c r="H103" i="6"/>
  <c r="M103" i="6" s="1"/>
  <c r="O103" i="6" s="1"/>
  <c r="P103" i="6" s="1"/>
  <c r="H76" i="6"/>
  <c r="M76" i="6" s="1"/>
  <c r="O76" i="6" s="1"/>
  <c r="P76" i="6" s="1"/>
  <c r="H77" i="6"/>
  <c r="J77" i="6" s="1"/>
  <c r="K77" i="6" s="1"/>
  <c r="H78" i="6"/>
  <c r="J78" i="6" s="1"/>
  <c r="K78" i="6" s="1"/>
  <c r="H79" i="6"/>
  <c r="J79" i="6" s="1"/>
  <c r="K79" i="6" s="1"/>
  <c r="H80" i="6"/>
  <c r="M80" i="6" s="1"/>
  <c r="O80" i="6" s="1"/>
  <c r="P80" i="6" s="1"/>
  <c r="H81" i="6"/>
  <c r="M81" i="6" s="1"/>
  <c r="O81" i="6" s="1"/>
  <c r="P81" i="6" s="1"/>
  <c r="H82" i="6"/>
  <c r="M82" i="6" s="1"/>
  <c r="O82" i="6" s="1"/>
  <c r="P82" i="6" s="1"/>
  <c r="H83" i="6"/>
  <c r="M83" i="6" s="1"/>
  <c r="O83" i="6" s="1"/>
  <c r="P83" i="6" s="1"/>
  <c r="H84" i="6"/>
  <c r="M84" i="6" s="1"/>
  <c r="O84" i="6" s="1"/>
  <c r="P84" i="6" s="1"/>
  <c r="H85" i="6"/>
  <c r="M85" i="6" s="1"/>
  <c r="O85" i="6" s="1"/>
  <c r="P85" i="6" s="1"/>
  <c r="H75" i="6"/>
  <c r="J75" i="6" s="1"/>
  <c r="K75" i="6" s="1"/>
  <c r="H8" i="6"/>
  <c r="J8" i="6" s="1"/>
  <c r="K8" i="6" s="1"/>
  <c r="H9" i="6"/>
  <c r="J9" i="6" s="1"/>
  <c r="K9" i="6" s="1"/>
  <c r="H10" i="6"/>
  <c r="J10" i="6" s="1"/>
  <c r="K10" i="6" s="1"/>
  <c r="H11" i="6"/>
  <c r="M11" i="6" s="1"/>
  <c r="O11" i="6" s="1"/>
  <c r="P11" i="6" s="1"/>
  <c r="H12" i="6"/>
  <c r="H13" i="6"/>
  <c r="M13" i="6" s="1"/>
  <c r="O13" i="6" s="1"/>
  <c r="P13" i="6" s="1"/>
  <c r="H14" i="6"/>
  <c r="J14" i="6" s="1"/>
  <c r="K14" i="6" s="1"/>
  <c r="H15" i="6"/>
  <c r="M15" i="6" s="1"/>
  <c r="O15" i="6" s="1"/>
  <c r="P15" i="6" s="1"/>
  <c r="H16" i="6"/>
  <c r="J16" i="6" s="1"/>
  <c r="K16" i="6" s="1"/>
  <c r="H17" i="6"/>
  <c r="J17" i="6" s="1"/>
  <c r="K17" i="6" s="1"/>
  <c r="H18" i="6"/>
  <c r="M18" i="6" s="1"/>
  <c r="O18" i="6" s="1"/>
  <c r="P18" i="6" s="1"/>
  <c r="H19" i="6"/>
  <c r="J19" i="6" s="1"/>
  <c r="K19" i="6" s="1"/>
  <c r="H20" i="6"/>
  <c r="J20" i="6" s="1"/>
  <c r="K20" i="6" s="1"/>
  <c r="H21" i="6"/>
  <c r="J21" i="6" s="1"/>
  <c r="K21" i="6" s="1"/>
  <c r="H22" i="6"/>
  <c r="J22" i="6" s="1"/>
  <c r="K22" i="6" s="1"/>
  <c r="H23" i="6"/>
  <c r="J23" i="6" s="1"/>
  <c r="K23" i="6" s="1"/>
  <c r="H24" i="6"/>
  <c r="J24" i="6" s="1"/>
  <c r="K24" i="6" s="1"/>
  <c r="H25" i="6"/>
  <c r="J25" i="6" s="1"/>
  <c r="K25" i="6" s="1"/>
  <c r="H26" i="6"/>
  <c r="M26" i="6" s="1"/>
  <c r="O26" i="6" s="1"/>
  <c r="P26" i="6" s="1"/>
  <c r="H7" i="6"/>
  <c r="J7" i="6" s="1"/>
  <c r="K7" i="6" s="1"/>
  <c r="H105" i="4"/>
  <c r="M105" i="4" s="1"/>
  <c r="O105" i="4" s="1"/>
  <c r="P105" i="4" s="1"/>
  <c r="H106" i="4"/>
  <c r="J106" i="4" s="1"/>
  <c r="K106" i="4" s="1"/>
  <c r="H107" i="4"/>
  <c r="M107" i="4" s="1"/>
  <c r="O107" i="4" s="1"/>
  <c r="P107" i="4" s="1"/>
  <c r="H108" i="4"/>
  <c r="J108" i="4" s="1"/>
  <c r="K108" i="4" s="1"/>
  <c r="H109" i="4"/>
  <c r="H110" i="4"/>
  <c r="M110" i="4" s="1"/>
  <c r="O110" i="4" s="1"/>
  <c r="P110" i="4" s="1"/>
  <c r="H111" i="4"/>
  <c r="M111" i="4" s="1"/>
  <c r="O111" i="4" s="1"/>
  <c r="P111" i="4" s="1"/>
  <c r="H112" i="4"/>
  <c r="M112" i="4" s="1"/>
  <c r="O112" i="4" s="1"/>
  <c r="P112" i="4" s="1"/>
  <c r="H104" i="4"/>
  <c r="J104" i="4" s="1"/>
  <c r="K104" i="4" s="1"/>
  <c r="H91" i="4"/>
  <c r="M91" i="4" s="1"/>
  <c r="O91" i="4" s="1"/>
  <c r="P91" i="4" s="1"/>
  <c r="H92" i="4"/>
  <c r="M92" i="4" s="1"/>
  <c r="O92" i="4" s="1"/>
  <c r="P92" i="4" s="1"/>
  <c r="H93" i="4"/>
  <c r="M93" i="4" s="1"/>
  <c r="O93" i="4" s="1"/>
  <c r="P93" i="4" s="1"/>
  <c r="H94" i="4"/>
  <c r="J94" i="4" s="1"/>
  <c r="K94" i="4" s="1"/>
  <c r="H95" i="4"/>
  <c r="M95" i="4" s="1"/>
  <c r="O95" i="4" s="1"/>
  <c r="P95" i="4" s="1"/>
  <c r="H96" i="4"/>
  <c r="J96" i="4" s="1"/>
  <c r="K96" i="4" s="1"/>
  <c r="H97" i="4"/>
  <c r="M97" i="4" s="1"/>
  <c r="O97" i="4" s="1"/>
  <c r="P97" i="4" s="1"/>
  <c r="H98" i="4"/>
  <c r="J98" i="4" s="1"/>
  <c r="K98" i="4" s="1"/>
  <c r="H99" i="4"/>
  <c r="M99" i="4" s="1"/>
  <c r="O99" i="4" s="1"/>
  <c r="P99" i="4" s="1"/>
  <c r="H78" i="4"/>
  <c r="H79" i="4"/>
  <c r="M79" i="4" s="1"/>
  <c r="O79" i="4" s="1"/>
  <c r="P79" i="4" s="1"/>
  <c r="H80" i="4"/>
  <c r="M80" i="4" s="1"/>
  <c r="O80" i="4" s="1"/>
  <c r="P80" i="4" s="1"/>
  <c r="H81" i="4"/>
  <c r="J81" i="4" s="1"/>
  <c r="K81" i="4" s="1"/>
  <c r="H82" i="4"/>
  <c r="J82" i="4" s="1"/>
  <c r="K82" i="4" s="1"/>
  <c r="H83" i="4"/>
  <c r="J83" i="4" s="1"/>
  <c r="K83" i="4" s="1"/>
  <c r="H84" i="4"/>
  <c r="M84" i="4" s="1"/>
  <c r="O84" i="4" s="1"/>
  <c r="P84" i="4" s="1"/>
  <c r="H85" i="4"/>
  <c r="M85" i="4" s="1"/>
  <c r="O85" i="4" s="1"/>
  <c r="P85" i="4" s="1"/>
  <c r="H86" i="4"/>
  <c r="M86" i="4" s="1"/>
  <c r="O86" i="4" s="1"/>
  <c r="P86" i="4" s="1"/>
  <c r="H77" i="4"/>
  <c r="J77" i="4" s="1"/>
  <c r="H49" i="4"/>
  <c r="J49" i="4" s="1"/>
  <c r="K49" i="4" s="1"/>
  <c r="H50" i="4"/>
  <c r="H51" i="4"/>
  <c r="M51" i="4" s="1"/>
  <c r="O51" i="4" s="1"/>
  <c r="P51" i="4" s="1"/>
  <c r="H52" i="4"/>
  <c r="M52" i="4" s="1"/>
  <c r="O52" i="4" s="1"/>
  <c r="P52" i="4" s="1"/>
  <c r="H53" i="4"/>
  <c r="M53" i="4" s="1"/>
  <c r="O53" i="4" s="1"/>
  <c r="P53" i="4" s="1"/>
  <c r="H54" i="4"/>
  <c r="H55" i="4"/>
  <c r="M55" i="4" s="1"/>
  <c r="O55" i="4" s="1"/>
  <c r="P55" i="4" s="1"/>
  <c r="H56" i="4"/>
  <c r="H57" i="4"/>
  <c r="M57" i="4" s="1"/>
  <c r="O57" i="4" s="1"/>
  <c r="P57" i="4" s="1"/>
  <c r="H58" i="4"/>
  <c r="J58" i="4" s="1"/>
  <c r="H59" i="4"/>
  <c r="M59" i="4" s="1"/>
  <c r="O59" i="4" s="1"/>
  <c r="P59" i="4" s="1"/>
  <c r="H48" i="4"/>
  <c r="M48" i="4" s="1"/>
  <c r="O48" i="4" s="1"/>
  <c r="P48" i="4" s="1"/>
  <c r="H8" i="4"/>
  <c r="M8" i="4" s="1"/>
  <c r="O8" i="4" s="1"/>
  <c r="H9" i="4"/>
  <c r="J9" i="4" s="1"/>
  <c r="H10" i="4"/>
  <c r="M10" i="4" s="1"/>
  <c r="O10" i="4" s="1"/>
  <c r="H11" i="4"/>
  <c r="J11" i="4" s="1"/>
  <c r="H12" i="4"/>
  <c r="M12" i="4" s="1"/>
  <c r="O12" i="4" s="1"/>
  <c r="P12" i="4" s="1"/>
  <c r="H13" i="4"/>
  <c r="J13" i="4" s="1"/>
  <c r="K13" i="4" s="1"/>
  <c r="H14" i="4"/>
  <c r="M14" i="4" s="1"/>
  <c r="O14" i="4" s="1"/>
  <c r="P14" i="4" s="1"/>
  <c r="H15" i="4"/>
  <c r="M15" i="4" s="1"/>
  <c r="O15" i="4" s="1"/>
  <c r="H16" i="4"/>
  <c r="M16" i="4" s="1"/>
  <c r="O16" i="4" s="1"/>
  <c r="P16" i="4" s="1"/>
  <c r="H17" i="4"/>
  <c r="M17" i="4" s="1"/>
  <c r="O17" i="4" s="1"/>
  <c r="P17" i="4" s="1"/>
  <c r="H18" i="4"/>
  <c r="M18" i="4" s="1"/>
  <c r="O18" i="4" s="1"/>
  <c r="P18" i="4" s="1"/>
  <c r="H19" i="4"/>
  <c r="J19" i="4" s="1"/>
  <c r="K19" i="4" s="1"/>
  <c r="H20" i="4"/>
  <c r="M20" i="4" s="1"/>
  <c r="O20" i="4" s="1"/>
  <c r="P20" i="4" s="1"/>
  <c r="H21" i="4"/>
  <c r="H22" i="4"/>
  <c r="M22" i="4" s="1"/>
  <c r="O22" i="4" s="1"/>
  <c r="P22" i="4" s="1"/>
  <c r="H23" i="4"/>
  <c r="J23" i="4" s="1"/>
  <c r="K23" i="4" s="1"/>
  <c r="H24" i="4"/>
  <c r="H25" i="4"/>
  <c r="H26" i="4"/>
  <c r="J26" i="4" s="1"/>
  <c r="K26" i="4" s="1"/>
  <c r="H7" i="4"/>
  <c r="M7" i="4" s="1"/>
  <c r="O7" i="4" s="1"/>
  <c r="P7" i="4" s="1"/>
  <c r="J70" i="6"/>
  <c r="K70" i="6" s="1"/>
  <c r="E70" i="6"/>
  <c r="F70" i="6" s="1"/>
  <c r="J69" i="6"/>
  <c r="K69" i="6" s="1"/>
  <c r="E69" i="6"/>
  <c r="F69" i="6" s="1"/>
  <c r="J68" i="6"/>
  <c r="K68" i="6" s="1"/>
  <c r="E68" i="6"/>
  <c r="F68" i="6" s="1"/>
  <c r="M67" i="6"/>
  <c r="O67" i="6" s="1"/>
  <c r="P67" i="6" s="1"/>
  <c r="E67" i="6"/>
  <c r="F67" i="6" s="1"/>
  <c r="J66" i="6"/>
  <c r="K66" i="6" s="1"/>
  <c r="E66" i="6"/>
  <c r="F66" i="6" s="1"/>
  <c r="M65" i="6"/>
  <c r="O65" i="6" s="1"/>
  <c r="E65" i="6"/>
  <c r="F65" i="6" s="1"/>
  <c r="J64" i="6"/>
  <c r="K64" i="6" s="1"/>
  <c r="E64" i="6"/>
  <c r="F64" i="6" s="1"/>
  <c r="J63" i="6"/>
  <c r="K63" i="6" s="1"/>
  <c r="E63" i="6"/>
  <c r="F63" i="6" s="1"/>
  <c r="J62" i="6"/>
  <c r="K62" i="6" s="1"/>
  <c r="E62" i="6"/>
  <c r="F62" i="6" s="1"/>
  <c r="J61" i="6"/>
  <c r="K61" i="6" s="1"/>
  <c r="E61" i="6"/>
  <c r="F61" i="6" s="1"/>
  <c r="J60" i="6"/>
  <c r="K60" i="6" s="1"/>
  <c r="E60" i="6"/>
  <c r="F60" i="6" s="1"/>
  <c r="M59" i="6"/>
  <c r="O59" i="6" s="1"/>
  <c r="P59" i="6" s="1"/>
  <c r="E59" i="6"/>
  <c r="F59" i="6" s="1"/>
  <c r="J58" i="6"/>
  <c r="K58" i="6" s="1"/>
  <c r="E58" i="6"/>
  <c r="F58" i="6" s="1"/>
  <c r="M57" i="6"/>
  <c r="O57" i="6" s="1"/>
  <c r="P57" i="6" s="1"/>
  <c r="E57" i="6"/>
  <c r="F57" i="6" s="1"/>
  <c r="J56" i="6"/>
  <c r="E56" i="6"/>
  <c r="F56" i="6" s="1"/>
  <c r="J55" i="6"/>
  <c r="K55" i="6" s="1"/>
  <c r="E55" i="6"/>
  <c r="F55" i="6" s="1"/>
  <c r="J54" i="6"/>
  <c r="K54" i="6" s="1"/>
  <c r="E54" i="6"/>
  <c r="F54" i="6" s="1"/>
  <c r="J53" i="6"/>
  <c r="K53" i="6" s="1"/>
  <c r="E53" i="6"/>
  <c r="F53" i="6" s="1"/>
  <c r="J52" i="6"/>
  <c r="K52" i="6" s="1"/>
  <c r="E52" i="6"/>
  <c r="F52" i="6" s="1"/>
  <c r="M51" i="6"/>
  <c r="O51" i="6" s="1"/>
  <c r="P51" i="6" s="1"/>
  <c r="E51" i="6"/>
  <c r="F51" i="6" s="1"/>
  <c r="E118" i="6"/>
  <c r="F118" i="6" s="1"/>
  <c r="E117" i="6"/>
  <c r="F117" i="6" s="1"/>
  <c r="E116" i="6"/>
  <c r="F116" i="6" s="1"/>
  <c r="E115" i="6"/>
  <c r="F115" i="6" s="1"/>
  <c r="E114" i="6"/>
  <c r="F114" i="6" s="1"/>
  <c r="E113" i="6"/>
  <c r="F113" i="6" s="1"/>
  <c r="E112" i="6"/>
  <c r="F112" i="6" s="1"/>
  <c r="E111" i="6"/>
  <c r="F111" i="6" s="1"/>
  <c r="E110" i="6"/>
  <c r="F110" i="6" s="1"/>
  <c r="E109" i="6"/>
  <c r="F109" i="6" s="1"/>
  <c r="E108" i="6"/>
  <c r="F108" i="6" s="1"/>
  <c r="E107" i="6"/>
  <c r="F107" i="6" s="1"/>
  <c r="E106" i="6"/>
  <c r="F106" i="6" s="1"/>
  <c r="E105" i="6"/>
  <c r="F105" i="6" s="1"/>
  <c r="E104" i="6"/>
  <c r="F104" i="6" s="1"/>
  <c r="E103" i="6"/>
  <c r="F103" i="6" s="1"/>
  <c r="E85" i="6"/>
  <c r="F85" i="6" s="1"/>
  <c r="E84" i="6"/>
  <c r="F84" i="6" s="1"/>
  <c r="E83" i="6"/>
  <c r="F83" i="6" s="1"/>
  <c r="E82" i="6"/>
  <c r="F82" i="6" s="1"/>
  <c r="E81" i="6"/>
  <c r="F81" i="6" s="1"/>
  <c r="E80" i="6"/>
  <c r="F80" i="6" s="1"/>
  <c r="E79" i="6"/>
  <c r="F79" i="6" s="1"/>
  <c r="E78" i="6"/>
  <c r="F78" i="6" s="1"/>
  <c r="E77" i="6"/>
  <c r="F77" i="6" s="1"/>
  <c r="E76" i="6"/>
  <c r="F76" i="6" s="1"/>
  <c r="E75" i="6"/>
  <c r="F75" i="6" s="1"/>
  <c r="E196" i="6"/>
  <c r="F196" i="6" s="1"/>
  <c r="E197" i="6"/>
  <c r="F197" i="6" s="1"/>
  <c r="E198" i="6"/>
  <c r="F198" i="6" s="1"/>
  <c r="E199" i="6"/>
  <c r="F199" i="6" s="1"/>
  <c r="E200" i="6"/>
  <c r="F200" i="6" s="1"/>
  <c r="E201" i="6"/>
  <c r="F201" i="6" s="1"/>
  <c r="E202" i="6"/>
  <c r="F202" i="6" s="1"/>
  <c r="E203" i="6"/>
  <c r="F203" i="6" s="1"/>
  <c r="E204" i="6"/>
  <c r="F204" i="6" s="1"/>
  <c r="E205" i="6"/>
  <c r="F205" i="6" s="1"/>
  <c r="E206" i="6"/>
  <c r="F206" i="6" s="1"/>
  <c r="E207" i="6"/>
  <c r="F207" i="6" s="1"/>
  <c r="E308" i="6"/>
  <c r="F308" i="6" s="1"/>
  <c r="E309" i="6"/>
  <c r="F309" i="6" s="1"/>
  <c r="M376" i="6"/>
  <c r="O376" i="6" s="1"/>
  <c r="P376" i="6" s="1"/>
  <c r="E376" i="6"/>
  <c r="F376" i="6" s="1"/>
  <c r="E373" i="6"/>
  <c r="F373" i="6" s="1"/>
  <c r="J372" i="6"/>
  <c r="K372" i="6" s="1"/>
  <c r="E372" i="6"/>
  <c r="F372" i="6" s="1"/>
  <c r="J371" i="6"/>
  <c r="K371" i="6" s="1"/>
  <c r="E371" i="6"/>
  <c r="F371" i="6" s="1"/>
  <c r="J370" i="6"/>
  <c r="K370" i="6" s="1"/>
  <c r="E370" i="6"/>
  <c r="F370" i="6" s="1"/>
  <c r="J369" i="6"/>
  <c r="K369" i="6" s="1"/>
  <c r="E369" i="6"/>
  <c r="F369" i="6" s="1"/>
  <c r="J368" i="6"/>
  <c r="K368" i="6" s="1"/>
  <c r="E368" i="6"/>
  <c r="F368" i="6" s="1"/>
  <c r="M367" i="6"/>
  <c r="O367" i="6" s="1"/>
  <c r="P367" i="6" s="1"/>
  <c r="E367" i="6"/>
  <c r="F367" i="6" s="1"/>
  <c r="E362" i="6"/>
  <c r="F362" i="6" s="1"/>
  <c r="M361" i="6"/>
  <c r="O361" i="6" s="1"/>
  <c r="P361" i="6" s="1"/>
  <c r="E361" i="6"/>
  <c r="F361" i="6" s="1"/>
  <c r="M360" i="6"/>
  <c r="O360" i="6" s="1"/>
  <c r="P360" i="6" s="1"/>
  <c r="E360" i="6"/>
  <c r="F360" i="6" s="1"/>
  <c r="J359" i="6"/>
  <c r="K359" i="6" s="1"/>
  <c r="E359" i="6"/>
  <c r="F359" i="6" s="1"/>
  <c r="M358" i="6"/>
  <c r="O358" i="6" s="1"/>
  <c r="P358" i="6" s="1"/>
  <c r="E358" i="6"/>
  <c r="F358" i="6" s="1"/>
  <c r="J357" i="6"/>
  <c r="K357" i="6" s="1"/>
  <c r="E357" i="6"/>
  <c r="F357" i="6" s="1"/>
  <c r="M356" i="6"/>
  <c r="O356" i="6" s="1"/>
  <c r="P356" i="6" s="1"/>
  <c r="E356" i="6"/>
  <c r="F356" i="6" s="1"/>
  <c r="J355" i="6"/>
  <c r="K355" i="6" s="1"/>
  <c r="E355" i="6"/>
  <c r="F355" i="6" s="1"/>
  <c r="E354" i="6"/>
  <c r="F354" i="6" s="1"/>
  <c r="J353" i="6"/>
  <c r="K353" i="6" s="1"/>
  <c r="E353" i="6"/>
  <c r="F353" i="6" s="1"/>
  <c r="M352" i="6"/>
  <c r="O352" i="6" s="1"/>
  <c r="P352" i="6" s="1"/>
  <c r="E352" i="6"/>
  <c r="F352" i="6" s="1"/>
  <c r="M351" i="6"/>
  <c r="O351" i="6" s="1"/>
  <c r="P351" i="6" s="1"/>
  <c r="E351" i="6"/>
  <c r="F351" i="6" s="1"/>
  <c r="M350" i="6"/>
  <c r="O350" i="6" s="1"/>
  <c r="P350" i="6" s="1"/>
  <c r="E350" i="6"/>
  <c r="F350" i="6" s="1"/>
  <c r="J349" i="6"/>
  <c r="K349" i="6" s="1"/>
  <c r="E349" i="6"/>
  <c r="F349" i="6" s="1"/>
  <c r="G349" i="6" s="1"/>
  <c r="M348" i="6"/>
  <c r="O348" i="6" s="1"/>
  <c r="P348" i="6" s="1"/>
  <c r="E348" i="6"/>
  <c r="F348" i="6" s="1"/>
  <c r="E343" i="6"/>
  <c r="F343" i="6" s="1"/>
  <c r="E342" i="6"/>
  <c r="F342" i="6" s="1"/>
  <c r="E341" i="6"/>
  <c r="F341" i="6" s="1"/>
  <c r="E340" i="6"/>
  <c r="F340" i="6" s="1"/>
  <c r="E339" i="6"/>
  <c r="F339" i="6" s="1"/>
  <c r="E338" i="6"/>
  <c r="F338" i="6" s="1"/>
  <c r="E337" i="6"/>
  <c r="F337" i="6" s="1"/>
  <c r="E336" i="6"/>
  <c r="F336" i="6" s="1"/>
  <c r="E335" i="6"/>
  <c r="F335" i="6" s="1"/>
  <c r="E330" i="6"/>
  <c r="F330" i="6" s="1"/>
  <c r="E329" i="6"/>
  <c r="F329" i="6" s="1"/>
  <c r="E328" i="6"/>
  <c r="F328" i="6" s="1"/>
  <c r="E327" i="6"/>
  <c r="F327" i="6" s="1"/>
  <c r="E326" i="6"/>
  <c r="F326" i="6" s="1"/>
  <c r="E325" i="6"/>
  <c r="F325" i="6" s="1"/>
  <c r="E324" i="6"/>
  <c r="F324" i="6" s="1"/>
  <c r="E323" i="6"/>
  <c r="F323" i="6" s="1"/>
  <c r="E322" i="6"/>
  <c r="F322" i="6" s="1"/>
  <c r="E317" i="6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M145" i="4"/>
  <c r="O145" i="4" s="1"/>
  <c r="P145" i="4" s="1"/>
  <c r="E145" i="4"/>
  <c r="F145" i="4" s="1"/>
  <c r="M142" i="4"/>
  <c r="O142" i="4" s="1"/>
  <c r="P142" i="4" s="1"/>
  <c r="E142" i="4"/>
  <c r="F142" i="4" s="1"/>
  <c r="E141" i="4"/>
  <c r="F141" i="4" s="1"/>
  <c r="J140" i="4"/>
  <c r="K140" i="4" s="1"/>
  <c r="E140" i="4"/>
  <c r="F140" i="4" s="1"/>
  <c r="E139" i="4"/>
  <c r="F139" i="4" s="1"/>
  <c r="M138" i="4"/>
  <c r="O138" i="4" s="1"/>
  <c r="P138" i="4" s="1"/>
  <c r="E138" i="4"/>
  <c r="F138" i="4" s="1"/>
  <c r="E137" i="4"/>
  <c r="F137" i="4" s="1"/>
  <c r="M136" i="4"/>
  <c r="O136" i="4" s="1"/>
  <c r="P136" i="4" s="1"/>
  <c r="E136" i="4"/>
  <c r="F136" i="4" s="1"/>
  <c r="J131" i="4"/>
  <c r="K131" i="4" s="1"/>
  <c r="E131" i="4"/>
  <c r="F131" i="4" s="1"/>
  <c r="M130" i="4"/>
  <c r="O130" i="4" s="1"/>
  <c r="P130" i="4" s="1"/>
  <c r="E130" i="4"/>
  <c r="F130" i="4" s="1"/>
  <c r="J129" i="4"/>
  <c r="K129" i="4" s="1"/>
  <c r="E129" i="4"/>
  <c r="F129" i="4" s="1"/>
  <c r="M128" i="4"/>
  <c r="O128" i="4" s="1"/>
  <c r="E128" i="4"/>
  <c r="J127" i="4"/>
  <c r="K127" i="4" s="1"/>
  <c r="E127" i="4"/>
  <c r="F127" i="4" s="1"/>
  <c r="J126" i="4"/>
  <c r="E126" i="4"/>
  <c r="J125" i="4"/>
  <c r="K125" i="4" s="1"/>
  <c r="E125" i="4"/>
  <c r="F125" i="4" s="1"/>
  <c r="M124" i="4"/>
  <c r="O124" i="4" s="1"/>
  <c r="P124" i="4" s="1"/>
  <c r="E124" i="4"/>
  <c r="F124" i="4" s="1"/>
  <c r="J123" i="4"/>
  <c r="E123" i="4"/>
  <c r="F123" i="4" s="1"/>
  <c r="G123" i="4" s="1"/>
  <c r="M122" i="4"/>
  <c r="O122" i="4" s="1"/>
  <c r="P122" i="4" s="1"/>
  <c r="E122" i="4"/>
  <c r="J121" i="4"/>
  <c r="K121" i="4" s="1"/>
  <c r="E121" i="4"/>
  <c r="F121" i="4" s="1"/>
  <c r="M120" i="4"/>
  <c r="O120" i="4" s="1"/>
  <c r="P120" i="4" s="1"/>
  <c r="E120" i="4"/>
  <c r="F120" i="4" s="1"/>
  <c r="J119" i="4"/>
  <c r="K119" i="4" s="1"/>
  <c r="E119" i="4"/>
  <c r="F119" i="4" s="1"/>
  <c r="M118" i="4"/>
  <c r="O118" i="4" s="1"/>
  <c r="P118" i="4" s="1"/>
  <c r="E118" i="4"/>
  <c r="F118" i="4" s="1"/>
  <c r="G118" i="4" s="1"/>
  <c r="J117" i="4"/>
  <c r="K117" i="4" s="1"/>
  <c r="E117" i="4"/>
  <c r="F117" i="4" s="1"/>
  <c r="E112" i="4"/>
  <c r="F112" i="4" s="1"/>
  <c r="E111" i="4"/>
  <c r="F111" i="4" s="1"/>
  <c r="E110" i="4"/>
  <c r="F110" i="4" s="1"/>
  <c r="E109" i="4"/>
  <c r="F109" i="4" s="1"/>
  <c r="E108" i="4"/>
  <c r="F108" i="4" s="1"/>
  <c r="E107" i="4"/>
  <c r="F107" i="4" s="1"/>
  <c r="E106" i="4"/>
  <c r="F106" i="4" s="1"/>
  <c r="E105" i="4"/>
  <c r="F105" i="4" s="1"/>
  <c r="E104" i="4"/>
  <c r="F104" i="4" s="1"/>
  <c r="E99" i="4"/>
  <c r="F99" i="4" s="1"/>
  <c r="E98" i="4"/>
  <c r="F98" i="4" s="1"/>
  <c r="E97" i="4"/>
  <c r="F97" i="4" s="1"/>
  <c r="E96" i="4"/>
  <c r="F96" i="4" s="1"/>
  <c r="E95" i="4"/>
  <c r="F95" i="4" s="1"/>
  <c r="E94" i="4"/>
  <c r="F94" i="4" s="1"/>
  <c r="E93" i="4"/>
  <c r="F93" i="4" s="1"/>
  <c r="E92" i="4"/>
  <c r="F92" i="4" s="1"/>
  <c r="E91" i="4"/>
  <c r="F91" i="4" s="1"/>
  <c r="E86" i="4"/>
  <c r="F86" i="4" s="1"/>
  <c r="E85" i="4"/>
  <c r="F85" i="4" s="1"/>
  <c r="G85" i="4" s="1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G78" i="4" s="1"/>
  <c r="E77" i="4"/>
  <c r="F77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G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E11" i="4"/>
  <c r="F11" i="4" s="1"/>
  <c r="E10" i="4"/>
  <c r="E9" i="4"/>
  <c r="F9" i="4" s="1"/>
  <c r="E8" i="4"/>
  <c r="E7" i="4"/>
  <c r="F7" i="4" s="1"/>
  <c r="G124" i="1"/>
  <c r="L124" i="1"/>
  <c r="G125" i="1"/>
  <c r="O125" i="1"/>
  <c r="Q125" i="1" s="1"/>
  <c r="G126" i="1"/>
  <c r="O126" i="1"/>
  <c r="Q126" i="1" s="1"/>
  <c r="L126" i="1"/>
  <c r="G127" i="1"/>
  <c r="L127" i="1"/>
  <c r="O127" i="1"/>
  <c r="Q127" i="1" s="1"/>
  <c r="G128" i="1"/>
  <c r="L128" i="1"/>
  <c r="G129" i="1"/>
  <c r="O129" i="1"/>
  <c r="Q129" i="1" s="1"/>
  <c r="G130" i="1"/>
  <c r="O130" i="1"/>
  <c r="Q130" i="1" s="1"/>
  <c r="G131" i="1"/>
  <c r="L131" i="1"/>
  <c r="C130" i="1"/>
  <c r="C131" i="1"/>
  <c r="C129" i="1"/>
  <c r="C128" i="1"/>
  <c r="C127" i="1"/>
  <c r="C124" i="1"/>
  <c r="C125" i="1"/>
  <c r="C126" i="1"/>
  <c r="C118" i="1"/>
  <c r="C119" i="1"/>
  <c r="C120" i="1"/>
  <c r="C121" i="1"/>
  <c r="C122" i="1"/>
  <c r="C137" i="1"/>
  <c r="C138" i="1"/>
  <c r="C139" i="1"/>
  <c r="C140" i="1"/>
  <c r="C141" i="1"/>
  <c r="C142" i="1"/>
  <c r="C111" i="1"/>
  <c r="C112" i="1"/>
  <c r="C110" i="1"/>
  <c r="C109" i="1"/>
  <c r="C98" i="1"/>
  <c r="C99" i="1"/>
  <c r="C86" i="1"/>
  <c r="C85" i="1"/>
  <c r="C84" i="1"/>
  <c r="C97" i="1"/>
  <c r="C96" i="1"/>
  <c r="C95" i="1"/>
  <c r="C94" i="1"/>
  <c r="C93" i="1"/>
  <c r="C83" i="1"/>
  <c r="C82" i="1"/>
  <c r="C81" i="1"/>
  <c r="C80" i="1"/>
  <c r="C107" i="1"/>
  <c r="O123" i="1"/>
  <c r="Q123" i="1" s="1"/>
  <c r="G123" i="1"/>
  <c r="C123" i="1"/>
  <c r="O122" i="1"/>
  <c r="Q122" i="1" s="1"/>
  <c r="G122" i="1"/>
  <c r="O121" i="1"/>
  <c r="Q121" i="1" s="1"/>
  <c r="G121" i="1"/>
  <c r="O120" i="1"/>
  <c r="Q120" i="1" s="1"/>
  <c r="G120" i="1"/>
  <c r="O119" i="1"/>
  <c r="Q119" i="1" s="1"/>
  <c r="G119" i="1"/>
  <c r="O118" i="1"/>
  <c r="Q118" i="1" s="1"/>
  <c r="G118" i="1"/>
  <c r="L117" i="1"/>
  <c r="G117" i="1"/>
  <c r="C117" i="1"/>
  <c r="L145" i="1"/>
  <c r="M145" i="1" s="1"/>
  <c r="N145" i="1" s="1"/>
  <c r="G145" i="1"/>
  <c r="L142" i="1"/>
  <c r="G142" i="1"/>
  <c r="O141" i="1"/>
  <c r="Q141" i="1" s="1"/>
  <c r="G141" i="1"/>
  <c r="L140" i="1"/>
  <c r="G140" i="1"/>
  <c r="O139" i="1"/>
  <c r="Q139" i="1" s="1"/>
  <c r="G139" i="1"/>
  <c r="L138" i="1"/>
  <c r="G138" i="1"/>
  <c r="O137" i="1"/>
  <c r="Q137" i="1" s="1"/>
  <c r="G137" i="1"/>
  <c r="L136" i="1"/>
  <c r="G136" i="1"/>
  <c r="C136" i="1"/>
  <c r="O112" i="1"/>
  <c r="Q112" i="1" s="1"/>
  <c r="G112" i="1"/>
  <c r="O111" i="1"/>
  <c r="Q111" i="1" s="1"/>
  <c r="G111" i="1"/>
  <c r="L110" i="1"/>
  <c r="G110" i="1"/>
  <c r="O109" i="1"/>
  <c r="Q109" i="1" s="1"/>
  <c r="G109" i="1"/>
  <c r="O108" i="1"/>
  <c r="Q108" i="1" s="1"/>
  <c r="G108" i="1"/>
  <c r="C108" i="1"/>
  <c r="O107" i="1"/>
  <c r="Q107" i="1" s="1"/>
  <c r="G107" i="1"/>
  <c r="O106" i="1"/>
  <c r="Q106" i="1" s="1"/>
  <c r="G106" i="1"/>
  <c r="C106" i="1"/>
  <c r="O105" i="1"/>
  <c r="Q105" i="1" s="1"/>
  <c r="G105" i="1"/>
  <c r="C105" i="1"/>
  <c r="O104" i="1"/>
  <c r="Q104" i="1" s="1"/>
  <c r="G104" i="1"/>
  <c r="C104" i="1"/>
  <c r="L99" i="1"/>
  <c r="G99" i="1"/>
  <c r="O98" i="1"/>
  <c r="Q98" i="1" s="1"/>
  <c r="G98" i="1"/>
  <c r="L97" i="1"/>
  <c r="G97" i="1"/>
  <c r="O96" i="1"/>
  <c r="Q96" i="1" s="1"/>
  <c r="G96" i="1"/>
  <c r="L95" i="1"/>
  <c r="G95" i="1"/>
  <c r="O94" i="1"/>
  <c r="Q94" i="1" s="1"/>
  <c r="G94" i="1"/>
  <c r="L93" i="1"/>
  <c r="G93" i="1"/>
  <c r="O92" i="1"/>
  <c r="Q92" i="1" s="1"/>
  <c r="G92" i="1"/>
  <c r="C92" i="1"/>
  <c r="L91" i="1"/>
  <c r="G91" i="1"/>
  <c r="C91" i="1"/>
  <c r="O86" i="1"/>
  <c r="Q86" i="1" s="1"/>
  <c r="G86" i="1"/>
  <c r="L85" i="1"/>
  <c r="G85" i="1"/>
  <c r="O84" i="1"/>
  <c r="Q84" i="1" s="1"/>
  <c r="G84" i="1"/>
  <c r="L83" i="1"/>
  <c r="G83" i="1"/>
  <c r="O82" i="1"/>
  <c r="Q82" i="1" s="1"/>
  <c r="G82" i="1"/>
  <c r="L81" i="1"/>
  <c r="G81" i="1"/>
  <c r="O80" i="1"/>
  <c r="Q80" i="1" s="1"/>
  <c r="G80" i="1"/>
  <c r="L79" i="1"/>
  <c r="G79" i="1"/>
  <c r="C79" i="1"/>
  <c r="L78" i="1"/>
  <c r="G78" i="1"/>
  <c r="C78" i="1"/>
  <c r="O77" i="1"/>
  <c r="Q77" i="1" s="1"/>
  <c r="G77" i="1"/>
  <c r="C77" i="1"/>
  <c r="O59" i="1"/>
  <c r="Q59" i="1" s="1"/>
  <c r="G59" i="1"/>
  <c r="C59" i="1"/>
  <c r="O58" i="1"/>
  <c r="Q58" i="1" s="1"/>
  <c r="G58" i="1"/>
  <c r="C58" i="1"/>
  <c r="L57" i="1"/>
  <c r="G57" i="1"/>
  <c r="C57" i="1"/>
  <c r="O56" i="1"/>
  <c r="Q56" i="1" s="1"/>
  <c r="G56" i="1"/>
  <c r="C56" i="1"/>
  <c r="O55" i="1"/>
  <c r="Q55" i="1" s="1"/>
  <c r="G55" i="1"/>
  <c r="C55" i="1"/>
  <c r="O54" i="1"/>
  <c r="Q54" i="1" s="1"/>
  <c r="G54" i="1"/>
  <c r="C54" i="1"/>
  <c r="O53" i="1"/>
  <c r="Q53" i="1" s="1"/>
  <c r="G53" i="1"/>
  <c r="C53" i="1"/>
  <c r="O52" i="1"/>
  <c r="Q52" i="1" s="1"/>
  <c r="G52" i="1"/>
  <c r="C52" i="1"/>
  <c r="L51" i="1"/>
  <c r="G51" i="1"/>
  <c r="C51" i="1"/>
  <c r="O50" i="1"/>
  <c r="Q50" i="1" s="1"/>
  <c r="G50" i="1"/>
  <c r="C50" i="1"/>
  <c r="O49" i="1"/>
  <c r="Q49" i="1" s="1"/>
  <c r="G49" i="1"/>
  <c r="C49" i="1"/>
  <c r="O48" i="1"/>
  <c r="Q48" i="1" s="1"/>
  <c r="G48" i="1"/>
  <c r="C48" i="1"/>
  <c r="C19" i="1"/>
  <c r="C20" i="1"/>
  <c r="C21" i="1"/>
  <c r="C18" i="1"/>
  <c r="C17" i="1"/>
  <c r="C16" i="1"/>
  <c r="C14" i="1"/>
  <c r="C15" i="1"/>
  <c r="C13" i="1"/>
  <c r="C12" i="1"/>
  <c r="C8" i="1"/>
  <c r="C9" i="1"/>
  <c r="C10" i="1"/>
  <c r="C11" i="1"/>
  <c r="H105" i="1" l="1"/>
  <c r="I105" i="1" s="1"/>
  <c r="M49" i="4"/>
  <c r="O49" i="4" s="1"/>
  <c r="P49" i="4" s="1"/>
  <c r="Q49" i="4" s="1"/>
  <c r="H108" i="1"/>
  <c r="I108" i="1" s="1"/>
  <c r="J110" i="4"/>
  <c r="K110" i="4" s="1"/>
  <c r="L110" i="4" s="1"/>
  <c r="J57" i="4"/>
  <c r="K57" i="4" s="1"/>
  <c r="L57" i="4" s="1"/>
  <c r="H111" i="1"/>
  <c r="I111" i="1" s="1"/>
  <c r="R111" i="1"/>
  <c r="S111" i="1" s="1"/>
  <c r="R120" i="1"/>
  <c r="S120" i="1" s="1"/>
  <c r="T127" i="10"/>
  <c r="W127" i="10"/>
  <c r="O61" i="7" s="1"/>
  <c r="T20" i="10"/>
  <c r="W20" i="10"/>
  <c r="C60" i="7" s="1"/>
  <c r="J59" i="4"/>
  <c r="K59" i="4" s="1"/>
  <c r="L59" i="4" s="1"/>
  <c r="H119" i="1"/>
  <c r="I119" i="1" s="1"/>
  <c r="R141" i="1"/>
  <c r="S141" i="1" s="1"/>
  <c r="AA3" i="10"/>
  <c r="I106" i="7"/>
  <c r="C107" i="7"/>
  <c r="D61" i="7"/>
  <c r="W3" i="10"/>
  <c r="J95" i="4"/>
  <c r="K95" i="4" s="1"/>
  <c r="L95" i="4" s="1"/>
  <c r="R137" i="1"/>
  <c r="S137" i="1" s="1"/>
  <c r="M99" i="1"/>
  <c r="N99" i="1" s="1"/>
  <c r="M127" i="1"/>
  <c r="N127" i="1" s="1"/>
  <c r="M142" i="1"/>
  <c r="N142" i="1" s="1"/>
  <c r="R129" i="1"/>
  <c r="S129" i="1" s="1"/>
  <c r="H127" i="1"/>
  <c r="I127" i="1" s="1"/>
  <c r="H121" i="1"/>
  <c r="I121" i="1" s="1"/>
  <c r="R122" i="1"/>
  <c r="S122" i="1" s="1"/>
  <c r="H124" i="1"/>
  <c r="I124" i="1" s="1"/>
  <c r="R125" i="1"/>
  <c r="S125" i="1" s="1"/>
  <c r="M131" i="1"/>
  <c r="N131" i="1" s="1"/>
  <c r="R127" i="1"/>
  <c r="S127" i="1" s="1"/>
  <c r="H125" i="1"/>
  <c r="I125" i="1" s="1"/>
  <c r="H131" i="1"/>
  <c r="I131" i="1" s="1"/>
  <c r="H136" i="1"/>
  <c r="I136" i="1" s="1"/>
  <c r="K77" i="4"/>
  <c r="L77" i="4" s="1"/>
  <c r="F12" i="4"/>
  <c r="G12" i="4" s="1"/>
  <c r="P15" i="4"/>
  <c r="Q15" i="4" s="1"/>
  <c r="F128" i="4"/>
  <c r="G128" i="4" s="1"/>
  <c r="F126" i="4"/>
  <c r="G126" i="4" s="1"/>
  <c r="F122" i="4"/>
  <c r="G122" i="4" s="1"/>
  <c r="K58" i="4"/>
  <c r="L58" i="4" s="1"/>
  <c r="F8" i="4"/>
  <c r="G8" i="4" s="1"/>
  <c r="P8" i="4"/>
  <c r="Q8" i="4" s="1"/>
  <c r="K9" i="4"/>
  <c r="L9" i="4" s="1"/>
  <c r="P10" i="4"/>
  <c r="Q10" i="4" s="1"/>
  <c r="F10" i="4"/>
  <c r="G10" i="4" s="1"/>
  <c r="K11" i="4"/>
  <c r="L11" i="4" s="1"/>
  <c r="L129" i="1"/>
  <c r="M129" i="1" s="1"/>
  <c r="N129" i="1" s="1"/>
  <c r="H128" i="1"/>
  <c r="I128" i="1" s="1"/>
  <c r="H126" i="1"/>
  <c r="I126" i="1" s="1"/>
  <c r="L123" i="1"/>
  <c r="M123" i="1" s="1"/>
  <c r="N123" i="1" s="1"/>
  <c r="L112" i="1"/>
  <c r="M112" i="1" s="1"/>
  <c r="N112" i="1" s="1"/>
  <c r="R118" i="1"/>
  <c r="S118" i="1" s="1"/>
  <c r="L130" i="1"/>
  <c r="M130" i="1" s="1"/>
  <c r="N130" i="1" s="1"/>
  <c r="M128" i="1"/>
  <c r="N128" i="1" s="1"/>
  <c r="L125" i="1"/>
  <c r="M125" i="1" s="1"/>
  <c r="N125" i="1" s="1"/>
  <c r="M117" i="1"/>
  <c r="N117" i="1" s="1"/>
  <c r="R130" i="1"/>
  <c r="S130" i="1" s="1"/>
  <c r="H123" i="1"/>
  <c r="I123" i="1" s="1"/>
  <c r="H130" i="1"/>
  <c r="I130" i="1" s="1"/>
  <c r="M136" i="1"/>
  <c r="N136" i="1" s="1"/>
  <c r="M138" i="1"/>
  <c r="N138" i="1" s="1"/>
  <c r="H117" i="1"/>
  <c r="I117" i="1" s="1"/>
  <c r="H120" i="1"/>
  <c r="I120" i="1" s="1"/>
  <c r="M126" i="1"/>
  <c r="N126" i="1" s="1"/>
  <c r="M124" i="1"/>
  <c r="N124" i="1" s="1"/>
  <c r="L108" i="1"/>
  <c r="M108" i="1" s="1"/>
  <c r="N108" i="1" s="1"/>
  <c r="R123" i="1"/>
  <c r="S123" i="1" s="1"/>
  <c r="R126" i="1"/>
  <c r="S126" i="1" s="1"/>
  <c r="O99" i="1"/>
  <c r="Q99" i="1" s="1"/>
  <c r="R99" i="1" s="1"/>
  <c r="S99" i="1" s="1"/>
  <c r="O117" i="1"/>
  <c r="Q117" i="1" s="1"/>
  <c r="R117" i="1" s="1"/>
  <c r="S117" i="1" s="1"/>
  <c r="H129" i="1"/>
  <c r="I129" i="1" s="1"/>
  <c r="R139" i="1"/>
  <c r="S139" i="1" s="1"/>
  <c r="O136" i="1"/>
  <c r="Q136" i="1" s="1"/>
  <c r="R136" i="1" s="1"/>
  <c r="S136" i="1" s="1"/>
  <c r="H118" i="1"/>
  <c r="I118" i="1" s="1"/>
  <c r="H122" i="1"/>
  <c r="I122" i="1" s="1"/>
  <c r="M97" i="1"/>
  <c r="N97" i="1" s="1"/>
  <c r="O128" i="1"/>
  <c r="Q128" i="1" s="1"/>
  <c r="R128" i="1" s="1"/>
  <c r="S128" i="1" s="1"/>
  <c r="K56" i="6"/>
  <c r="L56" i="6" s="1"/>
  <c r="P65" i="6"/>
  <c r="Q65" i="6" s="1"/>
  <c r="P128" i="4"/>
  <c r="Q128" i="4" s="1"/>
  <c r="K123" i="4"/>
  <c r="L123" i="4" s="1"/>
  <c r="K126" i="4"/>
  <c r="L126" i="4" s="1"/>
  <c r="O145" i="1"/>
  <c r="Q145" i="1" s="1"/>
  <c r="R145" i="1" s="1"/>
  <c r="S145" i="1" s="1"/>
  <c r="M140" i="1"/>
  <c r="N140" i="1" s="1"/>
  <c r="M58" i="4"/>
  <c r="O58" i="4" s="1"/>
  <c r="M13" i="4"/>
  <c r="O13" i="4" s="1"/>
  <c r="M106" i="4"/>
  <c r="O106" i="4" s="1"/>
  <c r="J16" i="4"/>
  <c r="Q130" i="4"/>
  <c r="Q86" i="4"/>
  <c r="G131" i="4"/>
  <c r="G124" i="4"/>
  <c r="J14" i="4"/>
  <c r="J53" i="4"/>
  <c r="G59" i="4"/>
  <c r="M82" i="4"/>
  <c r="O82" i="4" s="1"/>
  <c r="Q124" i="4"/>
  <c r="G120" i="4"/>
  <c r="L127" i="4"/>
  <c r="G130" i="4"/>
  <c r="J122" i="4"/>
  <c r="Q97" i="4"/>
  <c r="Q120" i="4"/>
  <c r="M126" i="4"/>
  <c r="O126" i="4" s="1"/>
  <c r="M9" i="4"/>
  <c r="O9" i="4" s="1"/>
  <c r="P9" i="4" s="1"/>
  <c r="Q9" i="4" s="1"/>
  <c r="J17" i="4"/>
  <c r="K17" i="4" s="1"/>
  <c r="L17" i="4" s="1"/>
  <c r="G86" i="4"/>
  <c r="J92" i="4"/>
  <c r="L121" i="4"/>
  <c r="M140" i="4"/>
  <c r="O140" i="4" s="1"/>
  <c r="L49" i="4"/>
  <c r="J51" i="4"/>
  <c r="G83" i="4"/>
  <c r="Q118" i="4"/>
  <c r="G127" i="4"/>
  <c r="L129" i="4"/>
  <c r="Q138" i="4"/>
  <c r="L98" i="4"/>
  <c r="L104" i="4"/>
  <c r="G97" i="4"/>
  <c r="G52" i="4"/>
  <c r="Q59" i="4"/>
  <c r="G84" i="4"/>
  <c r="J120" i="4"/>
  <c r="K120" i="4" s="1"/>
  <c r="L120" i="4" s="1"/>
  <c r="G125" i="4"/>
  <c r="J136" i="4"/>
  <c r="G57" i="4"/>
  <c r="J86" i="4"/>
  <c r="G111" i="4"/>
  <c r="G119" i="4"/>
  <c r="L125" i="4"/>
  <c r="J138" i="4"/>
  <c r="M11" i="4"/>
  <c r="O11" i="4" s="1"/>
  <c r="G17" i="4"/>
  <c r="M108" i="4"/>
  <c r="O108" i="4" s="1"/>
  <c r="P108" i="4" s="1"/>
  <c r="Q108" i="4" s="1"/>
  <c r="L119" i="4"/>
  <c r="J128" i="4"/>
  <c r="J142" i="4"/>
  <c r="G145" i="4"/>
  <c r="L140" i="4"/>
  <c r="Q57" i="4"/>
  <c r="L131" i="4"/>
  <c r="L83" i="4"/>
  <c r="Q122" i="4"/>
  <c r="J145" i="4"/>
  <c r="K145" i="4" s="1"/>
  <c r="L145" i="4" s="1"/>
  <c r="G15" i="4"/>
  <c r="G58" i="4"/>
  <c r="J79" i="4"/>
  <c r="M104" i="4"/>
  <c r="O104" i="4" s="1"/>
  <c r="G117" i="4"/>
  <c r="J118" i="4"/>
  <c r="J124" i="4"/>
  <c r="J130" i="4"/>
  <c r="L13" i="4"/>
  <c r="Q111" i="4"/>
  <c r="J7" i="4"/>
  <c r="G121" i="4"/>
  <c r="G18" i="4"/>
  <c r="G77" i="4"/>
  <c r="L117" i="4"/>
  <c r="G129" i="4"/>
  <c r="G136" i="4"/>
  <c r="L96" i="4"/>
  <c r="Q52" i="4"/>
  <c r="G19" i="4"/>
  <c r="M215" i="6"/>
  <c r="O215" i="6" s="1"/>
  <c r="P215" i="6" s="1"/>
  <c r="Q215" i="6" s="1"/>
  <c r="L215" i="6"/>
  <c r="L213" i="6"/>
  <c r="M219" i="6"/>
  <c r="O219" i="6" s="1"/>
  <c r="P219" i="6" s="1"/>
  <c r="Q219" i="6" s="1"/>
  <c r="L53" i="6"/>
  <c r="M217" i="6"/>
  <c r="O217" i="6" s="1"/>
  <c r="Q220" i="6"/>
  <c r="L69" i="6"/>
  <c r="Q218" i="6"/>
  <c r="M56" i="6"/>
  <c r="O56" i="6" s="1"/>
  <c r="L62" i="6"/>
  <c r="M213" i="6"/>
  <c r="O213" i="6" s="1"/>
  <c r="Q216" i="6"/>
  <c r="Q214" i="6"/>
  <c r="Q212" i="6"/>
  <c r="L219" i="6"/>
  <c r="L217" i="6"/>
  <c r="J212" i="6"/>
  <c r="J214" i="6"/>
  <c r="J216" i="6"/>
  <c r="J218" i="6"/>
  <c r="J220" i="6"/>
  <c r="G213" i="6"/>
  <c r="G215" i="6"/>
  <c r="G217" i="6"/>
  <c r="G219" i="6"/>
  <c r="G212" i="6"/>
  <c r="G214" i="6"/>
  <c r="G216" i="6"/>
  <c r="G218" i="6"/>
  <c r="G220" i="6"/>
  <c r="J112" i="4"/>
  <c r="G109" i="4"/>
  <c r="G107" i="4"/>
  <c r="Q107" i="4"/>
  <c r="G105" i="4"/>
  <c r="Q105" i="4"/>
  <c r="Q80" i="4"/>
  <c r="Q79" i="4"/>
  <c r="G79" i="4"/>
  <c r="J85" i="4"/>
  <c r="G95" i="4"/>
  <c r="Q95" i="4"/>
  <c r="L94" i="4"/>
  <c r="Q93" i="4"/>
  <c r="J55" i="4"/>
  <c r="G56" i="4"/>
  <c r="G54" i="4"/>
  <c r="G53" i="4"/>
  <c r="Q51" i="4"/>
  <c r="G51" i="4"/>
  <c r="G50" i="4"/>
  <c r="G48" i="4"/>
  <c r="Q48" i="4"/>
  <c r="G26" i="4"/>
  <c r="L26" i="4"/>
  <c r="L23" i="4"/>
  <c r="G13" i="4"/>
  <c r="Q12" i="4"/>
  <c r="R108" i="1"/>
  <c r="S108" i="1" s="1"/>
  <c r="G112" i="6"/>
  <c r="M68" i="6"/>
  <c r="O68" i="6" s="1"/>
  <c r="G324" i="6"/>
  <c r="G110" i="6"/>
  <c r="L54" i="6"/>
  <c r="L61" i="6"/>
  <c r="L70" i="6"/>
  <c r="M52" i="6"/>
  <c r="O52" i="6" s="1"/>
  <c r="M62" i="6"/>
  <c r="O62" i="6" s="1"/>
  <c r="L60" i="6"/>
  <c r="M66" i="6"/>
  <c r="O66" i="6" s="1"/>
  <c r="Q51" i="6"/>
  <c r="L55" i="6"/>
  <c r="L58" i="6"/>
  <c r="M64" i="6"/>
  <c r="O64" i="6" s="1"/>
  <c r="Q67" i="6"/>
  <c r="M60" i="6"/>
  <c r="O60" i="6" s="1"/>
  <c r="Q118" i="6"/>
  <c r="M58" i="6"/>
  <c r="O58" i="6" s="1"/>
  <c r="L63" i="6"/>
  <c r="G340" i="6"/>
  <c r="G360" i="6"/>
  <c r="M54" i="6"/>
  <c r="O54" i="6" s="1"/>
  <c r="M70" i="6"/>
  <c r="O70" i="6" s="1"/>
  <c r="P70" i="6" s="1"/>
  <c r="Q70" i="6" s="1"/>
  <c r="L52" i="6"/>
  <c r="L68" i="6"/>
  <c r="Q59" i="6"/>
  <c r="L66" i="6"/>
  <c r="Q57" i="6"/>
  <c r="L64" i="6"/>
  <c r="J51" i="6"/>
  <c r="J65" i="6"/>
  <c r="J67" i="6"/>
  <c r="G60" i="6"/>
  <c r="G62" i="6"/>
  <c r="G64" i="6"/>
  <c r="G66" i="6"/>
  <c r="G68" i="6"/>
  <c r="J57" i="6"/>
  <c r="J59" i="6"/>
  <c r="G54" i="6"/>
  <c r="M53" i="6"/>
  <c r="O53" i="6" s="1"/>
  <c r="M55" i="6"/>
  <c r="O55" i="6" s="1"/>
  <c r="M61" i="6"/>
  <c r="O61" i="6" s="1"/>
  <c r="M63" i="6"/>
  <c r="O63" i="6" s="1"/>
  <c r="M69" i="6"/>
  <c r="O69" i="6" s="1"/>
  <c r="G56" i="6"/>
  <c r="G58" i="6"/>
  <c r="G52" i="6"/>
  <c r="G70" i="6"/>
  <c r="G51" i="6"/>
  <c r="G53" i="6"/>
  <c r="G55" i="6"/>
  <c r="G57" i="6"/>
  <c r="G59" i="6"/>
  <c r="G61" i="6"/>
  <c r="G63" i="6"/>
  <c r="G65" i="6"/>
  <c r="G67" i="6"/>
  <c r="G69" i="6"/>
  <c r="Q108" i="6"/>
  <c r="G358" i="6"/>
  <c r="Q315" i="6"/>
  <c r="G351" i="6"/>
  <c r="G22" i="6"/>
  <c r="G368" i="6"/>
  <c r="Q198" i="6"/>
  <c r="G311" i="6"/>
  <c r="G206" i="6"/>
  <c r="L372" i="6"/>
  <c r="J108" i="6"/>
  <c r="Q116" i="6"/>
  <c r="G16" i="6"/>
  <c r="G202" i="6"/>
  <c r="G104" i="6"/>
  <c r="Q109" i="6"/>
  <c r="G114" i="6"/>
  <c r="L14" i="6"/>
  <c r="Q358" i="6"/>
  <c r="G207" i="6"/>
  <c r="Q196" i="6"/>
  <c r="M106" i="6"/>
  <c r="O106" i="6" s="1"/>
  <c r="J26" i="6"/>
  <c r="G338" i="6"/>
  <c r="G308" i="6"/>
  <c r="J202" i="6"/>
  <c r="G108" i="6"/>
  <c r="G337" i="6"/>
  <c r="G310" i="6"/>
  <c r="G370" i="6"/>
  <c r="Q111" i="6"/>
  <c r="M349" i="6"/>
  <c r="O349" i="6" s="1"/>
  <c r="M359" i="6"/>
  <c r="O359" i="6" s="1"/>
  <c r="L371" i="6"/>
  <c r="G197" i="6"/>
  <c r="M112" i="6"/>
  <c r="O112" i="6" s="1"/>
  <c r="L24" i="6"/>
  <c r="G315" i="6"/>
  <c r="Q337" i="6"/>
  <c r="G343" i="6"/>
  <c r="M353" i="6"/>
  <c r="O353" i="6" s="1"/>
  <c r="G359" i="6"/>
  <c r="J309" i="6"/>
  <c r="G203" i="6"/>
  <c r="Q103" i="6"/>
  <c r="M104" i="6"/>
  <c r="O104" i="6" s="1"/>
  <c r="L114" i="6"/>
  <c r="L357" i="6"/>
  <c r="G118" i="6"/>
  <c r="M7" i="6"/>
  <c r="O7" i="6" s="1"/>
  <c r="G13" i="6"/>
  <c r="G376" i="6"/>
  <c r="M203" i="6"/>
  <c r="O203" i="6" s="1"/>
  <c r="M114" i="6"/>
  <c r="O114" i="6" s="1"/>
  <c r="J116" i="6"/>
  <c r="G17" i="6"/>
  <c r="Q326" i="6"/>
  <c r="G362" i="6"/>
  <c r="L104" i="6"/>
  <c r="M110" i="6"/>
  <c r="O110" i="6" s="1"/>
  <c r="L106" i="6"/>
  <c r="Q348" i="6"/>
  <c r="G106" i="6"/>
  <c r="L110" i="6"/>
  <c r="J118" i="6"/>
  <c r="G309" i="6"/>
  <c r="G116" i="6"/>
  <c r="Q207" i="6"/>
  <c r="G201" i="6"/>
  <c r="L112" i="6"/>
  <c r="Q105" i="6"/>
  <c r="Q107" i="6"/>
  <c r="Q113" i="6"/>
  <c r="Q115" i="6"/>
  <c r="Q117" i="6"/>
  <c r="J103" i="6"/>
  <c r="J105" i="6"/>
  <c r="J107" i="6"/>
  <c r="J109" i="6"/>
  <c r="J111" i="6"/>
  <c r="J113" i="6"/>
  <c r="J115" i="6"/>
  <c r="J117" i="6"/>
  <c r="G103" i="6"/>
  <c r="G105" i="6"/>
  <c r="G107" i="6"/>
  <c r="G109" i="6"/>
  <c r="G111" i="6"/>
  <c r="G113" i="6"/>
  <c r="G115" i="6"/>
  <c r="G117" i="6"/>
  <c r="Q328" i="6"/>
  <c r="M336" i="6"/>
  <c r="O336" i="6" s="1"/>
  <c r="G348" i="6"/>
  <c r="G352" i="6"/>
  <c r="J358" i="6"/>
  <c r="Q352" i="6"/>
  <c r="G357" i="6"/>
  <c r="M371" i="6"/>
  <c r="O371" i="6" s="1"/>
  <c r="J207" i="6"/>
  <c r="Q202" i="6"/>
  <c r="J198" i="6"/>
  <c r="M357" i="6"/>
  <c r="O357" i="6" s="1"/>
  <c r="G21" i="6"/>
  <c r="M23" i="6"/>
  <c r="O23" i="6" s="1"/>
  <c r="J326" i="6"/>
  <c r="M355" i="6"/>
  <c r="O355" i="6" s="1"/>
  <c r="M199" i="6"/>
  <c r="O199" i="6" s="1"/>
  <c r="G196" i="6"/>
  <c r="G335" i="6"/>
  <c r="L21" i="6"/>
  <c r="Q311" i="6"/>
  <c r="G373" i="6"/>
  <c r="M197" i="6"/>
  <c r="O197" i="6" s="1"/>
  <c r="J328" i="6"/>
  <c r="G14" i="6"/>
  <c r="G19" i="6"/>
  <c r="G312" i="6"/>
  <c r="L343" i="6"/>
  <c r="Q351" i="6"/>
  <c r="G371" i="6"/>
  <c r="Q376" i="6"/>
  <c r="J206" i="6"/>
  <c r="J204" i="6"/>
  <c r="G85" i="6"/>
  <c r="M24" i="6"/>
  <c r="O24" i="6" s="1"/>
  <c r="G314" i="6"/>
  <c r="J76" i="6"/>
  <c r="J84" i="6"/>
  <c r="L329" i="6"/>
  <c r="M335" i="6"/>
  <c r="O335" i="6" s="1"/>
  <c r="G350" i="6"/>
  <c r="G354" i="6"/>
  <c r="G356" i="6"/>
  <c r="G367" i="6"/>
  <c r="J376" i="6"/>
  <c r="M78" i="6"/>
  <c r="O78" i="6" s="1"/>
  <c r="G18" i="6"/>
  <c r="M20" i="6"/>
  <c r="O20" i="6" s="1"/>
  <c r="G25" i="6"/>
  <c r="M329" i="6"/>
  <c r="O329" i="6" s="1"/>
  <c r="Q342" i="6"/>
  <c r="M343" i="6"/>
  <c r="O343" i="6" s="1"/>
  <c r="Q350" i="6"/>
  <c r="J351" i="6"/>
  <c r="Q356" i="6"/>
  <c r="J361" i="6"/>
  <c r="Q367" i="6"/>
  <c r="M368" i="6"/>
  <c r="O368" i="6" s="1"/>
  <c r="L201" i="6"/>
  <c r="M8" i="6"/>
  <c r="O8" i="6" s="1"/>
  <c r="Q18" i="6"/>
  <c r="G316" i="6"/>
  <c r="G326" i="6"/>
  <c r="G328" i="6"/>
  <c r="J342" i="6"/>
  <c r="J350" i="6"/>
  <c r="L359" i="6"/>
  <c r="J367" i="6"/>
  <c r="L308" i="6"/>
  <c r="M205" i="6"/>
  <c r="O205" i="6" s="1"/>
  <c r="Q204" i="6"/>
  <c r="G198" i="6"/>
  <c r="G75" i="6"/>
  <c r="G77" i="6"/>
  <c r="G79" i="6"/>
  <c r="G81" i="6"/>
  <c r="G83" i="6"/>
  <c r="L199" i="6"/>
  <c r="L205" i="6"/>
  <c r="J82" i="6"/>
  <c r="L16" i="6"/>
  <c r="Q340" i="6"/>
  <c r="L349" i="6"/>
  <c r="G372" i="6"/>
  <c r="G204" i="6"/>
  <c r="J200" i="6"/>
  <c r="L197" i="6"/>
  <c r="L75" i="6"/>
  <c r="L77" i="6"/>
  <c r="L79" i="6"/>
  <c r="Q81" i="6"/>
  <c r="Q83" i="6"/>
  <c r="M308" i="6"/>
  <c r="O308" i="6" s="1"/>
  <c r="L203" i="6"/>
  <c r="M201" i="6"/>
  <c r="O201" i="6" s="1"/>
  <c r="Q200" i="6"/>
  <c r="G199" i="6"/>
  <c r="L78" i="6"/>
  <c r="J80" i="6"/>
  <c r="Q13" i="6"/>
  <c r="L19" i="6"/>
  <c r="G24" i="6"/>
  <c r="J315" i="6"/>
  <c r="M316" i="6"/>
  <c r="O316" i="6" s="1"/>
  <c r="J348" i="6"/>
  <c r="Q360" i="6"/>
  <c r="M369" i="6"/>
  <c r="O369" i="6" s="1"/>
  <c r="M372" i="6"/>
  <c r="O372" i="6" s="1"/>
  <c r="Q309" i="6"/>
  <c r="Q206" i="6"/>
  <c r="G205" i="6"/>
  <c r="G200" i="6"/>
  <c r="J196" i="6"/>
  <c r="Q85" i="6"/>
  <c r="J81" i="6"/>
  <c r="J83" i="6"/>
  <c r="J85" i="6"/>
  <c r="G76" i="6"/>
  <c r="Q76" i="6"/>
  <c r="G78" i="6"/>
  <c r="G80" i="6"/>
  <c r="Q80" i="6"/>
  <c r="G82" i="6"/>
  <c r="Q82" i="6"/>
  <c r="G84" i="6"/>
  <c r="Q84" i="6"/>
  <c r="M75" i="6"/>
  <c r="O75" i="6" s="1"/>
  <c r="M77" i="6"/>
  <c r="O77" i="6" s="1"/>
  <c r="M79" i="6"/>
  <c r="O79" i="6" s="1"/>
  <c r="J337" i="6"/>
  <c r="L338" i="6"/>
  <c r="J339" i="6"/>
  <c r="M338" i="6"/>
  <c r="O338" i="6" s="1"/>
  <c r="J323" i="6"/>
  <c r="M324" i="6"/>
  <c r="O324" i="6" s="1"/>
  <c r="L327" i="6"/>
  <c r="M327" i="6"/>
  <c r="O327" i="6" s="1"/>
  <c r="J311" i="6"/>
  <c r="M312" i="6"/>
  <c r="O312" i="6" s="1"/>
  <c r="L312" i="6"/>
  <c r="Q15" i="6"/>
  <c r="M17" i="6"/>
  <c r="O17" i="6" s="1"/>
  <c r="J11" i="6"/>
  <c r="M22" i="6"/>
  <c r="O22" i="6" s="1"/>
  <c r="J13" i="6"/>
  <c r="M9" i="6"/>
  <c r="O9" i="6" s="1"/>
  <c r="M16" i="6"/>
  <c r="O16" i="6" s="1"/>
  <c r="M21" i="6"/>
  <c r="O21" i="6" s="1"/>
  <c r="L23" i="6"/>
  <c r="M19" i="6"/>
  <c r="O19" i="6" s="1"/>
  <c r="G26" i="6"/>
  <c r="Q11" i="6"/>
  <c r="G11" i="6"/>
  <c r="J314" i="6"/>
  <c r="M314" i="6"/>
  <c r="O314" i="6" s="1"/>
  <c r="M341" i="6"/>
  <c r="O341" i="6" s="1"/>
  <c r="J341" i="6"/>
  <c r="L10" i="6"/>
  <c r="G10" i="6"/>
  <c r="M12" i="6"/>
  <c r="O12" i="6" s="1"/>
  <c r="J12" i="6"/>
  <c r="G313" i="6"/>
  <c r="L313" i="6"/>
  <c r="L330" i="6"/>
  <c r="G330" i="6"/>
  <c r="G339" i="6"/>
  <c r="M14" i="6"/>
  <c r="O14" i="6" s="1"/>
  <c r="M25" i="6"/>
  <c r="O25" i="6" s="1"/>
  <c r="Q26" i="6"/>
  <c r="L317" i="6"/>
  <c r="G317" i="6"/>
  <c r="M322" i="6"/>
  <c r="O322" i="6" s="1"/>
  <c r="J322" i="6"/>
  <c r="Q325" i="6"/>
  <c r="G325" i="6"/>
  <c r="G342" i="6"/>
  <c r="G353" i="6"/>
  <c r="L353" i="6"/>
  <c r="M373" i="6"/>
  <c r="O373" i="6" s="1"/>
  <c r="J373" i="6"/>
  <c r="G9" i="6"/>
  <c r="L9" i="6"/>
  <c r="M10" i="6"/>
  <c r="O10" i="6" s="1"/>
  <c r="J18" i="6"/>
  <c r="M313" i="6"/>
  <c r="O313" i="6" s="1"/>
  <c r="J325" i="6"/>
  <c r="G341" i="6"/>
  <c r="G355" i="6"/>
  <c r="L355" i="6"/>
  <c r="M354" i="6"/>
  <c r="O354" i="6" s="1"/>
  <c r="J354" i="6"/>
  <c r="Q361" i="6"/>
  <c r="G361" i="6"/>
  <c r="M330" i="6"/>
  <c r="O330" i="6" s="1"/>
  <c r="G7" i="6"/>
  <c r="L7" i="6"/>
  <c r="G12" i="6"/>
  <c r="J15" i="6"/>
  <c r="L22" i="6"/>
  <c r="G23" i="6"/>
  <c r="L25" i="6"/>
  <c r="L310" i="6"/>
  <c r="M317" i="6"/>
  <c r="O317" i="6" s="1"/>
  <c r="G336" i="6"/>
  <c r="L336" i="6"/>
  <c r="Q339" i="6"/>
  <c r="J356" i="6"/>
  <c r="G15" i="6"/>
  <c r="L8" i="6"/>
  <c r="G8" i="6"/>
  <c r="Q323" i="6"/>
  <c r="G323" i="6"/>
  <c r="M362" i="6"/>
  <c r="O362" i="6" s="1"/>
  <c r="J362" i="6"/>
  <c r="G20" i="6"/>
  <c r="L20" i="6"/>
  <c r="G322" i="6"/>
  <c r="L335" i="6"/>
  <c r="L369" i="6"/>
  <c r="G369" i="6"/>
  <c r="L370" i="6"/>
  <c r="L17" i="6"/>
  <c r="M310" i="6"/>
  <c r="O310" i="6" s="1"/>
  <c r="L316" i="6"/>
  <c r="G329" i="6"/>
  <c r="J340" i="6"/>
  <c r="J360" i="6"/>
  <c r="L368" i="6"/>
  <c r="M370" i="6"/>
  <c r="O370" i="6" s="1"/>
  <c r="L324" i="6"/>
  <c r="G327" i="6"/>
  <c r="J352" i="6"/>
  <c r="L108" i="4"/>
  <c r="J107" i="4"/>
  <c r="J97" i="4"/>
  <c r="J84" i="4"/>
  <c r="M83" i="4"/>
  <c r="O83" i="4" s="1"/>
  <c r="G80" i="4"/>
  <c r="J52" i="4"/>
  <c r="M26" i="4"/>
  <c r="O26" i="4" s="1"/>
  <c r="G24" i="4"/>
  <c r="J20" i="4"/>
  <c r="M19" i="4"/>
  <c r="O19" i="4" s="1"/>
  <c r="Q18" i="4"/>
  <c r="J18" i="4"/>
  <c r="J15" i="4"/>
  <c r="J12" i="4"/>
  <c r="Q16" i="4"/>
  <c r="G22" i="4"/>
  <c r="Q7" i="4"/>
  <c r="G7" i="4"/>
  <c r="G25" i="4"/>
  <c r="M54" i="4"/>
  <c r="O54" i="4" s="1"/>
  <c r="J54" i="4"/>
  <c r="M78" i="4"/>
  <c r="O78" i="4" s="1"/>
  <c r="J78" i="4"/>
  <c r="J10" i="4"/>
  <c r="G16" i="4"/>
  <c r="G49" i="4"/>
  <c r="G138" i="4"/>
  <c r="M139" i="4"/>
  <c r="O139" i="4" s="1"/>
  <c r="J139" i="4"/>
  <c r="G11" i="4"/>
  <c r="G20" i="4"/>
  <c r="Q20" i="4"/>
  <c r="Q22" i="4"/>
  <c r="Q53" i="4"/>
  <c r="M56" i="4"/>
  <c r="O56" i="4" s="1"/>
  <c r="J56" i="4"/>
  <c r="M77" i="4"/>
  <c r="O77" i="4" s="1"/>
  <c r="M109" i="4"/>
  <c r="O109" i="4" s="1"/>
  <c r="J109" i="4"/>
  <c r="G14" i="4"/>
  <c r="Q14" i="4"/>
  <c r="Q55" i="4"/>
  <c r="G55" i="4"/>
  <c r="G82" i="4"/>
  <c r="L82" i="4"/>
  <c r="M21" i="4"/>
  <c r="O21" i="4" s="1"/>
  <c r="J21" i="4"/>
  <c r="G23" i="4"/>
  <c r="L81" i="4"/>
  <c r="G81" i="4"/>
  <c r="M25" i="4"/>
  <c r="O25" i="4" s="1"/>
  <c r="J25" i="4"/>
  <c r="M50" i="4"/>
  <c r="O50" i="4" s="1"/>
  <c r="J50" i="4"/>
  <c r="G106" i="4"/>
  <c r="L106" i="4"/>
  <c r="J8" i="4"/>
  <c r="G93" i="4"/>
  <c r="G9" i="4"/>
  <c r="L19" i="4"/>
  <c r="M24" i="4"/>
  <c r="O24" i="4" s="1"/>
  <c r="J24" i="4"/>
  <c r="M141" i="4"/>
  <c r="O141" i="4" s="1"/>
  <c r="J141" i="4"/>
  <c r="M23" i="4"/>
  <c r="O23" i="4" s="1"/>
  <c r="J80" i="4"/>
  <c r="Q84" i="4"/>
  <c r="J91" i="4"/>
  <c r="G94" i="4"/>
  <c r="G96" i="4"/>
  <c r="G98" i="4"/>
  <c r="Q99" i="4"/>
  <c r="G99" i="4"/>
  <c r="G104" i="4"/>
  <c r="Q112" i="4"/>
  <c r="G112" i="4"/>
  <c r="Q136" i="4"/>
  <c r="Q17" i="4"/>
  <c r="J22" i="4"/>
  <c r="J48" i="4"/>
  <c r="Q85" i="4"/>
  <c r="Q91" i="4"/>
  <c r="J93" i="4"/>
  <c r="J99" i="4"/>
  <c r="J105" i="4"/>
  <c r="Q142" i="4"/>
  <c r="G108" i="4"/>
  <c r="G140" i="4"/>
  <c r="Q145" i="4"/>
  <c r="Q110" i="4"/>
  <c r="G110" i="4"/>
  <c r="M81" i="4"/>
  <c r="O81" i="4" s="1"/>
  <c r="G91" i="4"/>
  <c r="Q92" i="4"/>
  <c r="G92" i="4"/>
  <c r="M94" i="4"/>
  <c r="O94" i="4" s="1"/>
  <c r="M96" i="4"/>
  <c r="O96" i="4" s="1"/>
  <c r="M98" i="4"/>
  <c r="O98" i="4" s="1"/>
  <c r="J111" i="4"/>
  <c r="M137" i="4"/>
  <c r="O137" i="4" s="1"/>
  <c r="J137" i="4"/>
  <c r="G142" i="4"/>
  <c r="M117" i="4"/>
  <c r="O117" i="4" s="1"/>
  <c r="M119" i="4"/>
  <c r="O119" i="4" s="1"/>
  <c r="M121" i="4"/>
  <c r="O121" i="4" s="1"/>
  <c r="M123" i="4"/>
  <c r="O123" i="4" s="1"/>
  <c r="M125" i="4"/>
  <c r="O125" i="4" s="1"/>
  <c r="M127" i="4"/>
  <c r="O127" i="4" s="1"/>
  <c r="M129" i="4"/>
  <c r="O129" i="4" s="1"/>
  <c r="M131" i="4"/>
  <c r="O131" i="4" s="1"/>
  <c r="G137" i="4"/>
  <c r="G139" i="4"/>
  <c r="G141" i="4"/>
  <c r="O124" i="1"/>
  <c r="Q124" i="1" s="1"/>
  <c r="R124" i="1" s="1"/>
  <c r="S124" i="1" s="1"/>
  <c r="O131" i="1"/>
  <c r="Q131" i="1" s="1"/>
  <c r="R131" i="1" s="1"/>
  <c r="S131" i="1" s="1"/>
  <c r="R121" i="1"/>
  <c r="S121" i="1" s="1"/>
  <c r="R119" i="1"/>
  <c r="S119" i="1" s="1"/>
  <c r="H140" i="1"/>
  <c r="I140" i="1" s="1"/>
  <c r="L119" i="1"/>
  <c r="M119" i="1" s="1"/>
  <c r="N119" i="1" s="1"/>
  <c r="L121" i="1"/>
  <c r="M121" i="1" s="1"/>
  <c r="N121" i="1" s="1"/>
  <c r="L118" i="1"/>
  <c r="M118" i="1" s="1"/>
  <c r="N118" i="1" s="1"/>
  <c r="L120" i="1"/>
  <c r="M120" i="1" s="1"/>
  <c r="N120" i="1" s="1"/>
  <c r="L122" i="1"/>
  <c r="M122" i="1" s="1"/>
  <c r="N122" i="1" s="1"/>
  <c r="H106" i="1"/>
  <c r="I106" i="1" s="1"/>
  <c r="R106" i="1"/>
  <c r="S106" i="1" s="1"/>
  <c r="H138" i="1"/>
  <c r="I138" i="1" s="1"/>
  <c r="H145" i="1"/>
  <c r="I145" i="1" s="1"/>
  <c r="H142" i="1"/>
  <c r="I142" i="1" s="1"/>
  <c r="R104" i="1"/>
  <c r="S104" i="1" s="1"/>
  <c r="H109" i="1"/>
  <c r="I109" i="1" s="1"/>
  <c r="H110" i="1"/>
  <c r="I110" i="1" s="1"/>
  <c r="H112" i="1"/>
  <c r="I112" i="1" s="1"/>
  <c r="O138" i="1"/>
  <c r="Q138" i="1" s="1"/>
  <c r="R138" i="1" s="1"/>
  <c r="S138" i="1" s="1"/>
  <c r="O140" i="1"/>
  <c r="Q140" i="1" s="1"/>
  <c r="R140" i="1" s="1"/>
  <c r="S140" i="1" s="1"/>
  <c r="O142" i="1"/>
  <c r="Q142" i="1" s="1"/>
  <c r="R142" i="1" s="1"/>
  <c r="S142" i="1" s="1"/>
  <c r="L137" i="1"/>
  <c r="M137" i="1" s="1"/>
  <c r="N137" i="1" s="1"/>
  <c r="L139" i="1"/>
  <c r="M139" i="1" s="1"/>
  <c r="N139" i="1" s="1"/>
  <c r="L141" i="1"/>
  <c r="M141" i="1" s="1"/>
  <c r="N141" i="1" s="1"/>
  <c r="H137" i="1"/>
  <c r="I137" i="1" s="1"/>
  <c r="H139" i="1"/>
  <c r="I139" i="1" s="1"/>
  <c r="H141" i="1"/>
  <c r="I141" i="1" s="1"/>
  <c r="H104" i="1"/>
  <c r="I104" i="1" s="1"/>
  <c r="O110" i="1"/>
  <c r="Q110" i="1" s="1"/>
  <c r="R110" i="1" s="1"/>
  <c r="S110" i="1" s="1"/>
  <c r="O91" i="1"/>
  <c r="Q91" i="1" s="1"/>
  <c r="R91" i="1" s="1"/>
  <c r="S91" i="1" s="1"/>
  <c r="R92" i="1"/>
  <c r="S92" i="1" s="1"/>
  <c r="H107" i="1"/>
  <c r="I107" i="1" s="1"/>
  <c r="R107" i="1"/>
  <c r="S107" i="1" s="1"/>
  <c r="O97" i="1"/>
  <c r="Q97" i="1" s="1"/>
  <c r="R97" i="1" s="1"/>
  <c r="S97" i="1" s="1"/>
  <c r="R98" i="1"/>
  <c r="S98" i="1" s="1"/>
  <c r="R105" i="1"/>
  <c r="S105" i="1" s="1"/>
  <c r="R80" i="1"/>
  <c r="S80" i="1" s="1"/>
  <c r="M91" i="1"/>
  <c r="N91" i="1" s="1"/>
  <c r="R109" i="1"/>
  <c r="S109" i="1" s="1"/>
  <c r="M110" i="1"/>
  <c r="N110" i="1" s="1"/>
  <c r="R112" i="1"/>
  <c r="S112" i="1" s="1"/>
  <c r="L107" i="1"/>
  <c r="M107" i="1" s="1"/>
  <c r="N107" i="1" s="1"/>
  <c r="L105" i="1"/>
  <c r="M105" i="1" s="1"/>
  <c r="N105" i="1" s="1"/>
  <c r="L104" i="1"/>
  <c r="M104" i="1" s="1"/>
  <c r="N104" i="1" s="1"/>
  <c r="L106" i="1"/>
  <c r="M106" i="1" s="1"/>
  <c r="N106" i="1" s="1"/>
  <c r="L109" i="1"/>
  <c r="M109" i="1" s="1"/>
  <c r="N109" i="1" s="1"/>
  <c r="L111" i="1"/>
  <c r="M111" i="1" s="1"/>
  <c r="N111" i="1" s="1"/>
  <c r="O95" i="1"/>
  <c r="Q95" i="1" s="1"/>
  <c r="R95" i="1" s="1"/>
  <c r="S95" i="1" s="1"/>
  <c r="O93" i="1"/>
  <c r="Q93" i="1" s="1"/>
  <c r="R93" i="1" s="1"/>
  <c r="S93" i="1" s="1"/>
  <c r="R96" i="1"/>
  <c r="S96" i="1" s="1"/>
  <c r="R94" i="1"/>
  <c r="S94" i="1" s="1"/>
  <c r="M95" i="1"/>
  <c r="N95" i="1" s="1"/>
  <c r="M93" i="1"/>
  <c r="N93" i="1" s="1"/>
  <c r="L92" i="1"/>
  <c r="M92" i="1" s="1"/>
  <c r="N92" i="1" s="1"/>
  <c r="L94" i="1"/>
  <c r="M94" i="1" s="1"/>
  <c r="N94" i="1" s="1"/>
  <c r="L96" i="1"/>
  <c r="M96" i="1" s="1"/>
  <c r="N96" i="1" s="1"/>
  <c r="L98" i="1"/>
  <c r="M98" i="1" s="1"/>
  <c r="N98" i="1" s="1"/>
  <c r="H91" i="1"/>
  <c r="I91" i="1" s="1"/>
  <c r="H93" i="1"/>
  <c r="I93" i="1" s="1"/>
  <c r="H95" i="1"/>
  <c r="I95" i="1" s="1"/>
  <c r="H97" i="1"/>
  <c r="I97" i="1" s="1"/>
  <c r="H99" i="1"/>
  <c r="I99" i="1" s="1"/>
  <c r="H92" i="1"/>
  <c r="I92" i="1" s="1"/>
  <c r="H94" i="1"/>
  <c r="I94" i="1" s="1"/>
  <c r="H96" i="1"/>
  <c r="I96" i="1" s="1"/>
  <c r="H98" i="1"/>
  <c r="I98" i="1" s="1"/>
  <c r="R86" i="1"/>
  <c r="S86" i="1" s="1"/>
  <c r="M78" i="1"/>
  <c r="N78" i="1" s="1"/>
  <c r="O78" i="1"/>
  <c r="Q78" i="1" s="1"/>
  <c r="R78" i="1" s="1"/>
  <c r="S78" i="1" s="1"/>
  <c r="M83" i="1"/>
  <c r="N83" i="1" s="1"/>
  <c r="R77" i="1"/>
  <c r="S77" i="1" s="1"/>
  <c r="O79" i="1"/>
  <c r="Q79" i="1" s="1"/>
  <c r="R79" i="1" s="1"/>
  <c r="S79" i="1" s="1"/>
  <c r="M81" i="1"/>
  <c r="N81" i="1" s="1"/>
  <c r="M79" i="1"/>
  <c r="N79" i="1" s="1"/>
  <c r="R84" i="1"/>
  <c r="S84" i="1" s="1"/>
  <c r="R82" i="1"/>
  <c r="S82" i="1" s="1"/>
  <c r="M85" i="1"/>
  <c r="N85" i="1" s="1"/>
  <c r="O81" i="1"/>
  <c r="Q81" i="1" s="1"/>
  <c r="R81" i="1" s="1"/>
  <c r="S81" i="1" s="1"/>
  <c r="O83" i="1"/>
  <c r="Q83" i="1" s="1"/>
  <c r="R83" i="1" s="1"/>
  <c r="S83" i="1" s="1"/>
  <c r="O85" i="1"/>
  <c r="Q85" i="1" s="1"/>
  <c r="R85" i="1" s="1"/>
  <c r="S85" i="1" s="1"/>
  <c r="L77" i="1"/>
  <c r="M77" i="1" s="1"/>
  <c r="N77" i="1" s="1"/>
  <c r="L80" i="1"/>
  <c r="M80" i="1" s="1"/>
  <c r="N80" i="1" s="1"/>
  <c r="L82" i="1"/>
  <c r="M82" i="1" s="1"/>
  <c r="N82" i="1" s="1"/>
  <c r="L84" i="1"/>
  <c r="M84" i="1" s="1"/>
  <c r="N84" i="1" s="1"/>
  <c r="L86" i="1"/>
  <c r="M86" i="1" s="1"/>
  <c r="N86" i="1" s="1"/>
  <c r="H78" i="1"/>
  <c r="I78" i="1" s="1"/>
  <c r="H79" i="1"/>
  <c r="I79" i="1" s="1"/>
  <c r="H81" i="1"/>
  <c r="I81" i="1" s="1"/>
  <c r="H83" i="1"/>
  <c r="I83" i="1" s="1"/>
  <c r="H85" i="1"/>
  <c r="I85" i="1" s="1"/>
  <c r="H77" i="1"/>
  <c r="I77" i="1" s="1"/>
  <c r="H80" i="1"/>
  <c r="I80" i="1" s="1"/>
  <c r="H82" i="1"/>
  <c r="I82" i="1" s="1"/>
  <c r="H84" i="1"/>
  <c r="I84" i="1" s="1"/>
  <c r="H86" i="1"/>
  <c r="I86" i="1" s="1"/>
  <c r="H57" i="1"/>
  <c r="I57" i="1" s="1"/>
  <c r="H51" i="1"/>
  <c r="I51" i="1" s="1"/>
  <c r="R54" i="1"/>
  <c r="S54" i="1" s="1"/>
  <c r="R55" i="1"/>
  <c r="S55" i="1" s="1"/>
  <c r="O57" i="1"/>
  <c r="Q57" i="1" s="1"/>
  <c r="R57" i="1" s="1"/>
  <c r="S57" i="1" s="1"/>
  <c r="H53" i="1"/>
  <c r="I53" i="1" s="1"/>
  <c r="R53" i="1"/>
  <c r="S53" i="1" s="1"/>
  <c r="H59" i="1"/>
  <c r="I59" i="1" s="1"/>
  <c r="R49" i="1"/>
  <c r="S49" i="1" s="1"/>
  <c r="R59" i="1"/>
  <c r="S59" i="1" s="1"/>
  <c r="O51" i="1"/>
  <c r="Q51" i="1" s="1"/>
  <c r="R51" i="1" s="1"/>
  <c r="S51" i="1" s="1"/>
  <c r="L53" i="1"/>
  <c r="M53" i="1" s="1"/>
  <c r="N53" i="1" s="1"/>
  <c r="L59" i="1"/>
  <c r="M59" i="1" s="1"/>
  <c r="N59" i="1" s="1"/>
  <c r="L49" i="1"/>
  <c r="M49" i="1" s="1"/>
  <c r="N49" i="1" s="1"/>
  <c r="M57" i="1"/>
  <c r="N57" i="1" s="1"/>
  <c r="H55" i="1"/>
  <c r="I55" i="1" s="1"/>
  <c r="R52" i="1"/>
  <c r="S52" i="1" s="1"/>
  <c r="L55" i="1"/>
  <c r="M55" i="1" s="1"/>
  <c r="N55" i="1" s="1"/>
  <c r="M51" i="1"/>
  <c r="N51" i="1" s="1"/>
  <c r="H49" i="1"/>
  <c r="I49" i="1" s="1"/>
  <c r="R56" i="1"/>
  <c r="S56" i="1" s="1"/>
  <c r="R58" i="1"/>
  <c r="S58" i="1" s="1"/>
  <c r="R48" i="1"/>
  <c r="S48" i="1" s="1"/>
  <c r="R50" i="1"/>
  <c r="S50" i="1" s="1"/>
  <c r="L48" i="1"/>
  <c r="M48" i="1" s="1"/>
  <c r="N48" i="1" s="1"/>
  <c r="L50" i="1"/>
  <c r="M50" i="1" s="1"/>
  <c r="N50" i="1" s="1"/>
  <c r="L52" i="1"/>
  <c r="M52" i="1" s="1"/>
  <c r="N52" i="1" s="1"/>
  <c r="L54" i="1"/>
  <c r="M54" i="1" s="1"/>
  <c r="N54" i="1" s="1"/>
  <c r="L56" i="1"/>
  <c r="M56" i="1" s="1"/>
  <c r="N56" i="1" s="1"/>
  <c r="L58" i="1"/>
  <c r="M58" i="1" s="1"/>
  <c r="N58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O7" i="1"/>
  <c r="Q7" i="1" s="1"/>
  <c r="O8" i="1"/>
  <c r="Q8" i="1" s="1"/>
  <c r="R8" i="1" s="1"/>
  <c r="O9" i="1"/>
  <c r="Q9" i="1" s="1"/>
  <c r="R9" i="1" s="1"/>
  <c r="L10" i="1"/>
  <c r="O11" i="1"/>
  <c r="Q11" i="1" s="1"/>
  <c r="R11" i="1" s="1"/>
  <c r="G7" i="1"/>
  <c r="G8" i="1"/>
  <c r="H8" i="1" s="1"/>
  <c r="G9" i="1"/>
  <c r="G10" i="1"/>
  <c r="H10" i="1" s="1"/>
  <c r="I10" i="1" s="1"/>
  <c r="G11" i="1"/>
  <c r="H11" i="1" s="1"/>
  <c r="I11" i="1" s="1"/>
  <c r="D107" i="7" l="1"/>
  <c r="P61" i="7"/>
  <c r="O65" i="7"/>
  <c r="P65" i="7" s="1"/>
  <c r="J60" i="7"/>
  <c r="I65" i="7"/>
  <c r="J65" i="7" s="1"/>
  <c r="C106" i="7"/>
  <c r="D108" i="7"/>
  <c r="O107" i="7"/>
  <c r="K93" i="4"/>
  <c r="L93" i="4" s="1"/>
  <c r="K22" i="4"/>
  <c r="L22" i="4" s="1"/>
  <c r="K80" i="4"/>
  <c r="L80" i="4" s="1"/>
  <c r="P25" i="4"/>
  <c r="Q25" i="4" s="1"/>
  <c r="P56" i="4"/>
  <c r="Q56" i="4" s="1"/>
  <c r="P54" i="4"/>
  <c r="Q54" i="4" s="1"/>
  <c r="K18" i="4"/>
  <c r="L18" i="4" s="1"/>
  <c r="P83" i="4"/>
  <c r="Q83" i="4" s="1"/>
  <c r="K79" i="4"/>
  <c r="L79" i="4" s="1"/>
  <c r="K53" i="4"/>
  <c r="L53" i="4" s="1"/>
  <c r="P13" i="4"/>
  <c r="Q13" i="4" s="1"/>
  <c r="P23" i="4"/>
  <c r="Q23" i="4" s="1"/>
  <c r="K92" i="4"/>
  <c r="L92" i="4" s="1"/>
  <c r="K14" i="4"/>
  <c r="L14" i="4" s="1"/>
  <c r="P81" i="4"/>
  <c r="Q81" i="4" s="1"/>
  <c r="K105" i="4"/>
  <c r="L105" i="4" s="1"/>
  <c r="P19" i="4"/>
  <c r="Q19" i="4" s="1"/>
  <c r="K20" i="4"/>
  <c r="L20" i="4" s="1"/>
  <c r="K107" i="4"/>
  <c r="L107" i="4" s="1"/>
  <c r="K109" i="4"/>
  <c r="L109" i="4" s="1"/>
  <c r="P96" i="4"/>
  <c r="Q96" i="4" s="1"/>
  <c r="P24" i="4"/>
  <c r="Q24" i="4" s="1"/>
  <c r="K50" i="4"/>
  <c r="L50" i="4" s="1"/>
  <c r="P21" i="4"/>
  <c r="Q21" i="4" s="1"/>
  <c r="P109" i="4"/>
  <c r="Q109" i="4" s="1"/>
  <c r="K78" i="4"/>
  <c r="L78" i="4" s="1"/>
  <c r="P26" i="4"/>
  <c r="Q26" i="4" s="1"/>
  <c r="K55" i="4"/>
  <c r="L55" i="4" s="1"/>
  <c r="K51" i="4"/>
  <c r="L51" i="4" s="1"/>
  <c r="K24" i="4"/>
  <c r="L24" i="4" s="1"/>
  <c r="P94" i="4"/>
  <c r="Q94" i="4" s="1"/>
  <c r="K91" i="4"/>
  <c r="L91" i="4" s="1"/>
  <c r="P50" i="4"/>
  <c r="Q50" i="4" s="1"/>
  <c r="P77" i="4"/>
  <c r="Q77" i="4" s="1"/>
  <c r="P78" i="4"/>
  <c r="Q78" i="4" s="1"/>
  <c r="K12" i="4"/>
  <c r="L12" i="4" s="1"/>
  <c r="K52" i="4"/>
  <c r="L52" i="4" s="1"/>
  <c r="P82" i="4"/>
  <c r="Q82" i="4" s="1"/>
  <c r="K16" i="4"/>
  <c r="L16" i="4" s="1"/>
  <c r="K21" i="4"/>
  <c r="L21" i="4" s="1"/>
  <c r="K48" i="4"/>
  <c r="L48" i="4" s="1"/>
  <c r="K25" i="4"/>
  <c r="L25" i="4" s="1"/>
  <c r="K56" i="4"/>
  <c r="L56" i="4" s="1"/>
  <c r="K54" i="4"/>
  <c r="L54" i="4" s="1"/>
  <c r="K15" i="4"/>
  <c r="L15" i="4" s="1"/>
  <c r="P106" i="4"/>
  <c r="Q106" i="4" s="1"/>
  <c r="P341" i="6"/>
  <c r="Q341" i="6" s="1"/>
  <c r="K339" i="6"/>
  <c r="L339" i="6" s="1"/>
  <c r="K212" i="6"/>
  <c r="L212" i="6" s="1"/>
  <c r="P16" i="6"/>
  <c r="Q16" i="6" s="1"/>
  <c r="P343" i="6"/>
  <c r="Q343" i="6" s="1"/>
  <c r="P330" i="6"/>
  <c r="Q330" i="6" s="1"/>
  <c r="K325" i="6"/>
  <c r="L325" i="6" s="1"/>
  <c r="K337" i="6"/>
  <c r="L337" i="6" s="1"/>
  <c r="P24" i="6"/>
  <c r="Q24" i="6" s="1"/>
  <c r="K198" i="6"/>
  <c r="L198" i="6" s="1"/>
  <c r="K12" i="6"/>
  <c r="L12" i="6" s="1"/>
  <c r="P327" i="6"/>
  <c r="Q327" i="6" s="1"/>
  <c r="K196" i="6"/>
  <c r="L196" i="6" s="1"/>
  <c r="P329" i="6"/>
  <c r="Q329" i="6" s="1"/>
  <c r="P336" i="6"/>
  <c r="Q336" i="6" s="1"/>
  <c r="P203" i="6"/>
  <c r="Q203" i="6" s="1"/>
  <c r="K18" i="6"/>
  <c r="L18" i="6" s="1"/>
  <c r="P25" i="6"/>
  <c r="Q25" i="6" s="1"/>
  <c r="P12" i="6"/>
  <c r="Q12" i="6" s="1"/>
  <c r="P22" i="6"/>
  <c r="Q22" i="6" s="1"/>
  <c r="K342" i="6"/>
  <c r="L342" i="6" s="1"/>
  <c r="K204" i="6"/>
  <c r="L204" i="6" s="1"/>
  <c r="P199" i="6"/>
  <c r="Q199" i="6" s="1"/>
  <c r="K220" i="6"/>
  <c r="L220" i="6" s="1"/>
  <c r="P217" i="6"/>
  <c r="Q217" i="6" s="1"/>
  <c r="P322" i="6"/>
  <c r="Q322" i="6" s="1"/>
  <c r="P14" i="6"/>
  <c r="Q14" i="6" s="1"/>
  <c r="P324" i="6"/>
  <c r="Q324" i="6" s="1"/>
  <c r="P201" i="6"/>
  <c r="Q201" i="6" s="1"/>
  <c r="P20" i="6"/>
  <c r="Q20" i="6" s="1"/>
  <c r="P335" i="6"/>
  <c r="Q335" i="6" s="1"/>
  <c r="K328" i="6"/>
  <c r="L328" i="6" s="1"/>
  <c r="K218" i="6"/>
  <c r="L218" i="6" s="1"/>
  <c r="P21" i="6"/>
  <c r="Q21" i="6" s="1"/>
  <c r="K15" i="6"/>
  <c r="L15" i="6" s="1"/>
  <c r="P19" i="6"/>
  <c r="Q19" i="6" s="1"/>
  <c r="P17" i="6"/>
  <c r="Q17" i="6" s="1"/>
  <c r="K323" i="6"/>
  <c r="L323" i="6" s="1"/>
  <c r="K200" i="6"/>
  <c r="L200" i="6" s="1"/>
  <c r="P197" i="6"/>
  <c r="Q197" i="6" s="1"/>
  <c r="K326" i="6"/>
  <c r="L326" i="6" s="1"/>
  <c r="K202" i="6"/>
  <c r="L202" i="6" s="1"/>
  <c r="K216" i="6"/>
  <c r="L216" i="6" s="1"/>
  <c r="P213" i="6"/>
  <c r="Q213" i="6" s="1"/>
  <c r="K340" i="6"/>
  <c r="L340" i="6" s="1"/>
  <c r="K322" i="6"/>
  <c r="L322" i="6" s="1"/>
  <c r="K341" i="6"/>
  <c r="L341" i="6" s="1"/>
  <c r="P338" i="6"/>
  <c r="Q338" i="6" s="1"/>
  <c r="P23" i="6"/>
  <c r="Q23" i="6" s="1"/>
  <c r="K214" i="6"/>
  <c r="L214" i="6" s="1"/>
  <c r="P317" i="6"/>
  <c r="Q317" i="6" s="1"/>
  <c r="P316" i="6"/>
  <c r="Q316" i="6" s="1"/>
  <c r="K315" i="6"/>
  <c r="L315" i="6" s="1"/>
  <c r="P314" i="6"/>
  <c r="Q314" i="6" s="1"/>
  <c r="K314" i="6"/>
  <c r="L314" i="6" s="1"/>
  <c r="P313" i="6"/>
  <c r="Q313" i="6" s="1"/>
  <c r="P312" i="6"/>
  <c r="Q312" i="6" s="1"/>
  <c r="K311" i="6"/>
  <c r="L311" i="6" s="1"/>
  <c r="P310" i="6"/>
  <c r="Q310" i="6" s="1"/>
  <c r="K309" i="6"/>
  <c r="L309" i="6" s="1"/>
  <c r="P308" i="6"/>
  <c r="Q308" i="6" s="1"/>
  <c r="K207" i="6"/>
  <c r="L207" i="6" s="1"/>
  <c r="K206" i="6"/>
  <c r="L206" i="6" s="1"/>
  <c r="P205" i="6"/>
  <c r="Q205" i="6" s="1"/>
  <c r="K118" i="6"/>
  <c r="L118" i="6" s="1"/>
  <c r="K117" i="6"/>
  <c r="L117" i="6" s="1"/>
  <c r="K116" i="6"/>
  <c r="L116" i="6" s="1"/>
  <c r="K115" i="6"/>
  <c r="L115" i="6" s="1"/>
  <c r="P114" i="6"/>
  <c r="Q114" i="6" s="1"/>
  <c r="K113" i="6"/>
  <c r="L113" i="6" s="1"/>
  <c r="P112" i="6"/>
  <c r="Q112" i="6" s="1"/>
  <c r="K111" i="6"/>
  <c r="L111" i="6" s="1"/>
  <c r="P110" i="6"/>
  <c r="Q110" i="6" s="1"/>
  <c r="K109" i="6"/>
  <c r="L109" i="6" s="1"/>
  <c r="K108" i="6"/>
  <c r="L108" i="6" s="1"/>
  <c r="K107" i="6"/>
  <c r="L107" i="6" s="1"/>
  <c r="P106" i="6"/>
  <c r="Q106" i="6" s="1"/>
  <c r="K105" i="6"/>
  <c r="L105" i="6" s="1"/>
  <c r="P104" i="6"/>
  <c r="Q104" i="6" s="1"/>
  <c r="K103" i="6"/>
  <c r="L103" i="6" s="1"/>
  <c r="K26" i="6"/>
  <c r="L26" i="6" s="1"/>
  <c r="P7" i="6"/>
  <c r="Q7" i="6" s="1"/>
  <c r="P8" i="6"/>
  <c r="Q8" i="6" s="1"/>
  <c r="P9" i="6"/>
  <c r="Q9" i="6" s="1"/>
  <c r="P10" i="6"/>
  <c r="Q10" i="6" s="1"/>
  <c r="K11" i="6"/>
  <c r="L11" i="6" s="1"/>
  <c r="K13" i="6"/>
  <c r="L13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P79" i="6"/>
  <c r="Q79" i="6" s="1"/>
  <c r="P78" i="6"/>
  <c r="Q78" i="6" s="1"/>
  <c r="P77" i="6"/>
  <c r="Q77" i="6" s="1"/>
  <c r="K76" i="6"/>
  <c r="L76" i="6" s="1"/>
  <c r="P75" i="6"/>
  <c r="Q75" i="6" s="1"/>
  <c r="K112" i="4"/>
  <c r="L112" i="4" s="1"/>
  <c r="K111" i="4"/>
  <c r="L111" i="4" s="1"/>
  <c r="P104" i="4"/>
  <c r="Q104" i="4" s="1"/>
  <c r="K99" i="4"/>
  <c r="L99" i="4" s="1"/>
  <c r="P98" i="4"/>
  <c r="Q98" i="4" s="1"/>
  <c r="K97" i="4"/>
  <c r="L97" i="4" s="1"/>
  <c r="K86" i="4"/>
  <c r="L86" i="4" s="1"/>
  <c r="K85" i="4"/>
  <c r="L85" i="4" s="1"/>
  <c r="K84" i="4"/>
  <c r="L84" i="4" s="1"/>
  <c r="P58" i="4"/>
  <c r="Q58" i="4" s="1"/>
  <c r="K7" i="4"/>
  <c r="L7" i="4" s="1"/>
  <c r="K8" i="4"/>
  <c r="L8" i="4" s="1"/>
  <c r="K10" i="4"/>
  <c r="L10" i="4" s="1"/>
  <c r="P11" i="4"/>
  <c r="Q11" i="4" s="1"/>
  <c r="I132" i="1"/>
  <c r="K376" i="6"/>
  <c r="L376" i="6" s="1"/>
  <c r="K356" i="6"/>
  <c r="L356" i="6" s="1"/>
  <c r="K361" i="6"/>
  <c r="L361" i="6" s="1"/>
  <c r="P355" i="6"/>
  <c r="Q355" i="6" s="1"/>
  <c r="K360" i="6"/>
  <c r="L360" i="6" s="1"/>
  <c r="P354" i="6"/>
  <c r="Q354" i="6" s="1"/>
  <c r="K350" i="6"/>
  <c r="L350" i="6" s="1"/>
  <c r="P362" i="6"/>
  <c r="Q362" i="6" s="1"/>
  <c r="K354" i="6"/>
  <c r="L354" i="6" s="1"/>
  <c r="K352" i="6"/>
  <c r="L352" i="6" s="1"/>
  <c r="K351" i="6"/>
  <c r="L351" i="6" s="1"/>
  <c r="P353" i="6"/>
  <c r="Q353" i="6" s="1"/>
  <c r="P359" i="6"/>
  <c r="Q359" i="6" s="1"/>
  <c r="K362" i="6"/>
  <c r="L362" i="6" s="1"/>
  <c r="K358" i="6"/>
  <c r="L358" i="6" s="1"/>
  <c r="P349" i="6"/>
  <c r="Q349" i="6" s="1"/>
  <c r="P357" i="6"/>
  <c r="Q357" i="6" s="1"/>
  <c r="K348" i="6"/>
  <c r="L348" i="6" s="1"/>
  <c r="K57" i="6"/>
  <c r="L57" i="6" s="1"/>
  <c r="K65" i="6"/>
  <c r="L65" i="6" s="1"/>
  <c r="P52" i="6"/>
  <c r="Q52" i="6" s="1"/>
  <c r="P69" i="6"/>
  <c r="Q69" i="6" s="1"/>
  <c r="P54" i="6"/>
  <c r="Q54" i="6" s="1"/>
  <c r="P64" i="6"/>
  <c r="Q64" i="6" s="1"/>
  <c r="P63" i="6"/>
  <c r="Q63" i="6" s="1"/>
  <c r="P61" i="6"/>
  <c r="Q61" i="6" s="1"/>
  <c r="P56" i="6"/>
  <c r="Q56" i="6" s="1"/>
  <c r="P53" i="6"/>
  <c r="Q53" i="6" s="1"/>
  <c r="P58" i="6"/>
  <c r="Q58" i="6" s="1"/>
  <c r="P66" i="6"/>
  <c r="Q66" i="6" s="1"/>
  <c r="P55" i="6"/>
  <c r="Q55" i="6" s="1"/>
  <c r="P68" i="6"/>
  <c r="Q68" i="6" s="1"/>
  <c r="K59" i="6"/>
  <c r="L59" i="6" s="1"/>
  <c r="K67" i="6"/>
  <c r="L67" i="6" s="1"/>
  <c r="P60" i="6"/>
  <c r="Q60" i="6" s="1"/>
  <c r="P62" i="6"/>
  <c r="Q62" i="6" s="1"/>
  <c r="K51" i="6"/>
  <c r="L51" i="6" s="1"/>
  <c r="K136" i="4"/>
  <c r="L136" i="4" s="1"/>
  <c r="P126" i="4"/>
  <c r="Q126" i="4" s="1"/>
  <c r="P129" i="4"/>
  <c r="Q129" i="4" s="1"/>
  <c r="P127" i="4"/>
  <c r="Q127" i="4" s="1"/>
  <c r="P125" i="4"/>
  <c r="Q125" i="4" s="1"/>
  <c r="P123" i="4"/>
  <c r="Q123" i="4" s="1"/>
  <c r="K130" i="4"/>
  <c r="L130" i="4" s="1"/>
  <c r="K128" i="4"/>
  <c r="L128" i="4" s="1"/>
  <c r="K122" i="4"/>
  <c r="L122" i="4" s="1"/>
  <c r="P121" i="4"/>
  <c r="Q121" i="4" s="1"/>
  <c r="K124" i="4"/>
  <c r="L124" i="4" s="1"/>
  <c r="P119" i="4"/>
  <c r="Q119" i="4" s="1"/>
  <c r="K118" i="4"/>
  <c r="L118" i="4" s="1"/>
  <c r="P131" i="4"/>
  <c r="Q131" i="4" s="1"/>
  <c r="P117" i="4"/>
  <c r="Q117" i="4" s="1"/>
  <c r="K373" i="6"/>
  <c r="L373" i="6" s="1"/>
  <c r="P373" i="6"/>
  <c r="Q373" i="6" s="1"/>
  <c r="P372" i="6"/>
  <c r="Q372" i="6" s="1"/>
  <c r="K367" i="6"/>
  <c r="L367" i="6" s="1"/>
  <c r="P371" i="6"/>
  <c r="Q371" i="6" s="1"/>
  <c r="P370" i="6"/>
  <c r="Q370" i="6" s="1"/>
  <c r="P368" i="6"/>
  <c r="Q368" i="6" s="1"/>
  <c r="P369" i="6"/>
  <c r="Q369" i="6" s="1"/>
  <c r="K139" i="4"/>
  <c r="L139" i="4" s="1"/>
  <c r="P139" i="4"/>
  <c r="Q139" i="4" s="1"/>
  <c r="P140" i="4"/>
  <c r="Q140" i="4" s="1"/>
  <c r="K137" i="4"/>
  <c r="L137" i="4" s="1"/>
  <c r="P137" i="4"/>
  <c r="Q137" i="4" s="1"/>
  <c r="K138" i="4"/>
  <c r="L138" i="4" s="1"/>
  <c r="K142" i="4"/>
  <c r="L142" i="4" s="1"/>
  <c r="P141" i="4"/>
  <c r="Q141" i="4" s="1"/>
  <c r="K141" i="4"/>
  <c r="L141" i="4" s="1"/>
  <c r="G132" i="4"/>
  <c r="G146" i="4"/>
  <c r="G221" i="6"/>
  <c r="G60" i="4"/>
  <c r="G71" i="6"/>
  <c r="G377" i="6"/>
  <c r="G119" i="6"/>
  <c r="G318" i="6"/>
  <c r="G208" i="6"/>
  <c r="G86" i="6"/>
  <c r="G363" i="6"/>
  <c r="G344" i="6"/>
  <c r="G331" i="6"/>
  <c r="G27" i="6"/>
  <c r="G87" i="4"/>
  <c r="G113" i="4"/>
  <c r="G100" i="4"/>
  <c r="G27" i="4"/>
  <c r="S132" i="1"/>
  <c r="C99" i="7" s="1"/>
  <c r="J5" i="18" s="1"/>
  <c r="N132" i="1"/>
  <c r="C53" i="7" s="1"/>
  <c r="I146" i="1"/>
  <c r="S146" i="1"/>
  <c r="N146" i="1"/>
  <c r="I53" i="7" s="1"/>
  <c r="I113" i="1"/>
  <c r="S113" i="1"/>
  <c r="O91" i="7" s="1"/>
  <c r="I5" i="18" s="1"/>
  <c r="N113" i="1"/>
  <c r="O45" i="7" s="1"/>
  <c r="S100" i="1"/>
  <c r="N100" i="1"/>
  <c r="I100" i="1"/>
  <c r="I87" i="1"/>
  <c r="N87" i="1"/>
  <c r="S87" i="1"/>
  <c r="S60" i="1"/>
  <c r="C91" i="7" s="1"/>
  <c r="I60" i="1"/>
  <c r="N60" i="1"/>
  <c r="C46" i="7" s="1"/>
  <c r="M10" i="1"/>
  <c r="N10" i="1" s="1"/>
  <c r="L11" i="1"/>
  <c r="L9" i="1"/>
  <c r="M9" i="1" s="1"/>
  <c r="N9" i="1" s="1"/>
  <c r="H9" i="1"/>
  <c r="I9" i="1" s="1"/>
  <c r="L8" i="1"/>
  <c r="I8" i="1"/>
  <c r="L7" i="1"/>
  <c r="O10" i="1"/>
  <c r="Q10" i="1" s="1"/>
  <c r="R10" i="1" s="1"/>
  <c r="S10" i="1" s="1"/>
  <c r="S9" i="1"/>
  <c r="S11" i="1"/>
  <c r="S8" i="1"/>
  <c r="O14" i="1"/>
  <c r="Q14" i="1" s="1"/>
  <c r="R14" i="1" s="1"/>
  <c r="O15" i="1"/>
  <c r="Q15" i="1" s="1"/>
  <c r="R15" i="1" s="1"/>
  <c r="O25" i="1"/>
  <c r="Q25" i="1" s="1"/>
  <c r="R25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12" i="1"/>
  <c r="M15" i="18" l="1"/>
  <c r="C111" i="7"/>
  <c r="D111" i="7" s="1"/>
  <c r="S3" i="6"/>
  <c r="C18" i="7" s="1"/>
  <c r="D91" i="7"/>
  <c r="P74" i="7" s="1"/>
  <c r="G5" i="18"/>
  <c r="D106" i="7"/>
  <c r="J53" i="7"/>
  <c r="I99" i="7"/>
  <c r="D53" i="7"/>
  <c r="P45" i="7"/>
  <c r="S3" i="4"/>
  <c r="C16" i="7" s="1"/>
  <c r="D46" i="7"/>
  <c r="D60" i="7"/>
  <c r="C65" i="7"/>
  <c r="D65" i="7" s="1"/>
  <c r="Y87" i="1"/>
  <c r="O38" i="7" s="1"/>
  <c r="P38" i="7" s="1"/>
  <c r="P107" i="7"/>
  <c r="O111" i="7"/>
  <c r="P111" i="7" s="1"/>
  <c r="D99" i="7"/>
  <c r="P77" i="7" s="1"/>
  <c r="P91" i="7"/>
  <c r="P76" i="7" s="1"/>
  <c r="P106" i="7"/>
  <c r="J106" i="7"/>
  <c r="I111" i="7"/>
  <c r="U87" i="1"/>
  <c r="O83" i="7" s="1"/>
  <c r="Q221" i="6"/>
  <c r="L60" i="4"/>
  <c r="C47" i="7" s="1"/>
  <c r="D47" i="7" s="1"/>
  <c r="Q87" i="4"/>
  <c r="Q100" i="4"/>
  <c r="Q27" i="4"/>
  <c r="C84" i="7" s="1"/>
  <c r="Q113" i="4"/>
  <c r="O92" i="7" s="1"/>
  <c r="I12" i="18" s="1"/>
  <c r="Q60" i="4"/>
  <c r="Q331" i="6"/>
  <c r="L344" i="6"/>
  <c r="O48" i="7" s="1"/>
  <c r="P48" i="7" s="1"/>
  <c r="L331" i="6"/>
  <c r="Q344" i="6"/>
  <c r="O94" i="7" s="1"/>
  <c r="I13" i="18" s="1"/>
  <c r="L221" i="6"/>
  <c r="Q208" i="6"/>
  <c r="L318" i="6"/>
  <c r="Q318" i="6"/>
  <c r="L208" i="6"/>
  <c r="L119" i="6"/>
  <c r="Q119" i="6"/>
  <c r="Q27" i="6"/>
  <c r="L27" i="6"/>
  <c r="D48" i="7"/>
  <c r="L86" i="6"/>
  <c r="Q86" i="6"/>
  <c r="Q132" i="4"/>
  <c r="C100" i="7" s="1"/>
  <c r="J12" i="18" s="1"/>
  <c r="L113" i="4"/>
  <c r="O46" i="7" s="1"/>
  <c r="P46" i="7" s="1"/>
  <c r="Q47" i="7" s="1"/>
  <c r="L100" i="4"/>
  <c r="L87" i="4"/>
  <c r="L27" i="4"/>
  <c r="Q363" i="6"/>
  <c r="C102" i="7" s="1"/>
  <c r="J13" i="18" s="1"/>
  <c r="L363" i="6"/>
  <c r="C56" i="7" s="1"/>
  <c r="D56" i="7" s="1"/>
  <c r="Q71" i="6"/>
  <c r="L71" i="6"/>
  <c r="L132" i="4"/>
  <c r="C54" i="7" s="1"/>
  <c r="D54" i="7" s="1"/>
  <c r="E55" i="7" s="1"/>
  <c r="L377" i="6"/>
  <c r="I56" i="7" s="1"/>
  <c r="J56" i="7" s="1"/>
  <c r="Q377" i="6"/>
  <c r="J55" i="7"/>
  <c r="Q146" i="4"/>
  <c r="L146" i="4"/>
  <c r="I54" i="7" s="1"/>
  <c r="J54" i="7" s="1"/>
  <c r="H20" i="1"/>
  <c r="I20" i="1" s="1"/>
  <c r="M11" i="1"/>
  <c r="N11" i="1" s="1"/>
  <c r="H12" i="1"/>
  <c r="I12" i="1" s="1"/>
  <c r="H19" i="1"/>
  <c r="I19" i="1" s="1"/>
  <c r="H26" i="1"/>
  <c r="I26" i="1" s="1"/>
  <c r="H18" i="1"/>
  <c r="I18" i="1" s="1"/>
  <c r="H25" i="1"/>
  <c r="I25" i="1" s="1"/>
  <c r="H17" i="1"/>
  <c r="I17" i="1" s="1"/>
  <c r="H24" i="1"/>
  <c r="I24" i="1" s="1"/>
  <c r="H16" i="1"/>
  <c r="I16" i="1" s="1"/>
  <c r="M8" i="1"/>
  <c r="N8" i="1" s="1"/>
  <c r="H23" i="1"/>
  <c r="I23" i="1" s="1"/>
  <c r="H15" i="1"/>
  <c r="I15" i="1" s="1"/>
  <c r="H22" i="1"/>
  <c r="I22" i="1" s="1"/>
  <c r="H14" i="1"/>
  <c r="I14" i="1" s="1"/>
  <c r="H21" i="1"/>
  <c r="I21" i="1" s="1"/>
  <c r="H13" i="1"/>
  <c r="I13" i="1" s="1"/>
  <c r="L14" i="1"/>
  <c r="M14" i="1" s="1"/>
  <c r="N14" i="1" s="1"/>
  <c r="L26" i="1"/>
  <c r="M26" i="1" s="1"/>
  <c r="O26" i="1"/>
  <c r="Q26" i="1" s="1"/>
  <c r="R26" i="1" s="1"/>
  <c r="L18" i="1"/>
  <c r="M18" i="1" s="1"/>
  <c r="O18" i="1"/>
  <c r="Q18" i="1" s="1"/>
  <c r="R18" i="1" s="1"/>
  <c r="L17" i="1"/>
  <c r="M17" i="1" s="1"/>
  <c r="O17" i="1"/>
  <c r="Q17" i="1" s="1"/>
  <c r="R17" i="1" s="1"/>
  <c r="L24" i="1"/>
  <c r="M24" i="1" s="1"/>
  <c r="O24" i="1"/>
  <c r="Q24" i="1" s="1"/>
  <c r="R24" i="1" s="1"/>
  <c r="L16" i="1"/>
  <c r="M16" i="1" s="1"/>
  <c r="O16" i="1"/>
  <c r="Q16" i="1" s="1"/>
  <c r="R16" i="1" s="1"/>
  <c r="L23" i="1"/>
  <c r="M23" i="1" s="1"/>
  <c r="O23" i="1"/>
  <c r="Q23" i="1" s="1"/>
  <c r="R23" i="1" s="1"/>
  <c r="L22" i="1"/>
  <c r="M22" i="1" s="1"/>
  <c r="O22" i="1"/>
  <c r="Q22" i="1" s="1"/>
  <c r="R22" i="1" s="1"/>
  <c r="L21" i="1"/>
  <c r="M21" i="1" s="1"/>
  <c r="O21" i="1"/>
  <c r="Q21" i="1" s="1"/>
  <c r="R21" i="1" s="1"/>
  <c r="L13" i="1"/>
  <c r="O13" i="1"/>
  <c r="Q13" i="1" s="1"/>
  <c r="R13" i="1" s="1"/>
  <c r="L20" i="1"/>
  <c r="M20" i="1" s="1"/>
  <c r="O20" i="1"/>
  <c r="Q20" i="1" s="1"/>
  <c r="R20" i="1" s="1"/>
  <c r="L25" i="1"/>
  <c r="M25" i="1" s="1"/>
  <c r="L12" i="1"/>
  <c r="M12" i="1" s="1"/>
  <c r="O12" i="1"/>
  <c r="Q12" i="1" s="1"/>
  <c r="R12" i="1" s="1"/>
  <c r="L19" i="1"/>
  <c r="M19" i="1" s="1"/>
  <c r="O19" i="1"/>
  <c r="Q19" i="1" s="1"/>
  <c r="R19" i="1" s="1"/>
  <c r="L15" i="1"/>
  <c r="M15" i="1" s="1"/>
  <c r="S14" i="1"/>
  <c r="R80" i="7" l="1"/>
  <c r="P80" i="7"/>
  <c r="Q80" i="7"/>
  <c r="C31" i="7"/>
  <c r="D31" i="7" s="1"/>
  <c r="C76" i="7"/>
  <c r="D76" i="7" s="1"/>
  <c r="W3" i="6"/>
  <c r="C30" i="7" s="1"/>
  <c r="AA3" i="6"/>
  <c r="C75" i="7" s="1"/>
  <c r="W88" i="4"/>
  <c r="O39" i="7" s="1"/>
  <c r="P39" i="7" s="1"/>
  <c r="Q40" i="7" s="1"/>
  <c r="C39" i="7"/>
  <c r="D39" i="7" s="1"/>
  <c r="S208" i="6"/>
  <c r="D40" i="7"/>
  <c r="J111" i="7"/>
  <c r="M21" i="18"/>
  <c r="D102" i="7"/>
  <c r="P94" i="7"/>
  <c r="D100" i="7"/>
  <c r="P92" i="7"/>
  <c r="J99" i="7"/>
  <c r="P78" i="7" s="1"/>
  <c r="K5" i="18"/>
  <c r="P83" i="7"/>
  <c r="P73" i="7" s="1"/>
  <c r="F5" i="18"/>
  <c r="M20" i="18"/>
  <c r="M22" i="18"/>
  <c r="W62" i="6"/>
  <c r="W208" i="6"/>
  <c r="C49" i="7" s="1"/>
  <c r="D49" i="7" s="1"/>
  <c r="K55" i="7"/>
  <c r="I102" i="7"/>
  <c r="K10" i="18" s="1"/>
  <c r="W318" i="6"/>
  <c r="O41" i="7" s="1"/>
  <c r="P41" i="7" s="1"/>
  <c r="O49" i="7"/>
  <c r="P49" i="7" s="1"/>
  <c r="E47" i="7"/>
  <c r="J101" i="7"/>
  <c r="I57" i="7"/>
  <c r="J57" i="7" s="1"/>
  <c r="I100" i="7"/>
  <c r="C57" i="7"/>
  <c r="D57" i="7" s="1"/>
  <c r="S62" i="6"/>
  <c r="C86" i="7" s="1"/>
  <c r="C103" i="7"/>
  <c r="O95" i="7"/>
  <c r="J93" i="7"/>
  <c r="D93" i="7"/>
  <c r="C92" i="7"/>
  <c r="W3" i="4"/>
  <c r="C28" i="7" s="1"/>
  <c r="AA3" i="4"/>
  <c r="C73" i="7" s="1"/>
  <c r="S88" i="4"/>
  <c r="O84" i="7" s="1"/>
  <c r="F12" i="18" s="1"/>
  <c r="S318" i="6"/>
  <c r="O86" i="7" s="1"/>
  <c r="F13" i="18" s="1"/>
  <c r="M13" i="1"/>
  <c r="N13" i="1" s="1"/>
  <c r="N19" i="1"/>
  <c r="S19" i="1"/>
  <c r="N16" i="1"/>
  <c r="S16" i="1"/>
  <c r="N18" i="1"/>
  <c r="S18" i="1"/>
  <c r="S24" i="1"/>
  <c r="N12" i="1"/>
  <c r="S12" i="1"/>
  <c r="N21" i="1"/>
  <c r="S21" i="1"/>
  <c r="N24" i="1"/>
  <c r="N26" i="1"/>
  <c r="S26" i="1"/>
  <c r="N25" i="1"/>
  <c r="S25" i="1"/>
  <c r="S13" i="1"/>
  <c r="N22" i="1"/>
  <c r="S22" i="1"/>
  <c r="N17" i="1"/>
  <c r="S17" i="1"/>
  <c r="N20" i="1"/>
  <c r="S20" i="1"/>
  <c r="N15" i="1"/>
  <c r="S15" i="1"/>
  <c r="N23" i="1"/>
  <c r="S23" i="1"/>
  <c r="Q79" i="7" l="1"/>
  <c r="R79" i="7"/>
  <c r="E101" i="7"/>
  <c r="R77" i="7" s="1"/>
  <c r="Q93" i="7"/>
  <c r="R76" i="7" s="1"/>
  <c r="D42" i="7"/>
  <c r="C41" i="7"/>
  <c r="D41" i="7" s="1"/>
  <c r="E40" i="7"/>
  <c r="D86" i="7"/>
  <c r="G11" i="18"/>
  <c r="K9" i="18"/>
  <c r="K22" i="18" s="1"/>
  <c r="J102" i="7"/>
  <c r="P86" i="7"/>
  <c r="J100" i="7"/>
  <c r="J22" i="18"/>
  <c r="J20" i="18"/>
  <c r="I20" i="18"/>
  <c r="I22" i="18"/>
  <c r="P84" i="7"/>
  <c r="D103" i="7"/>
  <c r="Q77" i="7" s="1"/>
  <c r="J21" i="18"/>
  <c r="P95" i="7"/>
  <c r="Q76" i="7" s="1"/>
  <c r="I21" i="18"/>
  <c r="D84" i="7"/>
  <c r="D29" i="7"/>
  <c r="C50" i="7"/>
  <c r="D50" i="7" s="1"/>
  <c r="D30" i="7"/>
  <c r="O42" i="7"/>
  <c r="P42" i="7" s="1"/>
  <c r="D75" i="7"/>
  <c r="D74" i="7"/>
  <c r="I103" i="7"/>
  <c r="D73" i="7"/>
  <c r="D28" i="7"/>
  <c r="J86" i="7"/>
  <c r="C94" i="7"/>
  <c r="G13" i="18" s="1"/>
  <c r="J94" i="7"/>
  <c r="D85" i="7"/>
  <c r="J85" i="7"/>
  <c r="J92" i="7"/>
  <c r="D92" i="7"/>
  <c r="J84" i="7"/>
  <c r="O87" i="7"/>
  <c r="K93" i="7" l="1"/>
  <c r="R75" i="7" s="1"/>
  <c r="K101" i="7"/>
  <c r="R78" i="7" s="1"/>
  <c r="Q85" i="7"/>
  <c r="R73" i="7" s="1"/>
  <c r="K85" i="7"/>
  <c r="R72" i="7" s="1"/>
  <c r="E85" i="7"/>
  <c r="R71" i="7" s="1"/>
  <c r="D7" i="18"/>
  <c r="D8" i="18"/>
  <c r="F20" i="18"/>
  <c r="F22" i="18"/>
  <c r="D94" i="7"/>
  <c r="E93" i="7" s="1"/>
  <c r="R74" i="7" s="1"/>
  <c r="G20" i="18"/>
  <c r="D6" i="18"/>
  <c r="K20" i="18"/>
  <c r="J103" i="7"/>
  <c r="Q78" i="7" s="1"/>
  <c r="K21" i="18"/>
  <c r="P87" i="7"/>
  <c r="Q73" i="7" s="1"/>
  <c r="F21" i="18"/>
  <c r="D87" i="7"/>
  <c r="C95" i="7"/>
  <c r="I95" i="7"/>
  <c r="I87" i="7"/>
  <c r="G22" i="18" l="1"/>
  <c r="J95" i="7"/>
  <c r="Q75" i="7" s="1"/>
  <c r="H21" i="18"/>
  <c r="D95" i="7"/>
  <c r="Q74" i="7" s="1"/>
  <c r="G21" i="18"/>
  <c r="J87" i="7"/>
  <c r="Q72" i="7" s="1"/>
  <c r="E21" i="18"/>
  <c r="D33" i="7"/>
  <c r="E29" i="7" s="1"/>
  <c r="D78" i="7"/>
  <c r="E74" i="7" l="1"/>
  <c r="C8" i="17"/>
  <c r="E8" i="17" s="1"/>
  <c r="C10" i="17" l="1"/>
  <c r="E10" i="17" s="1"/>
  <c r="E12" i="17" s="1"/>
  <c r="C12" i="17" l="1"/>
  <c r="D12" i="17" s="1"/>
  <c r="E14" i="17"/>
  <c r="E16" i="17" s="1"/>
  <c r="E24" i="17" l="1"/>
  <c r="E26" i="17" s="1"/>
  <c r="E28" i="17" s="1"/>
  <c r="C7" i="1"/>
  <c r="M7" i="1" l="1"/>
  <c r="N7" i="1" s="1"/>
  <c r="N27" i="1" s="1"/>
  <c r="Y3" i="1" s="1"/>
  <c r="C27" i="7" s="1"/>
  <c r="H7" i="1"/>
  <c r="I7" i="1" s="1"/>
  <c r="I27" i="1" s="1"/>
  <c r="U3" i="1" s="1"/>
  <c r="C15" i="7" s="1"/>
  <c r="C22" i="7" s="1"/>
  <c r="R7" i="1"/>
  <c r="S7" i="1" s="1"/>
  <c r="S27" i="1" s="1"/>
  <c r="AC3" i="1" s="1"/>
  <c r="C72" i="7" s="1"/>
  <c r="C38" i="7" l="1"/>
  <c r="D38" i="7" s="1"/>
  <c r="C83" i="7"/>
  <c r="C88" i="7" s="1"/>
  <c r="D72" i="7"/>
  <c r="C79" i="7"/>
  <c r="D79" i="7" s="1"/>
  <c r="J73" i="7" s="1"/>
  <c r="C34" i="7"/>
  <c r="D34" i="7" s="1"/>
  <c r="J28" i="7" s="1"/>
  <c r="D27" i="7"/>
  <c r="D5" i="18" l="1"/>
  <c r="D20" i="18" s="1"/>
  <c r="F2" i="18" s="1"/>
  <c r="C43" i="7"/>
  <c r="D43" i="7" s="1"/>
  <c r="D83" i="7"/>
  <c r="P71" i="7" s="1"/>
  <c r="J75" i="7"/>
  <c r="J74" i="7"/>
  <c r="J29" i="7"/>
  <c r="J30" i="7"/>
  <c r="D88" i="7"/>
  <c r="Q71" i="7" s="1"/>
  <c r="D21" i="18"/>
  <c r="D2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4455AE-BC5A-4068-B662-589FA10C86A0}" keepAlive="1" name="Query - CSV Table(1)" description="Connection to the 'CSV Table' query in the workbook." type="5" refreshedVersion="8" refreshOnLoad="1" saveData="1">
    <dbPr connection="Provider=Microsoft.Mashup.OleDb.1;Data Source=$Workbook$;Location=&quot;CSV Table&quot;;Extended Properties=&quot;&quot;" command="SELECT * FROM [CSV Table]"/>
  </connection>
  <connection id="2" xr16:uid="{BF658725-E7C4-45FA-94C3-56FFCC141512}" keepAlive="1" name="Query - Reporting" description="Connection to the 'Reporting' query in the workbook." type="5" refreshedVersion="8" refreshOnLoad="1" saveData="1">
    <dbPr connection="Provider=Microsoft.Mashup.OleDb.1;Data Source=$Workbook$;Location=Reporting;Extended Properties=&quot;&quot;" command="SELECT * FROM [Reportin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<sst xmlns="http://schemas.openxmlformats.org/spreadsheetml/2006/main" count="11774" uniqueCount="858">
  <si>
    <t>SIZE</t>
  </si>
  <si>
    <t>MCA LABOR</t>
  </si>
  <si>
    <t>MCC UNITS</t>
  </si>
  <si>
    <t>MULITPLIER</t>
  </si>
  <si>
    <t>MCC EXT</t>
  </si>
  <si>
    <t>MCC MDS</t>
  </si>
  <si>
    <t>BASE ESTIMATE</t>
  </si>
  <si>
    <t>MULTIPLIER</t>
  </si>
  <si>
    <t>I.H. C/O (DAYS TO MOVE FROM FIELD TO FAB)</t>
  </si>
  <si>
    <t>TOTAL BASE ESTIMATE</t>
  </si>
  <si>
    <t>TOTAL I.H. C/O ESTIMATE</t>
  </si>
  <si>
    <t>TOTAL FAB ESTIMATE</t>
  </si>
  <si>
    <t>LF OF PIPE</t>
  </si>
  <si>
    <t>TOTAL FTG QTY</t>
  </si>
  <si>
    <t>TOTAL HANDLING</t>
  </si>
  <si>
    <t>MATERIAL HANDLING</t>
  </si>
  <si>
    <t>CAST IRON N.H.</t>
  </si>
  <si>
    <t>CAST IRON SV</t>
  </si>
  <si>
    <t>PVC PIPE</t>
  </si>
  <si>
    <t>STRUCTURAL</t>
  </si>
  <si>
    <t>UNISTRUT</t>
  </si>
  <si>
    <t>POLY PIPE</t>
  </si>
  <si>
    <t>FAB SHOP GRAND TOTAL</t>
  </si>
  <si>
    <t>MD'S</t>
  </si>
  <si>
    <t>MATERIAL CUTTING</t>
  </si>
  <si>
    <t>PIPE END PREP</t>
  </si>
  <si>
    <t>COPPER PIPE GROOVE</t>
  </si>
  <si>
    <t>STRUCTURAL NOTCH</t>
  </si>
  <si>
    <t>MATERIAL JOINING</t>
  </si>
  <si>
    <t>NO HUB JOINT</t>
  </si>
  <si>
    <t>CAST IRON PUSH JOINT</t>
  </si>
  <si>
    <t>GLUED JOINT</t>
  </si>
  <si>
    <t>FUSION JOINT</t>
  </si>
  <si>
    <t>STRUCTURAL WELD JOINT</t>
  </si>
  <si>
    <t>FABRICATION ESTIMATE SUMMARY</t>
  </si>
  <si>
    <t>TOTAL</t>
  </si>
  <si>
    <t>JOB NAME</t>
  </si>
  <si>
    <t>JOB NUMBER</t>
  </si>
  <si>
    <t>FAB REQUEST NO.</t>
  </si>
  <si>
    <t>DATE</t>
  </si>
  <si>
    <t>FAB DESCRIPTION</t>
  </si>
  <si>
    <t>BASE EST GRAND TOTAL</t>
  </si>
  <si>
    <t>I.H. C/O GRAND TOTAL</t>
  </si>
  <si>
    <t>QUANTITY</t>
  </si>
  <si>
    <t>"C" &gt; 5"</t>
  </si>
  <si>
    <t>"C" = &lt; 5"</t>
  </si>
  <si>
    <t>"W" &gt; 5"</t>
  </si>
  <si>
    <t>"W" = &lt; 5"</t>
  </si>
  <si>
    <t>"L" 2"-4"</t>
  </si>
  <si>
    <t>"L" = 2"- 4"</t>
  </si>
  <si>
    <t>TUBING</t>
  </si>
  <si>
    <t>GRATE SQ FT</t>
  </si>
  <si>
    <t>ASSEMBLY</t>
  </si>
  <si>
    <t>ACTIVITY</t>
  </si>
  <si>
    <t>HOURS</t>
  </si>
  <si>
    <t>CAST IRON PIPE COMBINED</t>
  </si>
  <si>
    <t>COPPER PIPE COMBINED</t>
  </si>
  <si>
    <t>TOTAL ACTIVITIES</t>
  </si>
  <si>
    <t>ASSEMBLIES</t>
  </si>
  <si>
    <t>25 HP</t>
  </si>
  <si>
    <t>1/2 HP</t>
  </si>
  <si>
    <t>2 HP</t>
  </si>
  <si>
    <t>10 HP</t>
  </si>
  <si>
    <t>150 HP</t>
  </si>
  <si>
    <t>PUMP SETTING (NO INERTIA)</t>
  </si>
  <si>
    <t>VESSEL SETTING</t>
  </si>
  <si>
    <t>&lt; 15 G</t>
  </si>
  <si>
    <t>AC EQUIPMENT</t>
  </si>
  <si>
    <t>100 GAL FM</t>
  </si>
  <si>
    <t>135 GAL HUNG</t>
  </si>
  <si>
    <t>300 GAL HUNG</t>
  </si>
  <si>
    <t>CONDENSER</t>
  </si>
  <si>
    <t>S&amp;T HEAT EXC</t>
  </si>
  <si>
    <t>P&amp;F HEAT EXC</t>
  </si>
  <si>
    <t>15HP AIR COMP</t>
  </si>
  <si>
    <t>MCC RACK SUPPORTS</t>
  </si>
  <si>
    <t>2 PIPE</t>
  </si>
  <si>
    <t>3 PIPE</t>
  </si>
  <si>
    <t>4 PIPE</t>
  </si>
  <si>
    <t>EQUIPMENT COMBINED</t>
  </si>
  <si>
    <t>EQUIPMENT</t>
  </si>
  <si>
    <t>(MCA WORK ACTIVITY, JOINTS, THREADED, CARBON STEEL)</t>
  </si>
  <si>
    <t>(MCC BOOK COP L SOLDERED NO HANGER)</t>
  </si>
  <si>
    <t>(MCC BOOK FOR 2.5-24 NO HANGER; MCA COMP, PIPE, C.S., B.W., 21' FOR OTHERS)</t>
  </si>
  <si>
    <t>(MCC BOOK CINH NO HANGER)</t>
  </si>
  <si>
    <t>(MCC BOOK CI GASKET NO HANGER)</t>
  </si>
  <si>
    <t>(MCC BOOK SCH 40 PVC NO HANGER)</t>
  </si>
  <si>
    <t>(MCC BOOK FUSEAL AG NO HANGER AND MCA COMP, PIPE, POLYPROP, PRESSURE, BUTT FUSION)</t>
  </si>
  <si>
    <t>(USED STEEL PIPE UNITS IN COMPARISON TO WEIGHT)</t>
  </si>
  <si>
    <t>(MCC COPPER L PIPE CUT)</t>
  </si>
  <si>
    <t>(MCC CINH PIPE CUT 1.5-10; PLUG FOR OTHERS)</t>
  </si>
  <si>
    <t>(MCC CI PIPE CUT 2-10; PLUG FOR OTHERS)</t>
  </si>
  <si>
    <t>(MCC PVC SCH 40 PIPE CUT 1.5-12; PLUG FOR OTHERS)</t>
  </si>
  <si>
    <t>(MCC FUSEAL AG PIPE CUT .5-12; PLUG FOR OTHERS)</t>
  </si>
  <si>
    <t>(USED STEEL PIPE UNITS IN COMPARISON TO LINEAR IN OF CUTTING SURFACE)</t>
  </si>
  <si>
    <t>(SAME UNITS AS STEEL PIPE CUTTING)</t>
  </si>
  <si>
    <t>(NIPPLES OUT OF MCC AND MCA)</t>
  </si>
  <si>
    <t>(USED PORTION OF LINEAR INCH OF CUTTING VS PIPE)</t>
  </si>
  <si>
    <t>(MCA WORK ACTIVITY BOLT UP)</t>
  </si>
  <si>
    <t>(MCC GROOVED COUPLING)</t>
  </si>
  <si>
    <t>(MCC COPPER L SOLDERED CAP .5-4; PLUG FOR OTHERS)</t>
  </si>
  <si>
    <t>(MCA 1/8 BEND DIVIDED BY 2)</t>
  </si>
  <si>
    <t>(MCA 1/16 BEND)</t>
  </si>
  <si>
    <t>(MCA, COMP, ELECTROFUSION PRESSURE CAP .5-1.25, AND 10-14; MCC FUSEAL COUPLING DIVIDED BY 2 1.5-8")</t>
  </si>
  <si>
    <t>(USED STEEL PIPE WELD COMPARED TO LINEAR INCH (DIVIDED PIPE BY 3 PASSES)</t>
  </si>
  <si>
    <t>(DUKE PLUG)</t>
  </si>
  <si>
    <t>(MCC VALVE INCLUDES BOLTING TO FLANGE)</t>
  </si>
  <si>
    <t>(MCC VALVE INCLUDES ATTACHING W/ COUPLINGS)</t>
  </si>
  <si>
    <t>(MCC STRAINER INCLUDES BOLTING TO FLANGE)</t>
  </si>
  <si>
    <t>(MCC COPPER PRESS FIT CAP)</t>
  </si>
  <si>
    <t>General Comments:</t>
  </si>
  <si>
    <t>CARRIERS</t>
  </si>
  <si>
    <t>WC SGL</t>
  </si>
  <si>
    <t>WC DBL</t>
  </si>
  <si>
    <t>SUCTION DIFF</t>
  </si>
  <si>
    <t>1 PIPE</t>
  </si>
  <si>
    <t>5+ PIPE</t>
  </si>
  <si>
    <t>COPPER PIPE T-DRILL</t>
  </si>
  <si>
    <t>(MCC T-DRILL UNITS LESS JOINT LABOR…THIS IS JUST TO PULL THE TEE)</t>
  </si>
  <si>
    <t>(MCA WORK ACTIVITY)</t>
  </si>
  <si>
    <t>(MCA WORK ACTIVITY CS BW)</t>
  </si>
  <si>
    <t>(MCA WORK ACTIVITY SS BW)</t>
  </si>
  <si>
    <t>INSULATION</t>
  </si>
  <si>
    <t>CLAMPS</t>
  </si>
  <si>
    <t>PLATE SQ FT</t>
  </si>
  <si>
    <t>PLATE LNR FT</t>
  </si>
  <si>
    <t>HOLES</t>
  </si>
  <si>
    <t>GRATE LNR FT</t>
  </si>
  <si>
    <t>.25 MCA LABOR</t>
  </si>
  <si>
    <t>(SAME AS STEEL FLANGED JOINT)</t>
  </si>
  <si>
    <t>(SAME AS STEEL THREADED JOINT)</t>
  </si>
  <si>
    <t>(SAME AS STEEL GROOVED JOINT)</t>
  </si>
  <si>
    <t>COPPER SWEDGE</t>
  </si>
  <si>
    <t>(MCC COPPER L SOLDER JOINT)</t>
  </si>
  <si>
    <t>(USED STEEL THREADED JOINT LESS 30%)</t>
  </si>
  <si>
    <t>DESCRIPTION</t>
  </si>
  <si>
    <t>CAST IRON</t>
  </si>
  <si>
    <t>COPPER</t>
  </si>
  <si>
    <t>CARBON STEEL</t>
  </si>
  <si>
    <t>STAINLESS STEEL</t>
  </si>
  <si>
    <t>HANGERS / SUPPORTS</t>
  </si>
  <si>
    <t>5 + PIPE</t>
  </si>
  <si>
    <t>RACKS (PLACING PRE-FABBED DUCT INTO RACK)</t>
  </si>
  <si>
    <t>1 DUCT</t>
  </si>
  <si>
    <t>2 DUCT</t>
  </si>
  <si>
    <t>3 DUCT</t>
  </si>
  <si>
    <t>COPPER FLANGED BUTTERFLY VALVES</t>
  </si>
  <si>
    <t>COPPER FLANGED GATE VALVES</t>
  </si>
  <si>
    <t>COPPER FLANGED CHECK VALVES</t>
  </si>
  <si>
    <t>COPPER GROOVED BUTTERFLY VALVES</t>
  </si>
  <si>
    <t>COPPER GROOVED CHECK VALVES</t>
  </si>
  <si>
    <t>COPPER FLANGED STRAINERS</t>
  </si>
  <si>
    <t>COPPER VLVS COMBINED</t>
  </si>
  <si>
    <t>ASSEMBLIES (RACKS)</t>
  </si>
  <si>
    <t>DUCT</t>
  </si>
  <si>
    <t>ASSEMBLIES (VALVES)</t>
  </si>
  <si>
    <t>CARBON STEEL PIPE</t>
  </si>
  <si>
    <t>STAINLESS STEEL PIPE</t>
  </si>
  <si>
    <t>COPPER PIPE (AC/PLBG)</t>
  </si>
  <si>
    <t>COPPER PIPE (MED GAS)</t>
  </si>
  <si>
    <t>COPPER AC/PLBG</t>
  </si>
  <si>
    <t>COPPER MED GAS</t>
  </si>
  <si>
    <t>PVC</t>
  </si>
  <si>
    <t>CARBON STEEL PIPE GROOVE</t>
  </si>
  <si>
    <t>CARBON STEEL PIPE THREAD</t>
  </si>
  <si>
    <t>STAINLESS STEEL PIPE GROOVE</t>
  </si>
  <si>
    <t>STAINLESS STEEL PIPE THREAD</t>
  </si>
  <si>
    <t>CARBON STEEL PIPE COMBINED</t>
  </si>
  <si>
    <t>STAINLESS STEEL PIPE COMBINED</t>
  </si>
  <si>
    <t>CARBON STEEL WELD</t>
  </si>
  <si>
    <t>CARBON STEEL THREADED JOINT</t>
  </si>
  <si>
    <t>CARBON STEEL PRESSED JOINT</t>
  </si>
  <si>
    <r>
      <t xml:space="preserve">CARBON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</si>
  <si>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CARBON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</si>
  <si>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STAINLESS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</si>
  <si>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STAINLESS STEEL THREADED JOINT</t>
  </si>
  <si>
    <t>STAINLESS STEEL PRESSED JOINT</t>
  </si>
  <si>
    <r>
      <t xml:space="preserve">STAINLESS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</si>
  <si>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(MCA WORK ACTIVITY, JOINTS, THREADED, STAINLESS STEEL)</t>
  </si>
  <si>
    <t>COPPER AC/PLBG COMBINED</t>
  </si>
  <si>
    <t>COPPER SOLDERED JOINT (AC/PLBG)</t>
  </si>
  <si>
    <t>COPPER PRESSED JOINT (AC/PLBG)</t>
  </si>
  <si>
    <r>
      <t xml:space="preserve">COPPER FLANGED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</si>
  <si>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(AC/PLBG)</t>
  </si>
  <si>
    <r>
      <t xml:space="preserve">COPPER GROOVED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</si>
  <si>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MED GAS COMBINED</t>
  </si>
  <si>
    <t>COPPER SOLDERED JOINT (MED GAS)</t>
  </si>
  <si>
    <r>
      <t xml:space="preserve">COPPER FLANGED JOINT (MED GAS)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</si>
  <si>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(MED GAS)</t>
  </si>
  <si>
    <t>S/S SCH 10 WELD JOINT</t>
  </si>
  <si>
    <t>RACKS (PLACING PRE-FABBED COPPER (AC/PLBG) INTO RACK)</t>
  </si>
  <si>
    <t>RACKS (PLACING PRE-FABBED COPPER (MED GAS) INTO RACK)</t>
  </si>
  <si>
    <t>COPPER (AC/PLBG)</t>
  </si>
  <si>
    <t>COPPER (MED GAS)</t>
  </si>
  <si>
    <t>RACKS (PLACING PRE-FABBED CARBON STEEL INTO RACK)</t>
  </si>
  <si>
    <t>RACKS (PLACING PRE-FABBED STAINLESS STEEL INTO RACK)</t>
  </si>
  <si>
    <t>(MCC MADE FULL SADDLES)</t>
  </si>
  <si>
    <t>CARBON STEEL FLANGED BUTTERFLY VALVES</t>
  </si>
  <si>
    <t>CARBON STEEL FLANGED GATE VALVES</t>
  </si>
  <si>
    <t>CARBON STEEL FLANGED CHECK VALVES</t>
  </si>
  <si>
    <t>CARBON STEEL GROOVED BUTTERFLY VALVES</t>
  </si>
  <si>
    <t>CARBON STEEL GROOVED CHECK VALVES</t>
  </si>
  <si>
    <t>CARBON STEEL FLANGED STRAINERS</t>
  </si>
  <si>
    <t>STAINLESS STEEL FLANGED BUTTERFLY VALVES</t>
  </si>
  <si>
    <t>STAINLESS STEEL FLANGED GATE VALVES</t>
  </si>
  <si>
    <t>STAINLESS STEEL FLANGED CHECK VALVES</t>
  </si>
  <si>
    <t>STAINLESS STEEL GROOVED BUTTERFLY VALVES</t>
  </si>
  <si>
    <t>STAINLESS STEEL GROOVED CHECK VALVES</t>
  </si>
  <si>
    <t>STAINLESS STEEL FLANGED STRAINERS</t>
  </si>
  <si>
    <t>C/S VLVS COMBINED</t>
  </si>
  <si>
    <t>S/S VLVS COMBINED</t>
  </si>
  <si>
    <t>Hangers &amp; Supports</t>
  </si>
  <si>
    <t>ALL THREAD ROD</t>
  </si>
  <si>
    <t>MCA, HANGER COMPONENTS, ATR</t>
  </si>
  <si>
    <t>1/4"</t>
  </si>
  <si>
    <t>3/8"</t>
  </si>
  <si>
    <t>1/2"</t>
  </si>
  <si>
    <t>5/8" - 1"</t>
  </si>
  <si>
    <t>HANDLING, CUTTING, TAGGING</t>
  </si>
  <si>
    <t>HANGERS</t>
  </si>
  <si>
    <t>MCA, HANGER COMPONENTS, CLEVIS HANGER</t>
  </si>
  <si>
    <t>HANDLING, PARTIAL ASSEMBLY, PACKAGING</t>
  </si>
  <si>
    <t>1/2" - 2"</t>
  </si>
  <si>
    <t>2-1/2" - 3"</t>
  </si>
  <si>
    <t>5"</t>
  </si>
  <si>
    <t>4"</t>
  </si>
  <si>
    <t>6"</t>
  </si>
  <si>
    <t>8"</t>
  </si>
  <si>
    <t>10"</t>
  </si>
  <si>
    <t>12"</t>
  </si>
  <si>
    <t>14"</t>
  </si>
  <si>
    <t>16"</t>
  </si>
  <si>
    <t>18"</t>
  </si>
  <si>
    <t>DO NOT USE STRUCTURALS ITEMS FROM OTHER SHEETS FOR SIMPLE HANGERS</t>
  </si>
  <si>
    <t>UNISTRUT TRAPEZE</t>
  </si>
  <si>
    <t>LF HANDLING</t>
  </si>
  <si>
    <t>QTY OF CUTS</t>
  </si>
  <si>
    <t>END PREP</t>
  </si>
  <si>
    <t>WELD IF APPL</t>
  </si>
  <si>
    <t>INFO FROM OTHER SHEETS</t>
  </si>
  <si>
    <t>"L" 2"-4" TRAPEZE</t>
  </si>
  <si>
    <t>3"x5" HANGER CLIP</t>
  </si>
  <si>
    <t>NUTS &amp; WASHERS</t>
  </si>
  <si>
    <t>MCA, HANGER COMPONENTS, NUTS</t>
  </si>
  <si>
    <t>1/4" - 5/8"</t>
  </si>
  <si>
    <t>3/4" - 1"</t>
  </si>
  <si>
    <t>QTY 2 PER HANGER.  4 PER TRAPEZE</t>
  </si>
  <si>
    <t>RISER CLAMPS</t>
  </si>
  <si>
    <t>MCA, HANGER COMPONENTS, SLEEVE AND INSERT, RISER CLAMP</t>
  </si>
  <si>
    <t>HANDLING, ASSEMBLY</t>
  </si>
  <si>
    <t>8"-10"</t>
  </si>
  <si>
    <t>1/2"-2"</t>
  </si>
  <si>
    <t>2-1/2"-6"</t>
  </si>
  <si>
    <t>HANGERS / TRAPEZE</t>
  </si>
  <si>
    <t>HANGERS/TRAPEZE COMBINED</t>
  </si>
  <si>
    <t>(MCC BOOK COP C&amp;C SOLDERED NO HANGER)</t>
  </si>
  <si>
    <t>(MCC COPPER K C&amp;C SOLDERED CAP)</t>
  </si>
  <si>
    <t>ESTIMATED FABRICATION TIME</t>
  </si>
  <si>
    <t>Hrs</t>
  </si>
  <si>
    <t>Rate</t>
  </si>
  <si>
    <t>Total</t>
  </si>
  <si>
    <t>Production</t>
  </si>
  <si>
    <t>Production Overtime (1/2 rate hrs incl in Production)</t>
  </si>
  <si>
    <t>Direct Supervision/Planning Hours</t>
  </si>
  <si>
    <t>Labor Subtotal</t>
  </si>
  <si>
    <t>Labor Burden</t>
  </si>
  <si>
    <t>Production Overhead</t>
  </si>
  <si>
    <t>Full Load Shipping Estimate:</t>
  </si>
  <si>
    <t>Miles</t>
  </si>
  <si>
    <t>Cost</t>
  </si>
  <si>
    <t>Materials</t>
  </si>
  <si>
    <t>New Orleans</t>
  </si>
  <si>
    <t>Baton Rouge</t>
  </si>
  <si>
    <t>Coating</t>
  </si>
  <si>
    <t>Lafayette</t>
  </si>
  <si>
    <t>Lake Charles</t>
  </si>
  <si>
    <t>OTR</t>
  </si>
  <si>
    <t>LTL (Quote)</t>
  </si>
  <si>
    <t>Subtotal</t>
  </si>
  <si>
    <t>Fee</t>
  </si>
  <si>
    <t>Shipping (enter value from Full Load Shipping Estimate)</t>
  </si>
  <si>
    <t>Fabrication Quote</t>
  </si>
  <si>
    <t>Vendor</t>
  </si>
  <si>
    <t>(LANCE TRACKING)</t>
  </si>
  <si>
    <t>LABOR INCLUDES ALL ASPECTS OF FABRICATING THE UNITS SELECTED; INCLUDING PIPING (UNISTRUT IS ON STRUCTURAL SHEETS)</t>
  </si>
  <si>
    <t>LAV DBL</t>
  </si>
  <si>
    <t>UR DBL</t>
  </si>
  <si>
    <t>UR SGL</t>
  </si>
  <si>
    <t>LAV SGL</t>
  </si>
  <si>
    <t>WC'S / UR'S / LAV'S</t>
  </si>
  <si>
    <t>MISCELLANEOUS LABOR</t>
  </si>
  <si>
    <t>QTY</t>
  </si>
  <si>
    <t>UNIT HRS</t>
  </si>
  <si>
    <t>EXT HRS</t>
  </si>
  <si>
    <t>EXT MD'S</t>
  </si>
  <si>
    <t>MISC. LABOR</t>
  </si>
  <si>
    <t>PRODUCTION FABRICATION TIME BREAKDOWN</t>
  </si>
  <si>
    <t>SUBTOTAL</t>
  </si>
  <si>
    <t>ESTIMATED FABRICATION TIME (.61) BREAKDOWN</t>
  </si>
  <si>
    <t>DISCOUNTED MCA BASE ESTIMATE (DO NOT USE)</t>
  </si>
  <si>
    <t>DO</t>
  </si>
  <si>
    <t>NOT</t>
  </si>
  <si>
    <t>USE</t>
  </si>
  <si>
    <t>SUP'V &amp; PLANNING</t>
  </si>
  <si>
    <t>GRAND TOTAL</t>
  </si>
  <si>
    <t>PROMISE DATE WORKSHEET</t>
  </si>
  <si>
    <t>HANDLERS</t>
  </si>
  <si>
    <t>FITTER</t>
  </si>
  <si>
    <t>PLUMBER</t>
  </si>
  <si>
    <t>PLUMBER MG</t>
  </si>
  <si>
    <t>INSTALLER</t>
  </si>
  <si>
    <t>APPRENTICE</t>
  </si>
  <si>
    <t>STAINLESS</t>
  </si>
  <si>
    <t>CARBON</t>
  </si>
  <si>
    <t>COPPER MG</t>
  </si>
  <si>
    <t>STRUCT</t>
  </si>
  <si>
    <t>HGR/SUP</t>
  </si>
  <si>
    <t>IN MANDAYS</t>
  </si>
  <si>
    <t>WELDER 6G</t>
  </si>
  <si>
    <t>WELDER D1</t>
  </si>
  <si>
    <t>CRAFT</t>
  </si>
  <si>
    <t>QTY USED</t>
  </si>
  <si>
    <t>SHEET METAL</t>
  </si>
  <si>
    <t>SHOP RECAP</t>
  </si>
  <si>
    <t>PRODUCTION FABRICATION TIME (0.55)</t>
  </si>
  <si>
    <t>ESTIMATED FABRICATION TIME (0.61)</t>
  </si>
  <si>
    <t>LABOR BURDEN</t>
  </si>
  <si>
    <t>NON-UNION</t>
  </si>
  <si>
    <t>UNION</t>
  </si>
  <si>
    <t>PRODUCTION OVERHEAD</t>
  </si>
  <si>
    <t>LUMP SUM</t>
  </si>
  <si>
    <t>GMP</t>
  </si>
  <si>
    <t xml:space="preserve"> PLEASE SELECT: </t>
  </si>
  <si>
    <t>RACKS / ASSEMBLIES</t>
  </si>
  <si>
    <t>MISC LABOR</t>
  </si>
  <si>
    <t>CI</t>
  </si>
  <si>
    <t>CU</t>
  </si>
  <si>
    <t>EQ</t>
  </si>
  <si>
    <t>CREW DAYS</t>
  </si>
  <si>
    <t>POSSIBLE</t>
  </si>
  <si>
    <t>REQ DATE</t>
  </si>
  <si>
    <r>
      <t>CUTTER</t>
    </r>
    <r>
      <rPr>
        <sz val="10"/>
        <color theme="1"/>
        <rFont val="Calibri"/>
        <family val="2"/>
        <scheme val="minor"/>
      </rPr>
      <t>(STEEL)</t>
    </r>
  </si>
  <si>
    <r>
      <t>CUTTER</t>
    </r>
    <r>
      <rPr>
        <sz val="10"/>
        <color theme="1"/>
        <rFont val="Calibri"/>
        <family val="2"/>
        <scheme val="minor"/>
      </rPr>
      <t>(STRUCT)</t>
    </r>
  </si>
  <si>
    <r>
      <t>CUTTER</t>
    </r>
    <r>
      <rPr>
        <sz val="10"/>
        <color theme="1"/>
        <rFont val="Calibri"/>
        <family val="2"/>
        <scheme val="minor"/>
      </rPr>
      <t>(COPPER)</t>
    </r>
  </si>
  <si>
    <r>
      <t>CUTTER</t>
    </r>
    <r>
      <rPr>
        <sz val="10"/>
        <color theme="1"/>
        <rFont val="Calibri"/>
        <family val="2"/>
        <scheme val="minor"/>
      </rPr>
      <t>(CI\PVC)</t>
    </r>
  </si>
  <si>
    <t>CARBON STEEL O-LETS</t>
  </si>
  <si>
    <t>(MCC BOOK, O-LET SIZES 1/2-8; ESTIMATORS PIPING MANHOUR MANUAL SIZES 10-16) (THIS INCLUDES HANDLING, CUTTING OF HEADER, FIT UP, AND WELD OF O-LET…DOES NOT INCLUDE THE JOINT ON THE FACE (BRANCH SIDE) OF THE O-LET)</t>
  </si>
  <si>
    <t>CS PIPE COMBINED LESS O-LET</t>
  </si>
  <si>
    <t>O-LETS</t>
  </si>
  <si>
    <t>TOTAL NO. OF PCS</t>
  </si>
  <si>
    <t>MATERIAL CATEGORY</t>
  </si>
  <si>
    <t>SPL QTY</t>
  </si>
  <si>
    <t>RACKS</t>
  </si>
  <si>
    <t>UNIT HANDLING HOURS</t>
  </si>
  <si>
    <t>UNIT SUP'V HOURS</t>
  </si>
  <si>
    <t>UNIT FAB HOURS</t>
  </si>
  <si>
    <t>FOR ITEMS NOT BROKEN OUT BY TASKS; ASSUME THE FOLLOWING</t>
  </si>
  <si>
    <t>HANDLING = 20%</t>
  </si>
  <si>
    <t>FABRICATION = 80%</t>
  </si>
  <si>
    <t>EXAMPLE: TOTAL HOURS = 100 (20 HANDLING, 80 FABRICATION)</t>
  </si>
  <si>
    <t>MISC./ASS'LY/HANGER</t>
  </si>
  <si>
    <t>Size</t>
  </si>
  <si>
    <t>Spool</t>
  </si>
  <si>
    <t>Tag</t>
  </si>
  <si>
    <t>Job Name</t>
  </si>
  <si>
    <t>SO #</t>
  </si>
  <si>
    <t>Cut Length</t>
  </si>
  <si>
    <t>Qty</t>
  </si>
  <si>
    <t>Material</t>
  </si>
  <si>
    <t>SCH</t>
  </si>
  <si>
    <t>"L" = &lt; 1-1/2"</t>
  </si>
  <si>
    <t>1/2</t>
  </si>
  <si>
    <t>3/4</t>
  </si>
  <si>
    <t>1-1/4</t>
  </si>
  <si>
    <t>1-1/2</t>
  </si>
  <si>
    <t>"L" = &lt; '1-1/2"</t>
  </si>
  <si>
    <t>2-1/2</t>
  </si>
  <si>
    <t>Carbon Steel</t>
  </si>
  <si>
    <t>Conn Type #1</t>
  </si>
  <si>
    <t>Conn Type #2</t>
  </si>
  <si>
    <t>Stainless Steel</t>
  </si>
  <si>
    <t>itm CID</t>
  </si>
  <si>
    <t>Service Type</t>
  </si>
  <si>
    <t>Service</t>
  </si>
  <si>
    <t>Description (2)</t>
  </si>
  <si>
    <t>Material Data</t>
  </si>
  <si>
    <t>Size (inch)</t>
  </si>
  <si>
    <t>Size Outlets</t>
  </si>
  <si>
    <t>Conn Type #3</t>
  </si>
  <si>
    <t>1</t>
  </si>
  <si>
    <t>2</t>
  </si>
  <si>
    <t>3</t>
  </si>
  <si>
    <t>4</t>
  </si>
  <si>
    <t>5</t>
  </si>
  <si>
    <t>6</t>
  </si>
  <si>
    <t>8</t>
  </si>
  <si>
    <t>10</t>
  </si>
  <si>
    <t>12</t>
  </si>
  <si>
    <t>14</t>
  </si>
  <si>
    <t>16</t>
  </si>
  <si>
    <t>18</t>
  </si>
  <si>
    <t>20</t>
  </si>
  <si>
    <t>24</t>
  </si>
  <si>
    <t>30</t>
  </si>
  <si>
    <t>36</t>
  </si>
  <si>
    <t>15</t>
  </si>
  <si>
    <t>32</t>
  </si>
  <si>
    <t>Cast Iron N.H.</t>
  </si>
  <si>
    <t>Copper (AC/PLBG)</t>
  </si>
  <si>
    <t>Copper (MED GAS)</t>
  </si>
  <si>
    <t>Poly</t>
  </si>
  <si>
    <t>*****</t>
  </si>
  <si>
    <t>GRV</t>
  </si>
  <si>
    <t>THRD</t>
  </si>
  <si>
    <t>T-D</t>
  </si>
  <si>
    <t>SW</t>
  </si>
  <si>
    <t>PIPE END PREP CONN #1</t>
  </si>
  <si>
    <t>PIPE END PREP CONN #2</t>
  </si>
  <si>
    <t>FITTINGS</t>
  </si>
  <si>
    <t>PIPE &amp; CUTS</t>
  </si>
  <si>
    <t>GROOVED</t>
  </si>
  <si>
    <t>THREADED</t>
  </si>
  <si>
    <t>WELD</t>
  </si>
  <si>
    <t>O-LET</t>
  </si>
  <si>
    <t>FLANGED</t>
  </si>
  <si>
    <t>PRESSED</t>
  </si>
  <si>
    <t>0.5</t>
  </si>
  <si>
    <t>0.75</t>
  </si>
  <si>
    <t>1.25</t>
  </si>
  <si>
    <t>1.5</t>
  </si>
  <si>
    <t>2.5</t>
  </si>
  <si>
    <t>FLANGED CONN #1</t>
  </si>
  <si>
    <t>FLANGED CONN #2</t>
  </si>
  <si>
    <t>FLANGED CONN #3</t>
  </si>
  <si>
    <t>T-DRILLS</t>
  </si>
  <si>
    <t>CARBON STEEL FLANGED JOINT</t>
  </si>
  <si>
    <t>CARBON STEEL GROOVED JOINT</t>
  </si>
  <si>
    <t>STAINLESS STEEL FLANGED JOINT</t>
  </si>
  <si>
    <t>STAINLESS STEEL GROOVED JOINT</t>
  </si>
  <si>
    <t>SOLDERED</t>
  </si>
  <si>
    <t>COPPER FLANGED JOINT (AC/PLBG)</t>
  </si>
  <si>
    <t>COPPER GROOVED JOINT (AC/PLBG)</t>
  </si>
  <si>
    <t>COPPER FLANGED JOINT (MED GAS)</t>
  </si>
  <si>
    <t>ASSEMBLIES (VALVES &amp; STRAINERS)</t>
  </si>
  <si>
    <t>FLANGED BUTTERFLY VALVES</t>
  </si>
  <si>
    <t>FLANGED CHECK VALVES</t>
  </si>
  <si>
    <t>FLANGED GATE VALVES</t>
  </si>
  <si>
    <t>GROOVED CHECK VALVES</t>
  </si>
  <si>
    <t>FLANGED STRAINERS</t>
  </si>
  <si>
    <t>GROOVED BUTTERFLY VALVES</t>
  </si>
  <si>
    <t xml:space="preserve">TOT: </t>
  </si>
  <si>
    <t>Inlet Diameter</t>
  </si>
  <si>
    <t>Fitting Type</t>
  </si>
  <si>
    <t>TOTAL Length (dec ft)</t>
  </si>
  <si>
    <t>Grand Total</t>
  </si>
  <si>
    <t>MATERIAL HANDLING &amp; CUTTING</t>
  </si>
  <si>
    <t>MATERIAL FITTINGS</t>
  </si>
  <si>
    <t>MATERIAL</t>
  </si>
  <si>
    <t>HANDLING</t>
  </si>
  <si>
    <t>Row Labels</t>
  </si>
  <si>
    <t>******</t>
  </si>
  <si>
    <t>NIPPLES</t>
  </si>
  <si>
    <t>PIPES</t>
  </si>
  <si>
    <t>Project Name</t>
  </si>
  <si>
    <t>Project Number</t>
  </si>
  <si>
    <t>Issued Date</t>
  </si>
  <si>
    <t>Shop Order Number</t>
  </si>
  <si>
    <t>(blank)</t>
  </si>
  <si>
    <t>2"</t>
  </si>
  <si>
    <t>1 1/4"</t>
  </si>
  <si>
    <t>3/4"</t>
  </si>
  <si>
    <t>1"</t>
  </si>
  <si>
    <t>1 1/2"</t>
  </si>
  <si>
    <t>1-1/2"</t>
  </si>
  <si>
    <t>1-1/4"</t>
  </si>
  <si>
    <t>2-1/2"</t>
  </si>
  <si>
    <t>3"</t>
  </si>
  <si>
    <t>15"</t>
  </si>
  <si>
    <t>20"</t>
  </si>
  <si>
    <t>24"</t>
  </si>
  <si>
    <t>30"</t>
  </si>
  <si>
    <t>32"</t>
  </si>
  <si>
    <t>36"</t>
  </si>
  <si>
    <t>2 1/2"</t>
  </si>
  <si>
    <t>`</t>
  </si>
  <si>
    <t>Column1</t>
  </si>
  <si>
    <t>Unique Id</t>
  </si>
  <si>
    <t>Project Address</t>
  </si>
  <si>
    <t>System</t>
  </si>
  <si>
    <t>Area</t>
  </si>
  <si>
    <t>Drawn By</t>
  </si>
  <si>
    <t>Company</t>
  </si>
  <si>
    <t>FAB Service Abbrv</t>
  </si>
  <si>
    <t>Description (1)</t>
  </si>
  <si>
    <t>Schedule/Rating</t>
  </si>
  <si>
    <t>Alias</t>
  </si>
  <si>
    <t>Manufacturer</t>
  </si>
  <si>
    <t>Material Group</t>
  </si>
  <si>
    <t>Material Abbreviation</t>
  </si>
  <si>
    <t>Size (dec)</t>
  </si>
  <si>
    <t>Size Branches</t>
  </si>
  <si>
    <t>RFA Size</t>
  </si>
  <si>
    <t>RFA Size (max)</t>
  </si>
  <si>
    <t>RFA Size (max dec)</t>
  </si>
  <si>
    <t>Length (ft)</t>
  </si>
  <si>
    <t>Length (dec ft)</t>
  </si>
  <si>
    <t>Quantity</t>
  </si>
  <si>
    <t>Manufacturer Order Number</t>
  </si>
  <si>
    <t>RFA Model Number</t>
  </si>
  <si>
    <t>Spool Name</t>
  </si>
  <si>
    <t>Spool Name (PiM)</t>
  </si>
  <si>
    <t>Entity Status</t>
  </si>
  <si>
    <t>Item Number</t>
  </si>
  <si>
    <t>Mark</t>
  </si>
  <si>
    <t>Weight</t>
  </si>
  <si>
    <t>Level</t>
  </si>
  <si>
    <t>Category</t>
  </si>
  <si>
    <t>Sub Type</t>
  </si>
  <si>
    <t>Bernhard LB ID</t>
  </si>
  <si>
    <t>JD Edwards ID</t>
  </si>
  <si>
    <t>Hanger Diameter</t>
  </si>
  <si>
    <t>Rod Diameter</t>
  </si>
  <si>
    <t>Rod Diameter (dec)</t>
  </si>
  <si>
    <t>Rod Inset Depth</t>
  </si>
  <si>
    <t>Rod Length</t>
  </si>
  <si>
    <t>Rod Length (dec)</t>
  </si>
  <si>
    <t>Conn Type #4</t>
  </si>
  <si>
    <t>Conn Type #5</t>
  </si>
  <si>
    <t>Conn Type #6</t>
  </si>
  <si>
    <t>Conn Type #7</t>
  </si>
  <si>
    <t>Conn Type #8</t>
  </si>
  <si>
    <t>_1</t>
  </si>
  <si>
    <t>_2</t>
  </si>
  <si>
    <t>_3</t>
  </si>
  <si>
    <t>_4</t>
  </si>
  <si>
    <t>_5</t>
  </si>
  <si>
    <t>_6</t>
  </si>
  <si>
    <t>_7</t>
  </si>
  <si>
    <t>237666ae-b89d-4571-bf0d-ccb06c53c266-0029890f</t>
  </si>
  <si>
    <t>UNC Carrington Hall Phase 2</t>
  </si>
  <si>
    <t>120 Medical Drive, Chapel Hill, NC 27514</t>
  </si>
  <si>
    <t>Condensate</t>
  </si>
  <si>
    <t>A, C,D</t>
  </si>
  <si>
    <t>87400403</t>
  </si>
  <si>
    <t/>
  </si>
  <si>
    <t>Straight</t>
  </si>
  <si>
    <t>Drainage</t>
  </si>
  <si>
    <t>AGM: Condensate Drain (CD)</t>
  </si>
  <si>
    <t>CD</t>
  </si>
  <si>
    <t>Pipe - Copper DWV</t>
  </si>
  <si>
    <t>DWV</t>
  </si>
  <si>
    <t>Mueller</t>
  </si>
  <si>
    <t>BIMrxDBS</t>
  </si>
  <si>
    <t>Copper</t>
  </si>
  <si>
    <t>Cu</t>
  </si>
  <si>
    <t>14' - 4 1/2"</t>
  </si>
  <si>
    <t>PLC-CD-06</t>
  </si>
  <si>
    <t>Spooled</t>
  </si>
  <si>
    <t>12981</t>
  </si>
  <si>
    <t>11.63</t>
  </si>
  <si>
    <t>PLAZA LEVEL</t>
  </si>
  <si>
    <t>MEP Fabrication Pipework</t>
  </si>
  <si>
    <t>MDSK_MUE_000101-0002</t>
  </si>
  <si>
    <t>Mueller Copper Plain End (Pipe)</t>
  </si>
  <si>
    <t>237666ae-b89d-4571-bf0d-ccb06c53c266-00298915</t>
  </si>
  <si>
    <t>7' - 0 3/8"</t>
  </si>
  <si>
    <t>PLC-CD-02</t>
  </si>
  <si>
    <t>5.69</t>
  </si>
  <si>
    <t>237666ae-b89d-4571-bf0d-ccb06c53c266-0029891b</t>
  </si>
  <si>
    <t>11' - 11 5/8"</t>
  </si>
  <si>
    <t>PLD-CD-02</t>
  </si>
  <si>
    <t>9.68</t>
  </si>
  <si>
    <t>237666ae-b89d-4571-bf0d-ccb06c53c266-0029891e</t>
  </si>
  <si>
    <t>5' - 8 3/8"</t>
  </si>
  <si>
    <t>PLD-CD-03</t>
  </si>
  <si>
    <t>4.61</t>
  </si>
  <si>
    <t>237666ae-b89d-4571-bf0d-ccb06c53c266-00298924</t>
  </si>
  <si>
    <t>9' - 11 3/8"</t>
  </si>
  <si>
    <t>PLC-CD-08</t>
  </si>
  <si>
    <t>8.05</t>
  </si>
  <si>
    <t>237666ae-b89d-4571-bf0d-ccb06c53c266-0029892d</t>
  </si>
  <si>
    <t>10' - 7 1/8"</t>
  </si>
  <si>
    <t>PLC-CD-07</t>
  </si>
  <si>
    <t>8.57</t>
  </si>
  <si>
    <t>237666ae-b89d-4571-bf0d-ccb06c53c266-00298b1a</t>
  </si>
  <si>
    <t>Fitting</t>
  </si>
  <si>
    <t>907 DWV 90 Elbow C x C - Wrot</t>
  </si>
  <si>
    <t>90</t>
  </si>
  <si>
    <t>Nibco</t>
  </si>
  <si>
    <t>0.32</t>
  </si>
  <si>
    <t>MDSK_NIB_000051-0002</t>
  </si>
  <si>
    <t>Nibco Copper (DWV) Cup</t>
  </si>
  <si>
    <t>acd491e1-b885-4972-b735-049e7ea592d7-002d5391</t>
  </si>
  <si>
    <t>Pipework</t>
  </si>
  <si>
    <t>606 45 Elbow C x C - Wrot</t>
  </si>
  <si>
    <t>Wrot</t>
  </si>
  <si>
    <t>45</t>
  </si>
  <si>
    <t>PLA-CD-10</t>
  </si>
  <si>
    <t>0.1</t>
  </si>
  <si>
    <t>MDSK_NIB_000066-0006</t>
  </si>
  <si>
    <t>Nibco Copper Cup</t>
  </si>
  <si>
    <t>7d930897-721f-4ac6-99a2-c4061f4caacf-002e4fcb</t>
  </si>
  <si>
    <t>911 DWV Tee C x C x C - Wrot</t>
  </si>
  <si>
    <t>T</t>
  </si>
  <si>
    <t>0.49</t>
  </si>
  <si>
    <t>MDSK_NIB_000054-0002</t>
  </si>
  <si>
    <t>7d930897-721f-4ac6-99a2-c4061f4caacf-002e50b9</t>
  </si>
  <si>
    <t>7d930897-721f-4ac6-99a2-c4061f4caacf-002e50bc</t>
  </si>
  <si>
    <t>3' - 2 5/8"</t>
  </si>
  <si>
    <t>2.6</t>
  </si>
  <si>
    <t>e8a53a3a-6131-4f99-ad98-2299de1c717f-0039d833</t>
  </si>
  <si>
    <t>PLA-CD-01</t>
  </si>
  <si>
    <t>0.18</t>
  </si>
  <si>
    <t>MDSK_NIB_000051-0001</t>
  </si>
  <si>
    <t>dbd99e9a-ef70-4eb2-a4c4-46c949251837-003a5963</t>
  </si>
  <si>
    <t>3' - 5"</t>
  </si>
  <si>
    <t>PLC-CD-01</t>
  </si>
  <si>
    <t>2.76</t>
  </si>
  <si>
    <t>dbd99e9a-ef70-4eb2-a4c4-46c949251837-003a5d5b</t>
  </si>
  <si>
    <t>906 DWV 45 Elbow C x C - Wrot</t>
  </si>
  <si>
    <t>0.21</t>
  </si>
  <si>
    <t>MDSK_NIB_000049-0002</t>
  </si>
  <si>
    <t>dbd99e9a-ef70-4eb2-a4c4-46c949251837-003a5dce</t>
  </si>
  <si>
    <t>Pipe - B88 Copper Type M</t>
  </si>
  <si>
    <t>Type M</t>
  </si>
  <si>
    <t>(Generic)</t>
  </si>
  <si>
    <t>2' - 8 1/2"</t>
  </si>
  <si>
    <t>2.54</t>
  </si>
  <si>
    <t>MDSK_GEN_000402-0006</t>
  </si>
  <si>
    <t>Generic Copper Plain End (Pipe)</t>
  </si>
  <si>
    <t>dbd99e9a-ef70-4eb2-a4c4-46c949251837-003a5de6</t>
  </si>
  <si>
    <t>65aed96e-d8a7-4ccf-98fd-fbdea0cdd39b-003a60c3</t>
  </si>
  <si>
    <t>0' - 2 5/8"</t>
  </si>
  <si>
    <t>65aed96e-d8a7-4ccf-98fd-fbdea0cdd39b-003a60da</t>
  </si>
  <si>
    <t>0f74580a-526d-4be2-bbf1-94bf81eea1c4-003e17ef</t>
  </si>
  <si>
    <t>2' - 4 1/4"</t>
  </si>
  <si>
    <t>PLD-CD-05</t>
  </si>
  <si>
    <t>1.91</t>
  </si>
  <si>
    <t>0f74580a-526d-4be2-bbf1-94bf81eea1c4-003e18eb</t>
  </si>
  <si>
    <t>PLD-CD-04</t>
  </si>
  <si>
    <t>0f74580a-526d-4be2-bbf1-94bf81eea1c4-003e18ff</t>
  </si>
  <si>
    <t>0f74580a-526d-4be2-bbf1-94bf81eea1c4-003e1947</t>
  </si>
  <si>
    <t>1' - 4 7/8"</t>
  </si>
  <si>
    <t>1.14</t>
  </si>
  <si>
    <t>0f74580a-526d-4be2-bbf1-94bf81eea1c4-003e1a7f</t>
  </si>
  <si>
    <t>0' - 5 1/2"</t>
  </si>
  <si>
    <t>0.37</t>
  </si>
  <si>
    <t>0f74580a-526d-4be2-bbf1-94bf81eea1c4-003e1a95</t>
  </si>
  <si>
    <t>3ccbd990-10d8-428a-b07b-f3acca3c5d24-005790f2</t>
  </si>
  <si>
    <t>611 Tee C x C x C - Wrot</t>
  </si>
  <si>
    <t>PLA-CD-08</t>
  </si>
  <si>
    <t>0.16</t>
  </si>
  <si>
    <t>MDSK_NIB_000076-0042</t>
  </si>
  <si>
    <t>3ccbd990-10d8-428a-b07b-f3acca3c5d24-00579249</t>
  </si>
  <si>
    <t>603-2 Fitting Adapter Ftg x F - Wrot</t>
  </si>
  <si>
    <t>0.13</t>
  </si>
  <si>
    <t>MDSK_NIB_000063-0005</t>
  </si>
  <si>
    <t>Nibco Copper FPT (Hex)</t>
  </si>
  <si>
    <t>Nibco Copper Plain End</t>
  </si>
  <si>
    <t>3ccbd990-10d8-428a-b07b-f3acca3c5d24-00579266</t>
  </si>
  <si>
    <t>Joint</t>
  </si>
  <si>
    <t>Threaded Joint</t>
  </si>
  <si>
    <t>Standard</t>
  </si>
  <si>
    <t>0.08</t>
  </si>
  <si>
    <t>MDSK_NIB_000321-0001</t>
  </si>
  <si>
    <t>Nibco PVC (DWV) MPT</t>
  </si>
  <si>
    <t>3ccbd990-10d8-428a-b07b-f3acca3c5d24-0057926a</t>
  </si>
  <si>
    <t>CS</t>
  </si>
  <si>
    <t>MDSK_JOINT_000041-0005</t>
  </si>
  <si>
    <t>Generic Threaded Joint (C1) (Male)</t>
  </si>
  <si>
    <t>Generic Threaded Joint (C2) (Female)</t>
  </si>
  <si>
    <t>8ba1ce2a-f395-4c11-a8a2-e2bafdf840d3-0057bb51</t>
  </si>
  <si>
    <t>11' - 3 1/8"</t>
  </si>
  <si>
    <t>PLD-CD-01</t>
  </si>
  <si>
    <t>9.11</t>
  </si>
  <si>
    <t>8ba1ce2a-f395-4c11-a8a2-e2bafdf840d3-0057bbfb</t>
  </si>
  <si>
    <t>8ba1ce2a-f395-4c11-a8a2-e2bafdf840d3-0057bc5b</t>
  </si>
  <si>
    <t>816 - Cleanout w Plug C - Cast</t>
  </si>
  <si>
    <t>0.59</t>
  </si>
  <si>
    <t>MDSK_NIB_000320-0002</t>
  </si>
  <si>
    <t>Nibco Copper (Cast) Blank (Plug Square End)</t>
  </si>
  <si>
    <t>8ba1ce2a-f395-4c11-a8a2-e2bafdf840d3-0057c022</t>
  </si>
  <si>
    <t>8ba1ce2a-f395-4c11-a8a2-e2bafdf840d3-0057c096</t>
  </si>
  <si>
    <t>8ba1ce2a-f395-4c11-a8a2-e2bafdf840d3-0057c0da</t>
  </si>
  <si>
    <t>8ba1ce2a-f395-4c11-a8a2-e2bafdf840d3-0057c152</t>
  </si>
  <si>
    <t>d7aae066-93ad-4262-9398-c70251b7b472-005a2844</t>
  </si>
  <si>
    <t>7' - 1 1/2"</t>
  </si>
  <si>
    <t>2.34</t>
  </si>
  <si>
    <t>MDSK_GEN_000402-0003</t>
  </si>
  <si>
    <t>d7aae066-93ad-4262-9398-c70251b7b472-005a28a4</t>
  </si>
  <si>
    <t>Soldered Joint</t>
  </si>
  <si>
    <t>MDSK_JOINT_000036-0005</t>
  </si>
  <si>
    <t>Generic Soldered Joint (C1) (Male)</t>
  </si>
  <si>
    <t>Generic Soldered Joint (C2) (Female)</t>
  </si>
  <si>
    <t>d7aae066-93ad-4262-9398-c70251b7b472-005a293b</t>
  </si>
  <si>
    <t>0' - 10 3/4"</t>
  </si>
  <si>
    <t>0.29</t>
  </si>
  <si>
    <t>d7aae066-93ad-4262-9398-c70251b7b472-005a2957</t>
  </si>
  <si>
    <t>d7aae066-93ad-4262-9398-c70251b7b472-005a2a59</t>
  </si>
  <si>
    <t>0' - 11 1/4"</t>
  </si>
  <si>
    <t>0.31</t>
  </si>
  <si>
    <t>7abcb650-3317-42ae-96f0-d97d4a69d249-005a6204</t>
  </si>
  <si>
    <t>8' - 11"</t>
  </si>
  <si>
    <t>PLA-CD-09</t>
  </si>
  <si>
    <t>2.92</t>
  </si>
  <si>
    <t>85429ca3-4bcc-4f41-ae37-9a1d05de520c-005a6f78</t>
  </si>
  <si>
    <t>85429ca3-4bcc-4f41-ae37-9a1d05de520c-005a6f84</t>
  </si>
  <si>
    <t>85429ca3-4bcc-4f41-ae37-9a1d05de520c-005a7048</t>
  </si>
  <si>
    <t>85429ca3-4bcc-4f41-ae37-9a1d05de520c-005a704f</t>
  </si>
  <si>
    <t>20' - 0"</t>
  </si>
  <si>
    <t>PLA-CD-07</t>
  </si>
  <si>
    <t>6.56</t>
  </si>
  <si>
    <t>85429ca3-4bcc-4f41-ae37-9a1d05de520c-005a705f</t>
  </si>
  <si>
    <t>85429ca3-4bcc-4f41-ae37-9a1d05de520c-005a7109</t>
  </si>
  <si>
    <t>2' - 7 1/4"</t>
  </si>
  <si>
    <t>PLA-CD-05</t>
  </si>
  <si>
    <t>1.7</t>
  </si>
  <si>
    <t>MDSK_MUE_000101-0001</t>
  </si>
  <si>
    <t>85429ca3-4bcc-4f41-ae37-9a1d05de520c-005a751f</t>
  </si>
  <si>
    <t>MDSK_JOINT_000036-0008</t>
  </si>
  <si>
    <t>85429ca3-4bcc-4f41-ae37-9a1d05de520c-005a7552</t>
  </si>
  <si>
    <t>85429ca3-4bcc-4f41-ae37-9a1d05de520c-005a7563</t>
  </si>
  <si>
    <t>85429ca3-4bcc-4f41-ae37-9a1d05de520c-005a7578</t>
  </si>
  <si>
    <t>85429ca3-4bcc-4f41-ae37-9a1d05de520c-005a759e</t>
  </si>
  <si>
    <t>85429ca3-4bcc-4f41-ae37-9a1d05de520c-005a75a0</t>
  </si>
  <si>
    <t>85429ca3-4bcc-4f41-ae37-9a1d05de520c-005a75ae</t>
  </si>
  <si>
    <t>85429ca3-4bcc-4f41-ae37-9a1d05de520c-005a75c6</t>
  </si>
  <si>
    <t>85429ca3-4bcc-4f41-ae37-9a1d05de520c-005a75f1</t>
  </si>
  <si>
    <t>85429ca3-4bcc-4f41-ae37-9a1d05de520c-005a75f3</t>
  </si>
  <si>
    <t>600-RS Coupling with Rolled Tube Stop C x C - Wrot</t>
  </si>
  <si>
    <t>0.22</t>
  </si>
  <si>
    <t>MDSK_NIB_000060-0012</t>
  </si>
  <si>
    <t>Nibco Copper Cup (Coupling)</t>
  </si>
  <si>
    <t>85429ca3-4bcc-4f41-ae37-9a1d05de520c-005a75f6</t>
  </si>
  <si>
    <t>85429ca3-4bcc-4f41-ae37-9a1d05de520c-005a7612</t>
  </si>
  <si>
    <t>85429ca3-4bcc-4f41-ae37-9a1d05de520c-005a765e</t>
  </si>
  <si>
    <t>85429ca3-4bcc-4f41-ae37-9a1d05de520c-005a767e</t>
  </si>
  <si>
    <t>85429ca3-4bcc-4f41-ae37-9a1d05de520c-005a7698</t>
  </si>
  <si>
    <t>85429ca3-4bcc-4f41-ae37-9a1d05de520c-005a76b6</t>
  </si>
  <si>
    <t>85429ca3-4bcc-4f41-ae37-9a1d05de520c-005a7735</t>
  </si>
  <si>
    <t>85429ca3-4bcc-4f41-ae37-9a1d05de520c-005a77b7</t>
  </si>
  <si>
    <t>85429ca3-4bcc-4f41-ae37-9a1d05de520c-005a77bb</t>
  </si>
  <si>
    <t>85429ca3-4bcc-4f41-ae37-9a1d05de520c-005a77d1</t>
  </si>
  <si>
    <t>85429ca3-4bcc-4f41-ae37-9a1d05de520c-005a77e2</t>
  </si>
  <si>
    <t>85429ca3-4bcc-4f41-ae37-9a1d05de520c-005a77e4</t>
  </si>
  <si>
    <t>85429ca3-4bcc-4f41-ae37-9a1d05de520c-005a77f0</t>
  </si>
  <si>
    <t>85429ca3-4bcc-4f41-ae37-9a1d05de520c-005a7809</t>
  </si>
  <si>
    <t>8a1a49aa-23cd-44b4-9b47-13d0ff0419f4-005a8886</t>
  </si>
  <si>
    <t>PLC-CD-03</t>
  </si>
  <si>
    <t>8a1a49aa-23cd-44b4-9b47-13d0ff0419f4-005a88b8</t>
  </si>
  <si>
    <t>9' - 11 3/4"</t>
  </si>
  <si>
    <t>PLC-CD-05</t>
  </si>
  <si>
    <t>8.07</t>
  </si>
  <si>
    <t>8a1a49aa-23cd-44b4-9b47-13d0ff0419f4-005a88bb</t>
  </si>
  <si>
    <t>8a1a49aa-23cd-44b4-9b47-13d0ff0419f4-005a88cf</t>
  </si>
  <si>
    <t>0' - 5 7/8"</t>
  </si>
  <si>
    <t>PLC-CD-04</t>
  </si>
  <si>
    <t>0.4</t>
  </si>
  <si>
    <t>8a1a49aa-23cd-44b4-9b47-13d0ff0419f4-005a88ef</t>
  </si>
  <si>
    <t>8a1a49aa-23cd-44b4-9b47-13d0ff0419f4-005a8a25</t>
  </si>
  <si>
    <t>8a1a49aa-23cd-44b4-9b47-13d0ff0419f4-005a8a2d</t>
  </si>
  <si>
    <t>8a1a49aa-23cd-44b4-9b47-13d0ff0419f4-005a8a39</t>
  </si>
  <si>
    <t>2' - 6 7/8"</t>
  </si>
  <si>
    <t>2.08</t>
  </si>
  <si>
    <t>8a1a49aa-23cd-44b4-9b47-13d0ff0419f4-005a8a5d</t>
  </si>
  <si>
    <t>89b11114-ba35-44a3-a2e1-77c1d63343fe-005a9089</t>
  </si>
  <si>
    <t>89b11114-ba35-44a3-a2e1-77c1d63343fe-005a9c0d</t>
  </si>
  <si>
    <t>MDSK_JOINT_000036-0007</t>
  </si>
  <si>
    <t>89b11114-ba35-44a3-a2e1-77c1d63343fe-005a9de2</t>
  </si>
  <si>
    <t>89b11114-ba35-44a3-a2e1-77c1d63343fe-005a9e69</t>
  </si>
  <si>
    <t>89b11114-ba35-44a3-a2e1-77c1d63343fe-005a9e7d</t>
  </si>
  <si>
    <t>89b11114-ba35-44a3-a2e1-77c1d63343fe-005a9e88</t>
  </si>
  <si>
    <t>fa79b914-eb2b-43ae-bee8-973517d36efb-005aabf8</t>
  </si>
  <si>
    <t>MDSK_NIB_000054-0001</t>
  </si>
  <si>
    <t>fa79b914-eb2b-43ae-bee8-973517d36efb-005aac4c</t>
  </si>
  <si>
    <t>2' - 10 1/2"</t>
  </si>
  <si>
    <t>PLA-CD-06</t>
  </si>
  <si>
    <t>1.87</t>
  </si>
  <si>
    <t>fa79b914-eb2b-43ae-bee8-973517d36efb-005aac4f</t>
  </si>
  <si>
    <t>fa79b914-eb2b-43ae-bee8-973517d36efb-005aac51</t>
  </si>
  <si>
    <t>fa79b914-eb2b-43ae-bee8-973517d36efb-005aace3</t>
  </si>
  <si>
    <t>12' - 5 5/8"</t>
  </si>
  <si>
    <t>PLA-CD-04</t>
  </si>
  <si>
    <t>8.1</t>
  </si>
  <si>
    <t>fa79b914-eb2b-43ae-bee8-973517d36efb-005aae15</t>
  </si>
  <si>
    <t>fa79b914-eb2b-43ae-bee8-973517d36efb-005aae5c</t>
  </si>
  <si>
    <t>fa79b914-eb2b-43ae-bee8-973517d36efb-005aae89</t>
  </si>
  <si>
    <t>fa79b914-eb2b-43ae-bee8-973517d36efb-005aae9b</t>
  </si>
  <si>
    <t>MDSK_NIB_000320-0001</t>
  </si>
  <si>
    <t>fa79b914-eb2b-43ae-bee8-973517d36efb-005aaea1</t>
  </si>
  <si>
    <t>fa79b914-eb2b-43ae-bee8-973517d36efb-005aaf92</t>
  </si>
  <si>
    <t>fa79b914-eb2b-43ae-bee8-973517d36efb-005aafae</t>
  </si>
  <si>
    <t>fa79b914-eb2b-43ae-bee8-973517d36efb-005aaff0</t>
  </si>
  <si>
    <t>1' - 10 5/8"</t>
  </si>
  <si>
    <t>PLA-CD-03</t>
  </si>
  <si>
    <t>1.23</t>
  </si>
  <si>
    <t>fa79b914-eb2b-43ae-bee8-973517d36efb-005ab012</t>
  </si>
  <si>
    <t>fa79b914-eb2b-43ae-bee8-973517d36efb-005ab09f</t>
  </si>
  <si>
    <t>fa79b914-eb2b-43ae-bee8-973517d36efb-005ab0ab</t>
  </si>
  <si>
    <t>fa79b914-eb2b-43ae-bee8-973517d36efb-005ab132</t>
  </si>
  <si>
    <t>5' - 10 5/8"</t>
  </si>
  <si>
    <t>3.83</t>
  </si>
  <si>
    <t>fa79b914-eb2b-43ae-bee8-973517d36efb-005ab257</t>
  </si>
  <si>
    <t>fa79b914-eb2b-43ae-bee8-973517d36efb-005ab2c8</t>
  </si>
  <si>
    <t>PLA-CD-02</t>
  </si>
  <si>
    <t>fa79b914-eb2b-43ae-bee8-973517d36efb-005ab340</t>
  </si>
  <si>
    <t>12' - 6 3/8"</t>
  </si>
  <si>
    <t>8.55</t>
  </si>
  <si>
    <t>MDSK_GEN_000402-0005</t>
  </si>
  <si>
    <t>fa79b914-eb2b-43ae-bee8-973517d36efb-005ab343</t>
  </si>
  <si>
    <t>fa79b914-eb2b-43ae-bee8-973517d36efb-005ab37f</t>
  </si>
  <si>
    <t>fa79b914-eb2b-43ae-bee8-973517d36efb-005ab391</t>
  </si>
  <si>
    <t>fa79b914-eb2b-43ae-bee8-973517d36efb-005ab397</t>
  </si>
  <si>
    <t>fa79b914-eb2b-43ae-bee8-973517d36efb-005ab407</t>
  </si>
  <si>
    <t>600-2 Fitting Reducer Ftg x C - Wrot</t>
  </si>
  <si>
    <t>1-1/4x3/4</t>
  </si>
  <si>
    <t>MDSK_NIB_000058-0018</t>
  </si>
  <si>
    <t>fa79b914-eb2b-43ae-bee8-973517d36efb-005ab413</t>
  </si>
  <si>
    <t>fa79b914-eb2b-43ae-bee8-973517d36efb-005ab441</t>
  </si>
  <si>
    <t>fa79b914-eb2b-43ae-bee8-973517d36efb-005ab468</t>
  </si>
  <si>
    <t>7' - 3 7/8"</t>
  </si>
  <si>
    <t>4.99</t>
  </si>
  <si>
    <t>fa79b914-eb2b-43ae-bee8-973517d36efb-005ab4cc</t>
  </si>
  <si>
    <t>ecfacab4-0936-4f9e-a402-175eadb5c41c-005aba59</t>
  </si>
  <si>
    <t>ecfacab4-0936-4f9e-a402-175eadb5c41c-005aba70</t>
  </si>
  <si>
    <t>47392e17-435f-400d-9f86-50906602dc57-005ac913</t>
  </si>
  <si>
    <t>917-B Test Caps - Copper C - Wrot</t>
  </si>
  <si>
    <t>0.01</t>
  </si>
  <si>
    <t>MDSK_NIB_000055-0005</t>
  </si>
  <si>
    <t>Nibco Copper Cup (Cap)</t>
  </si>
  <si>
    <t>47392e17-435f-400d-9f86-50906602dc57-005ac918</t>
  </si>
  <si>
    <t>47392e17-435f-400d-9f86-50906602dc57-005ac91a</t>
  </si>
  <si>
    <t>47392e17-435f-400d-9f86-50906602dc57-005ac91e</t>
  </si>
  <si>
    <t>47392e17-435f-400d-9f86-50906602dc57-005ac920</t>
  </si>
  <si>
    <t>47392e17-435f-400d-9f86-50906602dc57-005ac924</t>
  </si>
  <si>
    <t>47392e17-435f-400d-9f86-50906602dc57-005aca04</t>
  </si>
  <si>
    <t>18' - 7 1/4"</t>
  </si>
  <si>
    <t>15.05</t>
  </si>
  <si>
    <t>47392e17-435f-400d-9f86-50906602dc57-005acade</t>
  </si>
  <si>
    <t>47392e17-435f-400d-9f86-50906602dc57-005acc28</t>
  </si>
  <si>
    <t>89a9e7fe-b244-49c4-adeb-5412e802ece3-005ace1f</t>
  </si>
  <si>
    <t>617 Tube Cap C - Wrot</t>
  </si>
  <si>
    <t>0.05</t>
  </si>
  <si>
    <t>MDSK_NIB_000081-0006</t>
  </si>
  <si>
    <t>89a9e7fe-b244-49c4-adeb-5412e802ece3-005ace24</t>
  </si>
  <si>
    <t>89a9e7fe-b244-49c4-adeb-5412e802ece3-005ace27</t>
  </si>
  <si>
    <t>89a9e7fe-b244-49c4-adeb-5412e802ece3-005ace2b</t>
  </si>
  <si>
    <t>89a9e7fe-b244-49c4-adeb-5412e802ece3-005acf31</t>
  </si>
  <si>
    <t>89a9e7fe-b244-49c4-adeb-5412e802ece3-005acf33</t>
  </si>
  <si>
    <t>0.06</t>
  </si>
  <si>
    <t>MDSK_NIB_000060-0008</t>
  </si>
  <si>
    <t>89a9e7fe-b244-49c4-adeb-5412e802ece3-005acf36</t>
  </si>
  <si>
    <t>89a9e7fe-b244-49c4-adeb-5412e802ece3-005acf38</t>
  </si>
  <si>
    <t>0' - 3 1/8"</t>
  </si>
  <si>
    <t>0.09</t>
  </si>
  <si>
    <t>89a9e7fe-b244-49c4-adeb-5412e802ece3-005acfe4</t>
  </si>
  <si>
    <t>Copper Total</t>
  </si>
  <si>
    <t>2041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</si>
</sst>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0.00000"/>
    <numFmt numFmtId="166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rgb="FF0033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u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8"/>
      <color rgb="FF00330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17"/>
      <color theme="0"/>
      <name val="Calibri"/>
      <family val="2"/>
      <scheme val="minor"/>
    </font>
    <font>
      <b/>
      <i/>
      <u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u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26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Trellis">
        <bgColor theme="9" tint="0.39994506668294322"/>
      </patternFill>
    </fill>
    <fill>
      <patternFill patternType="solid">
        <fgColor rgb="FFA6A6A6"/>
        <bgColor indexed="64"/>
      </patternFill>
    </fill>
    <fill>
      <patternFill patternType="solid">
        <fgColor rgb="FF092B24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92B24"/>
      </left>
      <right style="medium">
        <color rgb="FF092B24"/>
      </right>
      <top style="medium">
        <color rgb="FF092B24"/>
      </top>
      <bottom style="medium">
        <color rgb="FF092B2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7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773">
    <xf numFmtId="0" fontId="0" fillId="0" borderId="0" xfId="0"/>
    <xf numFmtId="0" fontId="0" fillId="2" borderId="7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2" fontId="0" fillId="4" borderId="13" xfId="0" applyNumberFormat="1" applyFill="1" applyBorder="1"/>
    <xf numFmtId="2" fontId="0" fillId="4" borderId="1" xfId="0" applyNumberFormat="1" applyFill="1" applyBorder="1"/>
    <xf numFmtId="2" fontId="0" fillId="4" borderId="14" xfId="0" applyNumberFormat="1" applyFill="1" applyBorder="1"/>
    <xf numFmtId="2" fontId="0" fillId="2" borderId="13" xfId="0" applyNumberFormat="1" applyFill="1" applyBorder="1"/>
    <xf numFmtId="2" fontId="0" fillId="2" borderId="1" xfId="0" applyNumberFormat="1" applyFill="1" applyBorder="1"/>
    <xf numFmtId="2" fontId="0" fillId="2" borderId="14" xfId="0" applyNumberFormat="1" applyFill="1" applyBorder="1"/>
    <xf numFmtId="2" fontId="0" fillId="5" borderId="13" xfId="0" applyNumberFormat="1" applyFill="1" applyBorder="1"/>
    <xf numFmtId="2" fontId="0" fillId="5" borderId="1" xfId="0" applyNumberFormat="1" applyFill="1" applyBorder="1"/>
    <xf numFmtId="2" fontId="0" fillId="5" borderId="14" xfId="0" applyNumberFormat="1" applyFill="1" applyBorder="1"/>
    <xf numFmtId="0" fontId="0" fillId="5" borderId="7" xfId="0" applyFill="1" applyBorder="1"/>
    <xf numFmtId="2" fontId="1" fillId="4" borderId="9" xfId="0" applyNumberFormat="1" applyFont="1" applyFill="1" applyBorder="1"/>
    <xf numFmtId="2" fontId="1" fillId="2" borderId="9" xfId="0" applyNumberFormat="1" applyFont="1" applyFill="1" applyBorder="1"/>
    <xf numFmtId="2" fontId="1" fillId="5" borderId="9" xfId="0" applyNumberFormat="1" applyFont="1" applyFill="1" applyBorder="1"/>
    <xf numFmtId="0" fontId="0" fillId="3" borderId="1" xfId="0" applyFill="1" applyBorder="1" applyAlignment="1">
      <alignment horizontal="right" wrapText="1"/>
    </xf>
    <xf numFmtId="0" fontId="0" fillId="6" borderId="1" xfId="0" applyFill="1" applyBorder="1" applyAlignment="1">
      <alignment horizontal="right" wrapText="1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3" borderId="16" xfId="0" applyFill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6" xfId="0" applyFill="1" applyBorder="1"/>
    <xf numFmtId="0" fontId="0" fillId="8" borderId="1" xfId="0" applyFill="1" applyBorder="1" applyAlignment="1">
      <alignment horizontal="right" wrapText="1"/>
    </xf>
    <xf numFmtId="0" fontId="0" fillId="8" borderId="7" xfId="0" applyFill="1" applyBorder="1"/>
    <xf numFmtId="0" fontId="0" fillId="8" borderId="8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0" xfId="0" applyFill="1"/>
    <xf numFmtId="0" fontId="0" fillId="8" borderId="16" xfId="0" applyFill="1" applyBorder="1"/>
    <xf numFmtId="0" fontId="0" fillId="7" borderId="1" xfId="0" applyFill="1" applyBorder="1" applyAlignment="1">
      <alignment horizontal="right" wrapText="1"/>
    </xf>
    <xf numFmtId="0" fontId="0" fillId="7" borderId="7" xfId="0" applyFill="1" applyBorder="1"/>
    <xf numFmtId="0" fontId="0" fillId="7" borderId="8" xfId="0" applyFill="1" applyBorder="1"/>
    <xf numFmtId="0" fontId="0" fillId="7" borderId="0" xfId="0" applyFill="1"/>
    <xf numFmtId="0" fontId="0" fillId="7" borderId="16" xfId="0" applyFill="1" applyBorder="1"/>
    <xf numFmtId="0" fontId="0" fillId="9" borderId="1" xfId="0" applyFill="1" applyBorder="1" applyAlignment="1">
      <alignment horizontal="right" wrapText="1"/>
    </xf>
    <xf numFmtId="2" fontId="0" fillId="9" borderId="2" xfId="0" applyNumberFormat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0" xfId="0" applyFill="1"/>
    <xf numFmtId="0" fontId="0" fillId="9" borderId="1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16" xfId="0" applyFill="1" applyBorder="1"/>
    <xf numFmtId="0" fontId="5" fillId="10" borderId="1" xfId="0" applyFont="1" applyFill="1" applyBorder="1" applyAlignment="1">
      <alignment horizontal="right" wrapText="1"/>
    </xf>
    <xf numFmtId="0" fontId="5" fillId="10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right" wrapText="1"/>
    </xf>
    <xf numFmtId="0" fontId="0" fillId="11" borderId="7" xfId="0" applyFill="1" applyBorder="1"/>
    <xf numFmtId="0" fontId="0" fillId="11" borderId="8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0" xfId="0" applyFill="1"/>
    <xf numFmtId="0" fontId="0" fillId="11" borderId="16" xfId="0" applyFill="1" applyBorder="1"/>
    <xf numFmtId="0" fontId="6" fillId="5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/>
    <xf numFmtId="0" fontId="12" fillId="10" borderId="1" xfId="0" applyFont="1" applyFill="1" applyBorder="1" applyAlignment="1">
      <alignment horizontal="right"/>
    </xf>
    <xf numFmtId="2" fontId="0" fillId="3" borderId="1" xfId="0" applyNumberFormat="1" applyFill="1" applyBorder="1"/>
    <xf numFmtId="2" fontId="1" fillId="3" borderId="1" xfId="0" applyNumberFormat="1" applyFont="1" applyFill="1" applyBorder="1"/>
    <xf numFmtId="2" fontId="0" fillId="6" borderId="1" xfId="0" applyNumberFormat="1" applyFill="1" applyBorder="1"/>
    <xf numFmtId="2" fontId="1" fillId="6" borderId="1" xfId="0" applyNumberFormat="1" applyFont="1" applyFill="1" applyBorder="1"/>
    <xf numFmtId="2" fontId="0" fillId="13" borderId="1" xfId="0" applyNumberFormat="1" applyFill="1" applyBorder="1"/>
    <xf numFmtId="2" fontId="1" fillId="13" borderId="1" xfId="0" applyNumberFormat="1" applyFont="1" applyFill="1" applyBorder="1"/>
    <xf numFmtId="2" fontId="0" fillId="9" borderId="1" xfId="0" applyNumberFormat="1" applyFill="1" applyBorder="1"/>
    <xf numFmtId="2" fontId="1" fillId="9" borderId="1" xfId="0" applyNumberFormat="1" applyFont="1" applyFill="1" applyBorder="1"/>
    <xf numFmtId="2" fontId="0" fillId="12" borderId="1" xfId="0" applyNumberFormat="1" applyFill="1" applyBorder="1"/>
    <xf numFmtId="2" fontId="1" fillId="12" borderId="1" xfId="0" applyNumberFormat="1" applyFont="1" applyFill="1" applyBorder="1"/>
    <xf numFmtId="2" fontId="0" fillId="10" borderId="1" xfId="0" applyNumberFormat="1" applyFill="1" applyBorder="1"/>
    <xf numFmtId="2" fontId="1" fillId="10" borderId="1" xfId="0" applyNumberFormat="1" applyFont="1" applyFill="1" applyBorder="1"/>
    <xf numFmtId="0" fontId="1" fillId="3" borderId="2" xfId="0" applyFont="1" applyFill="1" applyBorder="1" applyAlignment="1">
      <alignment horizontal="right" wrapText="1"/>
    </xf>
    <xf numFmtId="2" fontId="1" fillId="3" borderId="2" xfId="0" applyNumberFormat="1" applyFont="1" applyFill="1" applyBorder="1"/>
    <xf numFmtId="0" fontId="1" fillId="6" borderId="2" xfId="0" applyFont="1" applyFill="1" applyBorder="1" applyAlignment="1">
      <alignment horizontal="right" wrapText="1"/>
    </xf>
    <xf numFmtId="2" fontId="1" fillId="6" borderId="2" xfId="0" applyNumberFormat="1" applyFont="1" applyFill="1" applyBorder="1"/>
    <xf numFmtId="2" fontId="1" fillId="7" borderId="2" xfId="0" applyNumberFormat="1" applyFont="1" applyFill="1" applyBorder="1" applyAlignment="1">
      <alignment horizontal="right" wrapText="1"/>
    </xf>
    <xf numFmtId="2" fontId="1" fillId="7" borderId="2" xfId="0" applyNumberFormat="1" applyFont="1" applyFill="1" applyBorder="1"/>
    <xf numFmtId="0" fontId="1" fillId="8" borderId="2" xfId="0" applyFont="1" applyFill="1" applyBorder="1" applyAlignment="1">
      <alignment horizontal="right" wrapText="1"/>
    </xf>
    <xf numFmtId="2" fontId="1" fillId="8" borderId="2" xfId="0" applyNumberFormat="1" applyFont="1" applyFill="1" applyBorder="1"/>
    <xf numFmtId="0" fontId="1" fillId="9" borderId="2" xfId="0" applyFont="1" applyFill="1" applyBorder="1" applyAlignment="1">
      <alignment horizontal="right" wrapText="1"/>
    </xf>
    <xf numFmtId="2" fontId="1" fillId="9" borderId="2" xfId="0" applyNumberFormat="1" applyFont="1" applyFill="1" applyBorder="1"/>
    <xf numFmtId="0" fontId="1" fillId="11" borderId="2" xfId="0" applyFont="1" applyFill="1" applyBorder="1" applyAlignment="1">
      <alignment horizontal="right" wrapText="1"/>
    </xf>
    <xf numFmtId="2" fontId="1" fillId="11" borderId="2" xfId="0" applyNumberFormat="1" applyFont="1" applyFill="1" applyBorder="1"/>
    <xf numFmtId="0" fontId="1" fillId="10" borderId="2" xfId="0" applyFont="1" applyFill="1" applyBorder="1" applyAlignment="1">
      <alignment horizontal="right" wrapText="1"/>
    </xf>
    <xf numFmtId="2" fontId="1" fillId="10" borderId="2" xfId="0" applyNumberFormat="1" applyFont="1" applyFill="1" applyBorder="1"/>
    <xf numFmtId="2" fontId="1" fillId="6" borderId="2" xfId="0" applyNumberFormat="1" applyFont="1" applyFill="1" applyBorder="1" applyAlignment="1">
      <alignment horizontal="right" wrapText="1"/>
    </xf>
    <xf numFmtId="0" fontId="1" fillId="7" borderId="2" xfId="0" applyFont="1" applyFill="1" applyBorder="1" applyAlignment="1">
      <alignment horizontal="right" wrapText="1"/>
    </xf>
    <xf numFmtId="2" fontId="1" fillId="8" borderId="2" xfId="0" applyNumberFormat="1" applyFont="1" applyFill="1" applyBorder="1" applyAlignment="1">
      <alignment horizontal="right" wrapText="1"/>
    </xf>
    <xf numFmtId="2" fontId="1" fillId="10" borderId="2" xfId="0" applyNumberFormat="1" applyFont="1" applyFill="1" applyBorder="1" applyAlignment="1">
      <alignment horizontal="right" wrapText="1"/>
    </xf>
    <xf numFmtId="2" fontId="1" fillId="3" borderId="2" xfId="0" applyNumberFormat="1" applyFont="1" applyFill="1" applyBorder="1" applyAlignment="1">
      <alignment horizontal="right" wrapText="1"/>
    </xf>
    <xf numFmtId="2" fontId="1" fillId="9" borderId="2" xfId="0" applyNumberFormat="1" applyFont="1" applyFill="1" applyBorder="1" applyAlignment="1">
      <alignment horizontal="right" wrapText="1"/>
    </xf>
    <xf numFmtId="0" fontId="1" fillId="0" borderId="0" xfId="0" applyFont="1"/>
    <xf numFmtId="2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3" borderId="1" xfId="0" applyFill="1" applyBorder="1" applyAlignment="1">
      <alignment horizontal="right"/>
    </xf>
    <xf numFmtId="0" fontId="13" fillId="0" borderId="0" xfId="0" applyFont="1" applyAlignment="1">
      <alignment horizontal="center"/>
    </xf>
    <xf numFmtId="2" fontId="1" fillId="3" borderId="17" xfId="0" applyNumberFormat="1" applyFont="1" applyFill="1" applyBorder="1"/>
    <xf numFmtId="0" fontId="0" fillId="3" borderId="5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3" borderId="5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0" fillId="9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2" fontId="1" fillId="3" borderId="2" xfId="0" applyNumberFormat="1" applyFont="1" applyFill="1" applyBorder="1" applyProtection="1">
      <protection locked="0"/>
    </xf>
    <xf numFmtId="0" fontId="0" fillId="14" borderId="1" xfId="0" applyFill="1" applyBorder="1" applyAlignment="1" applyProtection="1">
      <alignment horizontal="right" wrapText="1"/>
      <protection locked="0"/>
    </xf>
    <xf numFmtId="0" fontId="0" fillId="14" borderId="1" xfId="0" applyFill="1" applyBorder="1" applyProtection="1">
      <protection locked="0"/>
    </xf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0" fillId="3" borderId="5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6" borderId="5" xfId="0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15" borderId="5" xfId="0" applyFill="1" applyBorder="1"/>
    <xf numFmtId="0" fontId="0" fillId="15" borderId="6" xfId="0" applyFill="1" applyBorder="1"/>
    <xf numFmtId="0" fontId="0" fillId="15" borderId="0" xfId="0" applyFill="1"/>
    <xf numFmtId="0" fontId="0" fillId="15" borderId="16" xfId="0" applyFill="1" applyBorder="1"/>
    <xf numFmtId="0" fontId="0" fillId="15" borderId="1" xfId="0" applyFill="1" applyBorder="1" applyAlignment="1">
      <alignment horizontal="right" wrapText="1"/>
    </xf>
    <xf numFmtId="2" fontId="1" fillId="15" borderId="2" xfId="0" applyNumberFormat="1" applyFont="1" applyFill="1" applyBorder="1" applyAlignment="1">
      <alignment horizontal="right" wrapText="1"/>
    </xf>
    <xf numFmtId="0" fontId="0" fillId="15" borderId="1" xfId="0" applyFill="1" applyBorder="1" applyAlignment="1">
      <alignment horizontal="right"/>
    </xf>
    <xf numFmtId="2" fontId="1" fillId="15" borderId="2" xfId="0" applyNumberFormat="1" applyFont="1" applyFill="1" applyBorder="1"/>
    <xf numFmtId="0" fontId="0" fillId="15" borderId="8" xfId="0" applyFill="1" applyBorder="1"/>
    <xf numFmtId="0" fontId="0" fillId="15" borderId="7" xfId="0" applyFill="1" applyBorder="1"/>
    <xf numFmtId="0" fontId="0" fillId="6" borderId="1" xfId="0" applyFill="1" applyBorder="1" applyAlignment="1">
      <alignment horizontal="right"/>
    </xf>
    <xf numFmtId="2" fontId="1" fillId="2" borderId="1" xfId="0" applyNumberFormat="1" applyFont="1" applyFill="1" applyBorder="1"/>
    <xf numFmtId="0" fontId="0" fillId="3" borderId="5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6" borderId="5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3" borderId="6" xfId="0" applyFill="1" applyBorder="1" applyAlignment="1">
      <alignment vertical="center" wrapText="1"/>
    </xf>
    <xf numFmtId="0" fontId="0" fillId="3" borderId="25" xfId="0" applyFill="1" applyBorder="1" applyAlignment="1">
      <alignment vertical="center" wrapText="1"/>
    </xf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16" borderId="1" xfId="0" applyNumberFormat="1" applyFill="1" applyBorder="1"/>
    <xf numFmtId="164" fontId="0" fillId="0" borderId="3" xfId="0" applyNumberFormat="1" applyBorder="1"/>
    <xf numFmtId="44" fontId="0" fillId="0" borderId="3" xfId="1" applyFont="1" applyBorder="1"/>
    <xf numFmtId="9" fontId="0" fillId="0" borderId="0" xfId="2" applyFont="1"/>
    <xf numFmtId="44" fontId="0" fillId="16" borderId="1" xfId="0" applyNumberFormat="1" applyFill="1" applyBorder="1"/>
    <xf numFmtId="0" fontId="0" fillId="16" borderId="1" xfId="0" applyFill="1" applyBorder="1"/>
    <xf numFmtId="0" fontId="0" fillId="0" borderId="27" xfId="0" applyBorder="1"/>
    <xf numFmtId="44" fontId="0" fillId="16" borderId="1" xfId="1" applyFont="1" applyFill="1" applyBorder="1"/>
    <xf numFmtId="44" fontId="0" fillId="0" borderId="3" xfId="0" applyNumberFormat="1" applyBorder="1"/>
    <xf numFmtId="44" fontId="0" fillId="0" borderId="33" xfId="0" applyNumberFormat="1" applyBorder="1"/>
    <xf numFmtId="0" fontId="0" fillId="0" borderId="0" xfId="0" applyAlignment="1">
      <alignment horizontal="center"/>
    </xf>
    <xf numFmtId="9" fontId="0" fillId="16" borderId="1" xfId="2" applyFont="1" applyFill="1" applyBorder="1"/>
    <xf numFmtId="2" fontId="0" fillId="17" borderId="1" xfId="0" applyNumberFormat="1" applyFill="1" applyBorder="1"/>
    <xf numFmtId="0" fontId="0" fillId="17" borderId="1" xfId="0" applyFill="1" applyBorder="1" applyProtection="1">
      <protection locked="0"/>
    </xf>
    <xf numFmtId="2" fontId="0" fillId="17" borderId="1" xfId="0" applyNumberFormat="1" applyFill="1" applyBorder="1" applyProtection="1">
      <protection locked="0"/>
    </xf>
    <xf numFmtId="0" fontId="0" fillId="0" borderId="0" xfId="0" applyAlignment="1">
      <alignment horizontal="left"/>
    </xf>
    <xf numFmtId="9" fontId="15" fillId="5" borderId="0" xfId="2" applyFont="1" applyFill="1" applyBorder="1" applyAlignment="1">
      <alignment horizontal="center"/>
    </xf>
    <xf numFmtId="9" fontId="15" fillId="2" borderId="0" xfId="2" applyFont="1" applyFill="1" applyBorder="1" applyAlignment="1">
      <alignment horizontal="center"/>
    </xf>
    <xf numFmtId="9" fontId="0" fillId="0" borderId="0" xfId="0" applyNumberFormat="1"/>
    <xf numFmtId="44" fontId="15" fillId="2" borderId="0" xfId="1" applyFont="1" applyFill="1" applyBorder="1" applyAlignment="1">
      <alignment horizontal="center"/>
    </xf>
    <xf numFmtId="0" fontId="1" fillId="18" borderId="0" xfId="0" applyFont="1" applyFill="1"/>
    <xf numFmtId="0" fontId="0" fillId="18" borderId="0" xfId="0" applyFill="1" applyAlignment="1">
      <alignment horizontal="left"/>
    </xf>
    <xf numFmtId="0" fontId="0" fillId="18" borderId="0" xfId="0" applyFill="1"/>
    <xf numFmtId="0" fontId="0" fillId="0" borderId="0" xfId="0" applyAlignment="1">
      <alignment horizontal="center" wrapText="1"/>
    </xf>
    <xf numFmtId="0" fontId="2" fillId="0" borderId="0" xfId="0" applyFont="1"/>
    <xf numFmtId="2" fontId="0" fillId="0" borderId="0" xfId="2" applyNumberFormat="1" applyFont="1" applyProtection="1"/>
    <xf numFmtId="0" fontId="14" fillId="0" borderId="0" xfId="0" applyFont="1"/>
    <xf numFmtId="0" fontId="1" fillId="0" borderId="35" xfId="0" applyFont="1" applyBorder="1"/>
    <xf numFmtId="14" fontId="0" fillId="0" borderId="35" xfId="0" applyNumberFormat="1" applyBorder="1"/>
    <xf numFmtId="0" fontId="0" fillId="0" borderId="36" xfId="0" applyBorder="1"/>
    <xf numFmtId="0" fontId="1" fillId="0" borderId="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6" borderId="1" xfId="0" applyNumberFormat="1" applyFont="1" applyFill="1" applyBorder="1" applyAlignment="1">
      <alignment horizontal="center" wrapText="1"/>
    </xf>
    <xf numFmtId="2" fontId="1" fillId="9" borderId="1" xfId="0" applyNumberFormat="1" applyFont="1" applyFill="1" applyBorder="1" applyAlignment="1">
      <alignment horizontal="center" wrapText="1"/>
    </xf>
    <xf numFmtId="2" fontId="1" fillId="12" borderId="1" xfId="0" applyNumberFormat="1" applyFont="1" applyFill="1" applyBorder="1" applyAlignment="1">
      <alignment horizontal="center" wrapText="1"/>
    </xf>
    <xf numFmtId="2" fontId="1" fillId="10" borderId="1" xfId="0" applyNumberFormat="1" applyFont="1" applyFill="1" applyBorder="1" applyAlignment="1">
      <alignment horizontal="center" wrapText="1"/>
    </xf>
    <xf numFmtId="2" fontId="1" fillId="4" borderId="1" xfId="0" applyNumberFormat="1" applyFont="1" applyFill="1" applyBorder="1" applyAlignment="1">
      <alignment horizontal="center" wrapText="1"/>
    </xf>
    <xf numFmtId="2" fontId="0" fillId="13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30" xfId="0" applyBorder="1"/>
    <xf numFmtId="2" fontId="0" fillId="0" borderId="1" xfId="0" applyNumberFormat="1" applyBorder="1" applyAlignment="1">
      <alignment horizontal="right"/>
    </xf>
    <xf numFmtId="2" fontId="0" fillId="10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right"/>
    </xf>
    <xf numFmtId="9" fontId="0" fillId="13" borderId="1" xfId="2" applyFont="1" applyFill="1" applyBorder="1" applyAlignment="1" applyProtection="1">
      <alignment horizontal="right"/>
    </xf>
    <xf numFmtId="9" fontId="0" fillId="6" borderId="1" xfId="2" applyFont="1" applyFill="1" applyBorder="1" applyAlignment="1" applyProtection="1">
      <alignment horizontal="right"/>
    </xf>
    <xf numFmtId="2" fontId="0" fillId="0" borderId="1" xfId="2" applyNumberFormat="1" applyFont="1" applyBorder="1" applyProtection="1"/>
    <xf numFmtId="9" fontId="0" fillId="13" borderId="26" xfId="2" applyFont="1" applyFill="1" applyBorder="1" applyAlignment="1" applyProtection="1">
      <alignment horizontal="right"/>
    </xf>
    <xf numFmtId="2" fontId="0" fillId="0" borderId="0" xfId="2" applyNumberFormat="1" applyFont="1" applyFill="1" applyProtection="1"/>
    <xf numFmtId="2" fontId="0" fillId="13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2" fontId="0" fillId="9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9" fontId="0" fillId="0" borderId="0" xfId="2" applyFont="1" applyProtection="1"/>
    <xf numFmtId="0" fontId="0" fillId="0" borderId="34" xfId="0" applyBorder="1"/>
    <xf numFmtId="2" fontId="0" fillId="0" borderId="0" xfId="0" applyNumberFormat="1"/>
    <xf numFmtId="14" fontId="0" fillId="14" borderId="36" xfId="0" applyNumberFormat="1" applyFill="1" applyBorder="1" applyProtection="1">
      <protection locked="0"/>
    </xf>
    <xf numFmtId="2" fontId="20" fillId="3" borderId="1" xfId="0" applyNumberFormat="1" applyFont="1" applyFill="1" applyBorder="1" applyAlignment="1">
      <alignment horizontal="right"/>
    </xf>
    <xf numFmtId="2" fontId="20" fillId="3" borderId="2" xfId="0" applyNumberFormat="1" applyFont="1" applyFill="1" applyBorder="1" applyAlignment="1">
      <alignment horizontal="right"/>
    </xf>
    <xf numFmtId="2" fontId="21" fillId="13" borderId="1" xfId="0" applyNumberFormat="1" applyFont="1" applyFill="1" applyBorder="1" applyAlignment="1">
      <alignment horizontal="right"/>
    </xf>
    <xf numFmtId="2" fontId="22" fillId="6" borderId="1" xfId="0" applyNumberFormat="1" applyFont="1" applyFill="1" applyBorder="1" applyAlignment="1">
      <alignment horizontal="right"/>
    </xf>
    <xf numFmtId="2" fontId="23" fillId="9" borderId="1" xfId="0" applyNumberFormat="1" applyFont="1" applyFill="1" applyBorder="1" applyAlignment="1">
      <alignment horizontal="right"/>
    </xf>
    <xf numFmtId="2" fontId="21" fillId="12" borderId="1" xfId="0" applyNumberFormat="1" applyFont="1" applyFill="1" applyBorder="1" applyAlignment="1">
      <alignment horizontal="right"/>
    </xf>
    <xf numFmtId="2" fontId="24" fillId="10" borderId="1" xfId="0" applyNumberFormat="1" applyFont="1" applyFill="1" applyBorder="1" applyAlignment="1">
      <alignment horizontal="right"/>
    </xf>
    <xf numFmtId="2" fontId="25" fillId="4" borderId="1" xfId="0" applyNumberFormat="1" applyFont="1" applyFill="1" applyBorder="1" applyAlignment="1">
      <alignment horizontal="right"/>
    </xf>
    <xf numFmtId="0" fontId="0" fillId="0" borderId="1" xfId="0" applyBorder="1"/>
    <xf numFmtId="2" fontId="0" fillId="0" borderId="1" xfId="0" applyNumberFormat="1" applyBorder="1" applyAlignment="1">
      <alignment horizontal="left"/>
    </xf>
    <xf numFmtId="2" fontId="19" fillId="3" borderId="1" xfId="0" applyNumberFormat="1" applyFont="1" applyFill="1" applyBorder="1"/>
    <xf numFmtId="0" fontId="0" fillId="0" borderId="0" xfId="0" applyAlignment="1">
      <alignment horizontal="right"/>
    </xf>
    <xf numFmtId="2" fontId="1" fillId="5" borderId="1" xfId="0" applyNumberFormat="1" applyFont="1" applyFill="1" applyBorder="1" applyAlignment="1">
      <alignment horizontal="center"/>
    </xf>
    <xf numFmtId="9" fontId="1" fillId="5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5" fontId="0" fillId="5" borderId="1" xfId="0" applyNumberFormat="1" applyFill="1" applyBorder="1"/>
    <xf numFmtId="165" fontId="0" fillId="5" borderId="14" xfId="0" applyNumberFormat="1" applyFill="1" applyBorder="1"/>
    <xf numFmtId="2" fontId="4" fillId="0" borderId="17" xfId="0" applyNumberFormat="1" applyFont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right" wrapText="1"/>
    </xf>
    <xf numFmtId="2" fontId="0" fillId="3" borderId="8" xfId="0" applyNumberFormat="1" applyFill="1" applyBorder="1"/>
    <xf numFmtId="2" fontId="0" fillId="6" borderId="1" xfId="0" applyNumberFormat="1" applyFill="1" applyBorder="1" applyAlignment="1">
      <alignment horizontal="right" wrapText="1"/>
    </xf>
    <xf numFmtId="2" fontId="0" fillId="6" borderId="8" xfId="0" applyNumberFormat="1" applyFill="1" applyBorder="1"/>
    <xf numFmtId="2" fontId="0" fillId="7" borderId="1" xfId="0" applyNumberFormat="1" applyFill="1" applyBorder="1" applyAlignment="1">
      <alignment horizontal="right" wrapText="1"/>
    </xf>
    <xf numFmtId="2" fontId="0" fillId="7" borderId="8" xfId="0" applyNumberFormat="1" applyFill="1" applyBorder="1"/>
    <xf numFmtId="2" fontId="0" fillId="8" borderId="1" xfId="0" applyNumberFormat="1" applyFill="1" applyBorder="1" applyAlignment="1">
      <alignment horizontal="right" wrapText="1"/>
    </xf>
    <xf numFmtId="2" fontId="0" fillId="8" borderId="8" xfId="0" applyNumberFormat="1" applyFill="1" applyBorder="1"/>
    <xf numFmtId="2" fontId="0" fillId="9" borderId="1" xfId="0" applyNumberFormat="1" applyFill="1" applyBorder="1" applyAlignment="1">
      <alignment horizontal="right" wrapText="1"/>
    </xf>
    <xf numFmtId="2" fontId="0" fillId="9" borderId="8" xfId="0" applyNumberFormat="1" applyFill="1" applyBorder="1"/>
    <xf numFmtId="2" fontId="0" fillId="11" borderId="1" xfId="0" applyNumberFormat="1" applyFill="1" applyBorder="1" applyAlignment="1">
      <alignment horizontal="right" wrapText="1"/>
    </xf>
    <xf numFmtId="2" fontId="0" fillId="11" borderId="8" xfId="0" applyNumberFormat="1" applyFill="1" applyBorder="1"/>
    <xf numFmtId="2" fontId="0" fillId="10" borderId="1" xfId="0" applyNumberFormat="1" applyFill="1" applyBorder="1" applyAlignment="1">
      <alignment horizontal="right" wrapText="1"/>
    </xf>
    <xf numFmtId="2" fontId="0" fillId="10" borderId="8" xfId="0" applyNumberFormat="1" applyFill="1" applyBorder="1"/>
    <xf numFmtId="1" fontId="0" fillId="14" borderId="1" xfId="0" applyNumberFormat="1" applyFill="1" applyBorder="1" applyProtection="1">
      <protection locked="0"/>
    </xf>
    <xf numFmtId="1" fontId="1" fillId="0" borderId="17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3" borderId="7" xfId="0" applyNumberFormat="1" applyFill="1" applyBorder="1"/>
    <xf numFmtId="1" fontId="0" fillId="6" borderId="7" xfId="0" applyNumberFormat="1" applyFill="1" applyBorder="1"/>
    <xf numFmtId="1" fontId="0" fillId="7" borderId="7" xfId="0" applyNumberFormat="1" applyFill="1" applyBorder="1"/>
    <xf numFmtId="1" fontId="0" fillId="8" borderId="7" xfId="0" applyNumberFormat="1" applyFill="1" applyBorder="1"/>
    <xf numFmtId="1" fontId="0" fillId="9" borderId="7" xfId="0" applyNumberFormat="1" applyFill="1" applyBorder="1"/>
    <xf numFmtId="1" fontId="0" fillId="11" borderId="7" xfId="0" applyNumberFormat="1" applyFill="1" applyBorder="1"/>
    <xf numFmtId="1" fontId="0" fillId="14" borderId="1" xfId="0" applyNumberFormat="1" applyFill="1" applyBorder="1" applyAlignment="1" applyProtection="1">
      <alignment horizontal="right" wrapText="1"/>
      <protection locked="0"/>
    </xf>
    <xf numFmtId="1" fontId="0" fillId="10" borderId="7" xfId="0" applyNumberFormat="1" applyFill="1" applyBorder="1"/>
    <xf numFmtId="0" fontId="0" fillId="9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 wrapText="1"/>
    </xf>
    <xf numFmtId="0" fontId="0" fillId="6" borderId="1" xfId="0" quotePrefix="1" applyFill="1" applyBorder="1" applyAlignment="1">
      <alignment horizontal="right" wrapText="1"/>
    </xf>
    <xf numFmtId="0" fontId="0" fillId="7" borderId="1" xfId="0" quotePrefix="1" applyFill="1" applyBorder="1" applyAlignment="1">
      <alignment horizontal="right" wrapText="1"/>
    </xf>
    <xf numFmtId="0" fontId="0" fillId="11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7" borderId="8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11" borderId="1" xfId="0" quotePrefix="1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9" fillId="0" borderId="0" xfId="0" applyFont="1" applyAlignment="1">
      <alignment horizontal="center" vertical="center" wrapText="1"/>
    </xf>
    <xf numFmtId="0" fontId="1" fillId="17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39" xfId="0" applyBorder="1"/>
    <xf numFmtId="0" fontId="10" fillId="0" borderId="39" xfId="0" applyFont="1" applyBorder="1"/>
    <xf numFmtId="0" fontId="0" fillId="2" borderId="39" xfId="0" applyFill="1" applyBorder="1"/>
    <xf numFmtId="0" fontId="1" fillId="0" borderId="39" xfId="0" applyFont="1" applyBorder="1"/>
    <xf numFmtId="0" fontId="1" fillId="0" borderId="39" xfId="0" applyFont="1" applyBorder="1" applyAlignment="1">
      <alignment horizontal="center"/>
    </xf>
    <xf numFmtId="2" fontId="18" fillId="0" borderId="39" xfId="0" applyNumberFormat="1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2" fontId="1" fillId="0" borderId="39" xfId="0" applyNumberFormat="1" applyFont="1" applyBorder="1"/>
    <xf numFmtId="0" fontId="1" fillId="0" borderId="39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2" fontId="0" fillId="3" borderId="39" xfId="0" applyNumberFormat="1" applyFill="1" applyBorder="1"/>
    <xf numFmtId="2" fontId="0" fillId="13" borderId="39" xfId="0" applyNumberFormat="1" applyFill="1" applyBorder="1"/>
    <xf numFmtId="2" fontId="0" fillId="3" borderId="39" xfId="0" applyNumberFormat="1" applyFill="1" applyBorder="1" applyAlignment="1">
      <alignment horizontal="center"/>
    </xf>
    <xf numFmtId="2" fontId="0" fillId="13" borderId="39" xfId="0" applyNumberFormat="1" applyFill="1" applyBorder="1" applyAlignment="1">
      <alignment horizontal="center"/>
    </xf>
    <xf numFmtId="2" fontId="19" fillId="3" borderId="39" xfId="0" applyNumberFormat="1" applyFont="1" applyFill="1" applyBorder="1"/>
    <xf numFmtId="2" fontId="1" fillId="3" borderId="39" xfId="0" applyNumberFormat="1" applyFont="1" applyFill="1" applyBorder="1"/>
    <xf numFmtId="2" fontId="1" fillId="13" borderId="39" xfId="0" applyNumberFormat="1" applyFont="1" applyFill="1" applyBorder="1"/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2" fontId="0" fillId="6" borderId="39" xfId="0" applyNumberFormat="1" applyFill="1" applyBorder="1"/>
    <xf numFmtId="2" fontId="0" fillId="9" borderId="39" xfId="0" applyNumberFormat="1" applyFill="1" applyBorder="1"/>
    <xf numFmtId="2" fontId="0" fillId="6" borderId="39" xfId="0" applyNumberFormat="1" applyFill="1" applyBorder="1" applyAlignment="1">
      <alignment horizontal="center"/>
    </xf>
    <xf numFmtId="2" fontId="0" fillId="9" borderId="39" xfId="0" applyNumberFormat="1" applyFill="1" applyBorder="1" applyAlignment="1">
      <alignment horizontal="center"/>
    </xf>
    <xf numFmtId="2" fontId="1" fillId="6" borderId="39" xfId="0" applyNumberFormat="1" applyFont="1" applyFill="1" applyBorder="1"/>
    <xf numFmtId="2" fontId="1" fillId="9" borderId="39" xfId="0" applyNumberFormat="1" applyFont="1" applyFill="1" applyBorder="1"/>
    <xf numFmtId="0" fontId="1" fillId="12" borderId="39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2" fontId="0" fillId="12" borderId="39" xfId="0" applyNumberFormat="1" applyFill="1" applyBorder="1"/>
    <xf numFmtId="2" fontId="0" fillId="10" borderId="39" xfId="0" applyNumberFormat="1" applyFill="1" applyBorder="1"/>
    <xf numFmtId="2" fontId="0" fillId="12" borderId="39" xfId="0" applyNumberFormat="1" applyFill="1" applyBorder="1" applyAlignment="1">
      <alignment horizontal="center"/>
    </xf>
    <xf numFmtId="2" fontId="0" fillId="10" borderId="39" xfId="0" applyNumberFormat="1" applyFill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1" fillId="12" borderId="39" xfId="0" applyNumberFormat="1" applyFont="1" applyFill="1" applyBorder="1"/>
    <xf numFmtId="2" fontId="1" fillId="10" borderId="39" xfId="0" applyNumberFormat="1" applyFont="1" applyFill="1" applyBorder="1"/>
    <xf numFmtId="0" fontId="0" fillId="3" borderId="39" xfId="0" applyFill="1" applyBorder="1" applyAlignment="1">
      <alignment horizontal="left"/>
    </xf>
    <xf numFmtId="2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43" xfId="0" applyBorder="1"/>
    <xf numFmtId="0" fontId="1" fillId="17" borderId="1" xfId="0" applyFont="1" applyFill="1" applyBorder="1" applyAlignment="1" applyProtection="1">
      <alignment vertical="top" wrapText="1"/>
      <protection locked="0"/>
    </xf>
    <xf numFmtId="0" fontId="1" fillId="17" borderId="1" xfId="0" applyFont="1" applyFill="1" applyBorder="1"/>
    <xf numFmtId="2" fontId="1" fillId="17" borderId="1" xfId="0" applyNumberFormat="1" applyFont="1" applyFill="1" applyBorder="1"/>
    <xf numFmtId="0" fontId="0" fillId="0" borderId="42" xfId="0" applyBorder="1"/>
    <xf numFmtId="0" fontId="0" fillId="0" borderId="44" xfId="0" applyBorder="1" applyAlignment="1" applyProtection="1">
      <alignment vertical="top" wrapText="1"/>
      <protection locked="0"/>
    </xf>
    <xf numFmtId="0" fontId="0" fillId="0" borderId="45" xfId="0" applyBorder="1"/>
    <xf numFmtId="0" fontId="0" fillId="0" borderId="44" xfId="0" applyBorder="1"/>
    <xf numFmtId="2" fontId="1" fillId="4" borderId="1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43" xfId="0" applyFont="1" applyBorder="1"/>
    <xf numFmtId="2" fontId="1" fillId="0" borderId="43" xfId="0" applyNumberFormat="1" applyFont="1" applyBorder="1"/>
    <xf numFmtId="0" fontId="1" fillId="0" borderId="42" xfId="0" applyFont="1" applyBorder="1" applyAlignment="1">
      <alignment horizontal="center"/>
    </xf>
    <xf numFmtId="0" fontId="0" fillId="0" borderId="56" xfId="0" applyBorder="1"/>
    <xf numFmtId="9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10" fillId="0" borderId="43" xfId="0" applyFont="1" applyBorder="1" applyAlignment="1">
      <alignment horizontal="left"/>
    </xf>
    <xf numFmtId="2" fontId="0" fillId="2" borderId="1" xfId="0" applyNumberFormat="1" applyFill="1" applyBorder="1" applyAlignment="1">
      <alignment horizontal="center"/>
    </xf>
    <xf numFmtId="0" fontId="10" fillId="0" borderId="42" xfId="0" applyFont="1" applyBorder="1"/>
    <xf numFmtId="0" fontId="1" fillId="2" borderId="37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left"/>
    </xf>
    <xf numFmtId="2" fontId="0" fillId="5" borderId="1" xfId="0" applyNumberFormat="1" applyFill="1" applyBorder="1" applyAlignment="1">
      <alignment horizontal="center"/>
    </xf>
    <xf numFmtId="2" fontId="0" fillId="0" borderId="55" xfId="0" applyNumberFormat="1" applyBorder="1"/>
    <xf numFmtId="0" fontId="1" fillId="0" borderId="46" xfId="0" applyFont="1" applyBorder="1"/>
    <xf numFmtId="0" fontId="10" fillId="0" borderId="41" xfId="0" applyFont="1" applyBorder="1" applyAlignment="1">
      <alignment horizontal="left"/>
    </xf>
    <xf numFmtId="0" fontId="10" fillId="0" borderId="44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2" fontId="0" fillId="3" borderId="1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0" fontId="0" fillId="0" borderId="63" xfId="0" applyBorder="1"/>
    <xf numFmtId="0" fontId="14" fillId="0" borderId="66" xfId="0" applyFont="1" applyBorder="1" applyAlignment="1">
      <alignment horizontal="left"/>
    </xf>
    <xf numFmtId="0" fontId="14" fillId="0" borderId="67" xfId="0" applyFont="1" applyBorder="1" applyAlignment="1">
      <alignment horizontal="left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0" fillId="0" borderId="71" xfId="0" applyFont="1" applyBorder="1"/>
    <xf numFmtId="0" fontId="10" fillId="0" borderId="74" xfId="0" applyFont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0" borderId="76" xfId="0" applyBorder="1"/>
    <xf numFmtId="0" fontId="10" fillId="5" borderId="13" xfId="0" applyFont="1" applyFill="1" applyBorder="1" applyAlignment="1">
      <alignment horizontal="left"/>
    </xf>
    <xf numFmtId="0" fontId="10" fillId="0" borderId="73" xfId="0" applyFont="1" applyBorder="1" applyAlignment="1">
      <alignment horizontal="left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19" borderId="82" xfId="0" applyFill="1" applyBorder="1"/>
    <xf numFmtId="2" fontId="0" fillId="19" borderId="82" xfId="0" applyNumberFormat="1" applyFill="1" applyBorder="1"/>
    <xf numFmtId="0" fontId="0" fillId="19" borderId="83" xfId="0" applyFill="1" applyBorder="1"/>
    <xf numFmtId="0" fontId="0" fillId="19" borderId="84" xfId="0" applyFill="1" applyBorder="1"/>
    <xf numFmtId="0" fontId="0" fillId="19" borderId="85" xfId="0" applyFill="1" applyBorder="1"/>
    <xf numFmtId="0" fontId="0" fillId="19" borderId="86" xfId="0" applyFill="1" applyBorder="1"/>
    <xf numFmtId="0" fontId="0" fillId="20" borderId="58" xfId="0" applyFill="1" applyBorder="1"/>
    <xf numFmtId="0" fontId="0" fillId="20" borderId="57" xfId="0" applyFill="1" applyBorder="1" applyAlignment="1">
      <alignment horizontal="left"/>
    </xf>
    <xf numFmtId="0" fontId="0" fillId="20" borderId="59" xfId="0" applyFill="1" applyBorder="1"/>
    <xf numFmtId="0" fontId="0" fillId="20" borderId="57" xfId="0" applyFill="1" applyBorder="1"/>
    <xf numFmtId="0" fontId="19" fillId="20" borderId="60" xfId="0" applyFont="1" applyFill="1" applyBorder="1"/>
    <xf numFmtId="0" fontId="0" fillId="20" borderId="61" xfId="0" applyFill="1" applyBorder="1"/>
    <xf numFmtId="0" fontId="0" fillId="20" borderId="62" xfId="0" applyFill="1" applyBorder="1"/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9" fillId="0" borderId="0" xfId="0" pivotButton="1" applyFont="1" applyAlignment="1">
      <alignment horizontal="center" vertical="center" wrapText="1"/>
    </xf>
    <xf numFmtId="0" fontId="0" fillId="0" borderId="0" xfId="0" pivotButton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33" fillId="29" borderId="1" xfId="0" applyFont="1" applyFill="1" applyBorder="1" applyAlignment="1">
      <alignment horizontal="right"/>
    </xf>
    <xf numFmtId="0" fontId="0" fillId="30" borderId="1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2" borderId="1" xfId="0" applyFill="1" applyBorder="1" applyAlignment="1">
      <alignment horizontal="right"/>
    </xf>
    <xf numFmtId="0" fontId="0" fillId="26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33" fillId="29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 wrapText="1"/>
    </xf>
    <xf numFmtId="0" fontId="0" fillId="3" borderId="1" xfId="0" quotePrefix="1" applyFill="1" applyBorder="1" applyAlignment="1">
      <alignment horizontal="center"/>
    </xf>
    <xf numFmtId="0" fontId="41" fillId="0" borderId="1" xfId="0" applyFont="1" applyBorder="1" applyAlignment="1">
      <alignment vertical="center"/>
    </xf>
    <xf numFmtId="0" fontId="1" fillId="16" borderId="44" xfId="0" applyFont="1" applyFill="1" applyBorder="1" applyAlignment="1">
      <alignment horizontal="center" textRotation="90"/>
    </xf>
    <xf numFmtId="0" fontId="1" fillId="4" borderId="44" xfId="0" applyFont="1" applyFill="1" applyBorder="1" applyAlignment="1">
      <alignment horizontal="center" textRotation="90"/>
    </xf>
    <xf numFmtId="0" fontId="1" fillId="23" borderId="44" xfId="0" applyFont="1" applyFill="1" applyBorder="1" applyAlignment="1">
      <alignment horizontal="center" textRotation="90"/>
    </xf>
    <xf numFmtId="0" fontId="35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29" fillId="21" borderId="1" xfId="0" applyFont="1" applyFill="1" applyBorder="1" applyAlignment="1">
      <alignment vertical="center"/>
    </xf>
    <xf numFmtId="0" fontId="3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6" fillId="23" borderId="0" xfId="0" applyFont="1" applyFill="1" applyAlignment="1">
      <alignment vertical="center"/>
    </xf>
    <xf numFmtId="0" fontId="35" fillId="23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0" fillId="35" borderId="38" xfId="0" applyFill="1" applyBorder="1" applyAlignment="1">
      <alignment vertical="center" textRotation="90"/>
    </xf>
    <xf numFmtId="0" fontId="0" fillId="35" borderId="34" xfId="0" applyFill="1" applyBorder="1" applyAlignment="1">
      <alignment vertical="center" textRotation="90"/>
    </xf>
    <xf numFmtId="0" fontId="0" fillId="35" borderId="37" xfId="0" applyFill="1" applyBorder="1" applyAlignment="1">
      <alignment vertical="center" textRotation="90"/>
    </xf>
    <xf numFmtId="0" fontId="0" fillId="7" borderId="1" xfId="0" quotePrefix="1" applyFill="1" applyBorder="1" applyAlignment="1">
      <alignment horizontal="right"/>
    </xf>
    <xf numFmtId="0" fontId="0" fillId="36" borderId="1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" fillId="12" borderId="44" xfId="0" applyFont="1" applyFill="1" applyBorder="1" applyAlignment="1">
      <alignment horizontal="center" textRotation="90"/>
    </xf>
    <xf numFmtId="0" fontId="32" fillId="24" borderId="44" xfId="0" applyFont="1" applyFill="1" applyBorder="1" applyAlignment="1">
      <alignment horizontal="center" textRotation="90"/>
    </xf>
    <xf numFmtId="0" fontId="1" fillId="25" borderId="44" xfId="0" applyFont="1" applyFill="1" applyBorder="1" applyAlignment="1">
      <alignment horizontal="center" textRotation="90"/>
    </xf>
    <xf numFmtId="0" fontId="1" fillId="8" borderId="44" xfId="0" applyFont="1" applyFill="1" applyBorder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22" fontId="0" fillId="0" borderId="0" xfId="0" applyNumberFormat="1"/>
    <xf numFmtId="166" fontId="0" fillId="0" borderId="0" xfId="0" applyNumberFormat="1"/>
    <xf numFmtId="0" fontId="1" fillId="15" borderId="59" xfId="0" applyFont="1" applyFill="1" applyBorder="1" applyAlignment="1">
      <alignment horizontal="center" textRotation="90"/>
    </xf>
    <xf numFmtId="0" fontId="1" fillId="16" borderId="57" xfId="0" applyFont="1" applyFill="1" applyBorder="1" applyAlignment="1">
      <alignment horizontal="center" textRotation="90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right" indent="1"/>
    </xf>
    <xf numFmtId="0" fontId="0" fillId="37" borderId="89" xfId="0" applyFill="1" applyBorder="1"/>
    <xf numFmtId="0" fontId="36" fillId="6" borderId="0" xfId="0" applyFont="1" applyFill="1" applyAlignment="1">
      <alignment horizontal="center" vertical="center"/>
    </xf>
    <xf numFmtId="12" fontId="0" fillId="3" borderId="1" xfId="0" quotePrefix="1" applyNumberFormat="1" applyFill="1" applyBorder="1" applyAlignment="1">
      <alignment horizontal="right" wrapText="1"/>
    </xf>
    <xf numFmtId="14" fontId="0" fillId="3" borderId="1" xfId="0" quotePrefix="1" applyNumberFormat="1" applyFill="1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19" fillId="2" borderId="0" xfId="0" applyFont="1" applyFill="1" applyAlignment="1">
      <alignment horizontal="left"/>
    </xf>
    <xf numFmtId="0" fontId="19" fillId="5" borderId="0" xfId="0" applyFont="1" applyFill="1" applyAlignment="1">
      <alignment horizontal="left"/>
    </xf>
    <xf numFmtId="14" fontId="0" fillId="14" borderId="0" xfId="0" applyNumberFormat="1" applyFill="1" applyAlignment="1">
      <alignment horizontal="left"/>
    </xf>
    <xf numFmtId="0" fontId="0" fillId="14" borderId="0" xfId="0" applyFill="1" applyAlignment="1">
      <alignment horizontal="left"/>
    </xf>
    <xf numFmtId="0" fontId="36" fillId="9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36" fillId="28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29" fillId="21" borderId="87" xfId="0" applyFont="1" applyFill="1" applyBorder="1" applyAlignment="1">
      <alignment horizontal="center" vertical="center"/>
    </xf>
    <xf numFmtId="0" fontId="29" fillId="21" borderId="0" xfId="0" applyFont="1" applyFill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42" fillId="16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31" fillId="21" borderId="30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31" fillId="21" borderId="32" xfId="0" applyFont="1" applyFill="1" applyBorder="1" applyAlignment="1">
      <alignment horizontal="center" vertical="center" wrapText="1"/>
    </xf>
    <xf numFmtId="0" fontId="31" fillId="21" borderId="3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top" wrapText="1"/>
    </xf>
    <xf numFmtId="0" fontId="31" fillId="21" borderId="31" xfId="0" applyFont="1" applyFill="1" applyBorder="1" applyAlignment="1">
      <alignment horizontal="center" vertical="top" wrapText="1"/>
    </xf>
    <xf numFmtId="0" fontId="31" fillId="21" borderId="3" xfId="0" applyFont="1" applyFill="1" applyBorder="1" applyAlignment="1">
      <alignment horizontal="center" vertical="top" wrapText="1"/>
    </xf>
    <xf numFmtId="0" fontId="31" fillId="21" borderId="24" xfId="0" applyFont="1" applyFill="1" applyBorder="1" applyAlignment="1">
      <alignment horizontal="center" vertical="top" wrapText="1"/>
    </xf>
    <xf numFmtId="0" fontId="31" fillId="21" borderId="28" xfId="0" applyFont="1" applyFill="1" applyBorder="1" applyAlignment="1">
      <alignment horizontal="center" vertical="center" wrapText="1"/>
    </xf>
    <xf numFmtId="0" fontId="31" fillId="21" borderId="29" xfId="0" applyFont="1" applyFill="1" applyBorder="1" applyAlignment="1">
      <alignment horizontal="center" vertical="center" wrapText="1"/>
    </xf>
    <xf numFmtId="0" fontId="31" fillId="21" borderId="23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/>
    </xf>
    <xf numFmtId="0" fontId="36" fillId="7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0" fontId="37" fillId="33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/>
    </xf>
    <xf numFmtId="0" fontId="40" fillId="34" borderId="0" xfId="0" applyFont="1" applyFill="1" applyAlignment="1">
      <alignment horizontal="center" vertical="center"/>
    </xf>
    <xf numFmtId="0" fontId="39" fillId="25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44" fillId="26" borderId="0" xfId="0" applyFont="1" applyFill="1" applyAlignment="1">
      <alignment horizontal="center"/>
    </xf>
    <xf numFmtId="0" fontId="10" fillId="5" borderId="77" xfId="0" applyFont="1" applyFill="1" applyBorder="1" applyAlignment="1">
      <alignment horizontal="left"/>
    </xf>
    <xf numFmtId="0" fontId="10" fillId="5" borderId="38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/>
    </xf>
    <xf numFmtId="2" fontId="1" fillId="12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2" fontId="1" fillId="5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14" borderId="26" xfId="0" applyFill="1" applyBorder="1" applyAlignment="1" applyProtection="1">
      <alignment horizontal="left" vertical="top" wrapText="1"/>
      <protection locked="0"/>
    </xf>
    <xf numFmtId="0" fontId="0" fillId="14" borderId="1" xfId="0" applyFill="1" applyBorder="1" applyAlignment="1" applyProtection="1">
      <alignment horizontal="left" vertical="top" wrapText="1"/>
      <protection locked="0"/>
    </xf>
    <xf numFmtId="0" fontId="1" fillId="17" borderId="1" xfId="0" applyFont="1" applyFill="1" applyBorder="1" applyAlignment="1">
      <alignment horizontal="center"/>
    </xf>
    <xf numFmtId="0" fontId="0" fillId="17" borderId="1" xfId="0" applyFill="1" applyBorder="1" applyAlignment="1" applyProtection="1">
      <alignment horizontal="left"/>
      <protection locked="0"/>
    </xf>
    <xf numFmtId="0" fontId="10" fillId="17" borderId="1" xfId="0" applyFont="1" applyFill="1" applyBorder="1" applyAlignment="1" applyProtection="1">
      <alignment horizontal="center" vertical="top" wrapText="1"/>
      <protection locked="0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14" borderId="1" xfId="0" applyFill="1" applyBorder="1" applyAlignment="1" applyProtection="1">
      <alignment horizontal="left"/>
      <protection locked="0"/>
    </xf>
    <xf numFmtId="0" fontId="9" fillId="0" borderId="90" xfId="0" applyFont="1" applyBorder="1" applyAlignment="1">
      <alignment horizontal="center" vertical="center" wrapText="1"/>
    </xf>
    <xf numFmtId="0" fontId="9" fillId="0" borderId="64" xfId="0" applyFont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91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14" borderId="1" xfId="0" applyNumberFormat="1" applyFill="1" applyBorder="1" applyAlignment="1" applyProtection="1">
      <alignment horizontal="left"/>
      <protection locked="0"/>
    </xf>
    <xf numFmtId="0" fontId="0" fillId="6" borderId="69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9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center"/>
    </xf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0" fillId="13" borderId="39" xfId="0" applyFill="1" applyBorder="1" applyAlignment="1">
      <alignment horizontal="left"/>
    </xf>
    <xf numFmtId="0" fontId="10" fillId="2" borderId="69" xfId="0" applyFont="1" applyFill="1" applyBorder="1" applyAlignment="1">
      <alignment horizontal="left"/>
    </xf>
    <xf numFmtId="0" fontId="10" fillId="2" borderId="39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6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left"/>
    </xf>
    <xf numFmtId="0" fontId="1" fillId="13" borderId="3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0" fontId="7" fillId="0" borderId="49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left"/>
    </xf>
    <xf numFmtId="0" fontId="1" fillId="0" borderId="42" xfId="0" applyFont="1" applyBorder="1" applyAlignment="1">
      <alignment horizontal="left"/>
    </xf>
    <xf numFmtId="0" fontId="1" fillId="0" borderId="55" xfId="0" applyFont="1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/>
    </xf>
    <xf numFmtId="0" fontId="10" fillId="2" borderId="88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left"/>
    </xf>
    <xf numFmtId="0" fontId="1" fillId="3" borderId="13" xfId="0" applyFont="1" applyFill="1" applyBorder="1" applyAlignment="1">
      <alignment horizontal="center"/>
    </xf>
    <xf numFmtId="0" fontId="1" fillId="2" borderId="75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1" fillId="3" borderId="69" xfId="0" applyFont="1" applyFill="1" applyBorder="1" applyAlignment="1">
      <alignment horizontal="center"/>
    </xf>
    <xf numFmtId="0" fontId="19" fillId="3" borderId="69" xfId="0" applyFont="1" applyFill="1" applyBorder="1" applyAlignment="1">
      <alignment horizontal="left"/>
    </xf>
    <xf numFmtId="0" fontId="19" fillId="3" borderId="39" xfId="0" applyFont="1" applyFill="1" applyBorder="1" applyAlignment="1">
      <alignment horizontal="left"/>
    </xf>
    <xf numFmtId="0" fontId="1" fillId="12" borderId="69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0" fontId="1" fillId="12" borderId="69" xfId="0" applyFont="1" applyFill="1" applyBorder="1" applyAlignment="1">
      <alignment horizontal="left"/>
    </xf>
    <xf numFmtId="0" fontId="1" fillId="12" borderId="39" xfId="0" applyFont="1" applyFill="1" applyBorder="1" applyAlignment="1">
      <alignment horizontal="left"/>
    </xf>
    <xf numFmtId="0" fontId="10" fillId="4" borderId="13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19" fillId="3" borderId="13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0" fontId="0" fillId="12" borderId="1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left"/>
    </xf>
    <xf numFmtId="0" fontId="0" fillId="10" borderId="39" xfId="0" applyFill="1" applyBorder="1" applyAlignment="1">
      <alignment horizontal="left"/>
    </xf>
    <xf numFmtId="0" fontId="1" fillId="10" borderId="39" xfId="0" applyFont="1" applyFill="1" applyBorder="1" applyAlignment="1">
      <alignment horizontal="left"/>
    </xf>
    <xf numFmtId="0" fontId="0" fillId="12" borderId="69" xfId="0" applyFill="1" applyBorder="1" applyAlignment="1">
      <alignment horizontal="left"/>
    </xf>
    <xf numFmtId="0" fontId="0" fillId="12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left"/>
    </xf>
    <xf numFmtId="0" fontId="1" fillId="6" borderId="39" xfId="0" applyFont="1" applyFill="1" applyBorder="1" applyAlignment="1">
      <alignment horizontal="left"/>
    </xf>
    <xf numFmtId="0" fontId="1" fillId="9" borderId="39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3" borderId="5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0" fillId="7" borderId="5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7" borderId="5" xfId="0" applyFont="1" applyFill="1" applyBorder="1" applyAlignment="1">
      <alignment horizontal="left" vertical="center"/>
    </xf>
    <xf numFmtId="0" fontId="3" fillId="7" borderId="3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left" vertical="center"/>
    </xf>
    <xf numFmtId="0" fontId="3" fillId="10" borderId="3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  <xf numFmtId="0" fontId="3" fillId="11" borderId="5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2" fontId="7" fillId="5" borderId="7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9" fillId="21" borderId="4" xfId="0" applyFont="1" applyFill="1" applyBorder="1" applyAlignment="1">
      <alignment horizontal="center" vertical="center"/>
    </xf>
    <xf numFmtId="0" fontId="29" fillId="21" borderId="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30" fillId="21" borderId="4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0" fillId="21" borderId="15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top"/>
    </xf>
    <xf numFmtId="0" fontId="0" fillId="9" borderId="5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1" fillId="4" borderId="22" xfId="0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5" borderId="21" xfId="0" applyFont="1" applyFill="1" applyBorder="1" applyAlignment="1">
      <alignment horizontal="right"/>
    </xf>
    <xf numFmtId="0" fontId="3" fillId="6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3" borderId="6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31" fillId="22" borderId="4" xfId="0" applyFont="1" applyFill="1" applyBorder="1" applyAlignment="1">
      <alignment horizontal="center" vertical="center"/>
    </xf>
    <xf numFmtId="0" fontId="31" fillId="22" borderId="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1" fillId="22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2" fontId="7" fillId="2" borderId="8" xfId="0" applyNumberFormat="1" applyFont="1" applyFill="1" applyBorder="1" applyAlignment="1">
      <alignment horizontal="center" vertical="center"/>
    </xf>
    <xf numFmtId="0" fontId="3" fillId="15" borderId="5" xfId="0" applyFont="1" applyFill="1" applyBorder="1" applyAlignment="1">
      <alignment horizontal="left" vertical="center"/>
    </xf>
    <xf numFmtId="0" fontId="3" fillId="15" borderId="3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2" fontId="7" fillId="5" borderId="28" xfId="0" applyNumberFormat="1" applyFont="1" applyFill="1" applyBorder="1" applyAlignment="1">
      <alignment horizontal="center" vertical="center"/>
    </xf>
    <xf numFmtId="2" fontId="7" fillId="5" borderId="29" xfId="0" applyNumberFormat="1" applyFont="1" applyFill="1" applyBorder="1" applyAlignment="1">
      <alignment horizontal="center" vertical="center"/>
    </xf>
    <xf numFmtId="2" fontId="7" fillId="5" borderId="23" xfId="0" applyNumberFormat="1" applyFont="1" applyFill="1" applyBorder="1" applyAlignment="1">
      <alignment horizontal="center" vertical="center"/>
    </xf>
    <xf numFmtId="2" fontId="7" fillId="5" borderId="30" xfId="0" applyNumberFormat="1" applyFont="1" applyFill="1" applyBorder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5" borderId="31" xfId="0" applyNumberFormat="1" applyFont="1" applyFill="1" applyBorder="1" applyAlignment="1">
      <alignment horizontal="center" vertical="center"/>
    </xf>
    <xf numFmtId="2" fontId="7" fillId="5" borderId="32" xfId="0" applyNumberFormat="1" applyFont="1" applyFill="1" applyBorder="1" applyAlignment="1">
      <alignment horizontal="center" vertical="center"/>
    </xf>
    <xf numFmtId="2" fontId="7" fillId="5" borderId="3" xfId="0" applyNumberFormat="1" applyFont="1" applyFill="1" applyBorder="1" applyAlignment="1">
      <alignment horizontal="center" vertical="center"/>
    </xf>
    <xf numFmtId="2" fontId="7" fillId="5" borderId="24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2" fontId="7" fillId="2" borderId="28" xfId="0" applyNumberFormat="1" applyFont="1" applyFill="1" applyBorder="1" applyAlignment="1">
      <alignment horizontal="center" vertical="center"/>
    </xf>
    <xf numFmtId="2" fontId="7" fillId="2" borderId="29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30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2" fontId="7" fillId="2" borderId="31" xfId="0" applyNumberFormat="1" applyFont="1" applyFill="1" applyBorder="1" applyAlignment="1">
      <alignment horizontal="center" vertical="center"/>
    </xf>
    <xf numFmtId="2" fontId="7" fillId="2" borderId="3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7" fillId="2" borderId="2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NumberFormat="1" applyAlignment="1">
      <alignment horizontal="center"/>
    </xf>
  </cellXfs>
  <cellStyles count="7">
    <cellStyle name="Currency" xfId="1" builtinId="4"/>
    <cellStyle name="Normal" xfId="0" builtinId="0"/>
    <cellStyle name="Normal 2" xfId="3" xr:uid="{00000000-0005-0000-0000-000002000000}"/>
    <cellStyle name="Normal 2 2" xfId="5" xr:uid="{00000000-0005-0000-0000-000003000000}"/>
    <cellStyle name="Percent" xfId="2" builtinId="5"/>
    <cellStyle name="Percent 2" xfId="4" xr:uid="{00000000-0005-0000-0000-000005000000}"/>
    <cellStyle name="Percent 2 2" xfId="6" xr:uid="{00000000-0005-0000-0000-000006000000}"/>
  </cellStyles>
  <dxfs count="235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wrapText="1"/>
    </dxf>
    <dxf>
      <alignment horizontal="center"/>
    </dxf>
    <dxf>
      <alignment wrapText="1"/>
    </dxf>
    <dxf>
      <alignment horizontal="center"/>
    </dxf>
    <dxf>
      <alignment vertical="bottom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numFmt numFmtId="27" formatCode="m/d/yyyy\ h:mm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numFmt numFmtId="27" formatCode="m/d/yyyy\ h:m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bottom"/>
    </dxf>
    <dxf>
      <alignment horizontal="center"/>
    </dxf>
    <dxf>
      <alignment wrapText="1"/>
    </dxf>
    <dxf>
      <alignment horizontal="center"/>
    </dxf>
    <dxf>
      <alignment wrapText="1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ill>
        <patternFill>
          <bgColor theme="7" tint="0.79998168889431442"/>
        </patternFill>
      </fill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>
          <bgColor theme="7"/>
        </patternFill>
      </fill>
      <border>
        <right style="thin">
          <color theme="7" tint="-0.499984740745262"/>
        </right>
        <vertical/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bottom style="thin">
          <color theme="7" tint="0.59999389629810485"/>
        </bottom>
      </border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79998168889431442"/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7" tint="-0.249977111117893"/>
        </top>
        <bottom style="medium">
          <color theme="7" tint="-0.249977111117893"/>
        </bottom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</dxfs>
  <tableStyles count="7" defaultTableStyle="TableStyleMedium2" defaultPivotStyle="PivotStyleLight16">
    <tableStyle name="BOM by Spl" table="0" count="13" xr9:uid="{0CC7830D-256A-440B-96CA-6164265F3252}">
      <tableStyleElement type="wholeTable" dxfId="2355"/>
      <tableStyleElement type="headerRow" dxfId="2354"/>
      <tableStyleElement type="totalRow" dxfId="2353"/>
      <tableStyleElement type="firstRowStripe" dxfId="2352"/>
      <tableStyleElement type="firstColumnStripe" dxfId="2351"/>
      <tableStyleElement type="firstSubtotalColumn" dxfId="2350"/>
      <tableStyleElement type="firstSubtotalRow" dxfId="2349"/>
      <tableStyleElement type="secondSubtotalRow" dxfId="2348"/>
      <tableStyleElement type="blankRow" dxfId="2347"/>
      <tableStyleElement type="firstRowSubheading" dxfId="2346"/>
      <tableStyleElement type="secondRowSubheading" dxfId="2345"/>
      <tableStyleElement type="pageFieldLabels" dxfId="2344"/>
      <tableStyleElement type="pageFieldValues" dxfId="2343"/>
    </tableStyle>
    <tableStyle name="BOM by Spool" table="0" count="9" xr9:uid="{B4F85D6D-86A6-4F6D-9CF2-F1E10821A25A}">
      <tableStyleElement type="wholeTable" dxfId="2342"/>
      <tableStyleElement type="headerRow" dxfId="2341"/>
      <tableStyleElement type="firstRowStripe" dxfId="2340"/>
      <tableStyleElement type="firstColumnStripe" dxfId="2339"/>
      <tableStyleElement type="firstHeaderCell" dxfId="2338"/>
      <tableStyleElement type="firstRowSubheading" dxfId="2337"/>
      <tableStyleElement type="secondRowSubheading" dxfId="2336"/>
      <tableStyleElement type="pageFieldLabels" dxfId="2335"/>
      <tableStyleElement type="pageFieldValues" dxfId="2334"/>
    </tableStyle>
    <tableStyle name="PivotStyleMedium12 2" table="0" count="8" xr9:uid="{777ACB3E-FBD8-4D95-90A7-4FEC10322008}">
      <tableStyleElement type="wholeTable" dxfId="2333"/>
      <tableStyleElement type="headerRow" dxfId="2332"/>
      <tableStyleElement type="firstRowStripe" dxfId="2331"/>
      <tableStyleElement type="secondRowStripe" dxfId="2330"/>
      <tableStyleElement type="firstColumnStripe" dxfId="2329"/>
      <tableStyleElement type="firstSubtotalColumn" dxfId="2328"/>
      <tableStyleElement type="pageFieldLabels" dxfId="2327"/>
      <tableStyleElement type="pageFieldValues" dxfId="2326"/>
    </tableStyle>
    <tableStyle name="PivotStyleMedium5 2" table="0" count="7" xr9:uid="{91492AD4-C234-49B4-BD1C-B3D68A6457E3}">
      <tableStyleElement type="wholeTable" dxfId="2325"/>
      <tableStyleElement type="headerRow" dxfId="2324"/>
      <tableStyleElement type="firstRowStripe" dxfId="2323"/>
      <tableStyleElement type="firstColumnStripe" dxfId="2322"/>
      <tableStyleElement type="firstColumnSubheading" dxfId="2321"/>
      <tableStyleElement type="pageFieldLabels" dxfId="2320"/>
      <tableStyleElement type="pageFieldValues" dxfId="2319"/>
    </tableStyle>
    <tableStyle name="PivotStyleMedium5 3" table="0" count="7" xr9:uid="{F2CE6784-ADF5-47F3-B96F-CAB53CE1083D}">
      <tableStyleElement type="wholeTable" dxfId="2318"/>
      <tableStyleElement type="headerRow" dxfId="2317"/>
      <tableStyleElement type="firstRowStripe" dxfId="2316"/>
      <tableStyleElement type="firstColumnStripe" dxfId="2315"/>
      <tableStyleElement type="firstHeaderCell" dxfId="2314"/>
      <tableStyleElement type="pageFieldLabels" dxfId="2313"/>
      <tableStyleElement type="pageFieldValues" dxfId="2312"/>
    </tableStyle>
    <tableStyle name="PivotStyleMedium5 4" table="0" count="11" xr9:uid="{C9A4675B-49D3-4F6A-A695-CA7803BC8CFC}">
      <tableStyleElement type="wholeTable" dxfId="2311"/>
      <tableStyleElement type="headerRow" dxfId="2310"/>
      <tableStyleElement type="firstColumn" dxfId="2309"/>
      <tableStyleElement type="firstRowStripe" dxfId="2308"/>
      <tableStyleElement type="firstColumnStripe" dxfId="2307"/>
      <tableStyleElement type="firstHeaderCell" dxfId="2306"/>
      <tableStyleElement type="blankRow" dxfId="2305"/>
      <tableStyleElement type="firstRowSubheading" dxfId="2304"/>
      <tableStyleElement type="secondRowSubheading" dxfId="2303"/>
      <tableStyleElement type="pageFieldLabels" dxfId="2302"/>
      <tableStyleElement type="pageFieldValues" dxfId="2301"/>
    </tableStyle>
    <tableStyle name="Straights" table="0" count="7" xr9:uid="{0BFD87FA-E167-47DF-81E0-96491442B8A0}">
      <tableStyleElement type="headerRow" dxfId="2300"/>
      <tableStyleElement type="firstHeaderCell" dxfId="2299"/>
      <tableStyleElement type="firstSubtotalColumn" dxfId="2298"/>
      <tableStyleElement type="secondSubtotalColumn" dxfId="2297"/>
      <tableStyleElement type="thirdSubtotalColumn" dxfId="2296"/>
      <tableStyleElement type="blankRow" dxfId="2295"/>
      <tableStyleElement type="pageFieldLabels" dxfId="2294"/>
    </tableStyle>
  </tableStyles>
  <colors>
    <mruColors>
      <color rgb="FF092B24"/>
      <color rgb="FF003300"/>
      <color rgb="FFA6A6A6"/>
      <color rgb="FFCCECFF"/>
      <color rgb="FFFF0000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3" dropStyle="combo" dx="16" fmlaLink="$P$6" fmlaRange="$Q$3:$V$5" noThreeD="1" sel="3" val="0"/>
</file>

<file path=xl/ctrlProps/ctrlProp2.xml><?xml version="1.0" encoding="utf-8"?>
<formControlPr xmlns="http://schemas.microsoft.com/office/spreadsheetml/2009/9/main" objectType="Drop" dropLines="3" dropStyle="combo" dx="16" fmlaLink="$P$14" fmlaRange="$Q$11:$V$13" noThreeD="1" sel="3" val="0"/>
</file>

<file path=xl/ctrlProps/ctrlProp3.xml><?xml version="1.0" encoding="utf-8"?>
<formControlPr xmlns="http://schemas.microsoft.com/office/spreadsheetml/2009/9/main" objectType="Drop" dropLines="3" dropStyle="combo" dx="16" fmlaLink="$P$22" fmlaRange="$Q$19:$V$21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13209</xdr:colOff>
      <xdr:row>0</xdr:row>
      <xdr:rowOff>15241</xdr:rowOff>
    </xdr:from>
    <xdr:to>
      <xdr:col>0</xdr:col>
      <xdr:colOff>2871410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209" y="15241"/>
          <a:ext cx="2858201" cy="527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182880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Drop Down 1" descr="PLEASE SELECT: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7620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6" name="Drop Down 2" descr="PLEASE SELECT: 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1027" name="Drop Down 3" descr="PLEASE SELECT: 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3</xdr:row>
          <xdr:rowOff>0</xdr:rowOff>
        </xdr:from>
        <xdr:to>
          <xdr:col>1</xdr:col>
          <xdr:colOff>1623060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QTY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73527</xdr:colOff>
      <xdr:row>0</xdr:row>
      <xdr:rowOff>168088</xdr:rowOff>
    </xdr:from>
    <xdr:to>
      <xdr:col>1</xdr:col>
      <xdr:colOff>798418</xdr:colOff>
      <xdr:row>2</xdr:row>
      <xdr:rowOff>31712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3527" y="168088"/>
          <a:ext cx="1352420" cy="244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e E. Falgoust" refreshedDate="46113.383234606481" createdVersion="8" refreshedVersion="8" minRefreshableVersion="3" recordCount="137" xr:uid="{609C72A6-AD2D-4915-B1AA-79008F602D7C}">
  <cacheSource type="worksheet">
    <worksheetSource ref="A1:BI1048576" sheet="CSV Table"/>
  </cacheSource>
  <cacheFields count="61">
    <cacheField name="Unique Id" numFmtId="0">
      <sharedItems containsBlank="1"/>
    </cacheField>
    <cacheField name="Project Name" numFmtId="0">
      <sharedItems containsBlank="1"/>
    </cacheField>
    <cacheField name="Project Address" numFmtId="0">
      <sharedItems containsBlank="1"/>
    </cacheField>
    <cacheField name="System" numFmtId="0">
      <sharedItems containsBlank="1"/>
    </cacheField>
    <cacheField name="Area" numFmtId="0">
      <sharedItems containsBlank="1"/>
    </cacheField>
    <cacheField name="Project Number" numFmtId="0">
      <sharedItems containsBlank="1"/>
    </cacheField>
    <cacheField name="Drawn By" numFmtId="0">
      <sharedItems containsBlank="1"/>
    </cacheField>
    <cacheField name="Issued Date" numFmtId="0">
      <sharedItems containsNonDate="0" containsString="0" containsBlank="1"/>
    </cacheField>
    <cacheField name="Company" numFmtId="0">
      <sharedItems containsBlank="1"/>
    </cacheField>
    <cacheField name="itm CID" numFmtId="0">
      <sharedItems containsString="0" containsBlank="1" containsNumber="1" containsInteger="1" minValue="2041" maxValue="2900"/>
    </cacheField>
    <cacheField name="Fitting Type" numFmtId="0">
      <sharedItems containsBlank="1" count="5">
        <s v="Straight"/>
        <s v="Fitting"/>
        <m/>
        <s v="Fitting Type" u="1"/>
        <s v="" u="1"/>
      </sharedItems>
    </cacheField>
    <cacheField name="Service Type" numFmtId="0">
      <sharedItems containsBlank="1" count="9">
        <s v="Drainage"/>
        <s v="Pipework"/>
        <s v="Joint"/>
        <m/>
        <s v="Service Type" u="1"/>
        <s v="Valve" u="1"/>
        <s v="" u="1"/>
        <s v="Weld" u="1"/>
        <s v="Flange" u="1"/>
      </sharedItems>
    </cacheField>
    <cacheField name="Service" numFmtId="0">
      <sharedItems containsBlank="1"/>
    </cacheField>
    <cacheField name="FAB Service Abbrv" numFmtId="0">
      <sharedItems containsBlank="1"/>
    </cacheField>
    <cacheField name="Description (1)" numFmtId="0">
      <sharedItems containsBlank="1"/>
    </cacheField>
    <cacheField name="Description (2)" numFmtId="0">
      <sharedItems containsBlank="1" count="82">
        <s v="Pipe - Copper DWV"/>
        <s v="907 DWV 90 Elbow C x C - Wrot"/>
        <s v="606 45 Elbow C x C - Wrot"/>
        <s v="911 DWV Tee C x C x C - Wrot"/>
        <s v="906 DWV 45 Elbow C x C - Wrot"/>
        <s v="Pipe - B88 Copper Type M"/>
        <s v="611 Tee C x C x C - Wrot"/>
        <s v="603-2 Fitting Adapter Ftg x F - Wrot"/>
        <s v="Threaded Joint"/>
        <s v="816 - Cleanout w Plug C - Cast"/>
        <s v="Soldered Joint"/>
        <s v="600-RS Coupling with Rolled Tube Stop C x C - Wrot"/>
        <s v="600-2 Fitting Reducer Ftg x C - Wrot"/>
        <s v="917-B Test Caps - Copper C - Wrot"/>
        <s v="617 Tube Cap C - Wrot"/>
        <m/>
        <s v="Description (2)" u="1"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Anvilets - Threadolet 3000lb (FPT)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Nipple - Carbon Steel STD (MPT x MPT) - 2in" u="1"/>
        <s v="2967ZL - Bronze Dielectric Union (P x FPT)" u="1"/>
        <s v="Nipple - Carbon Steel STD (MPT x MPT) - 4in" u="1"/>
        <s v="T-585-70-NS Threaded Ball Valve NibSeal" u="1"/>
        <s v="No 40 Nipple (GRV x MPT)" u="1"/>
        <s v="2915 - Copper Coupling with Stop (P)" u="1"/>
        <s v="" u="1"/>
        <s v="90 Elbow Long Radius Schedule STD" u="1"/>
        <s v="Carbon Steel Shop Weld - Standard" u="1"/>
        <s v="45 Elbow Long Radius Schedule STD" u="1"/>
        <s v="A53 ERW Std Wt Blk PE" u="1"/>
        <s v="A53 ERW Std Wt Blk Grv" u="1"/>
        <s v="CS 90 LR Elbow STD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Carbon Thread Joint" u="1"/>
        <s v="DI 107V Rigid Coupling EHP_Gskt GE" u="1"/>
        <s v="Fig 2119 Half Coupling" u="1"/>
        <s v="CS Clear Flow Dielectric Nipple MPT" u="1"/>
        <s v="BRZ 2912ZL Adapter PRxFPT" u="1"/>
        <s v="CU 2915-1 Reducer FTGxPR" u="1"/>
        <s v="Press Joint CU-BRZ" u="1"/>
        <s v="CU 2916_1 90 Street Elbow FtgxPR" u="1"/>
        <s v="CL223E ButterFly Valve LH" u="1"/>
        <s v="CS 150# RF WN Flange STD" u="1"/>
        <s v="150# Cap Screw Set" u="1"/>
        <s v="CS Cap STD" u="1"/>
      </sharedItems>
    </cacheField>
    <cacheField name="Schedule/Rating" numFmtId="0">
      <sharedItems containsBlank="1"/>
    </cacheField>
    <cacheField name="Alias" numFmtId="0">
      <sharedItems containsBlank="1"/>
    </cacheField>
    <cacheField name="Manufacturer" numFmtId="0">
      <sharedItems containsBlank="1"/>
    </cacheField>
    <cacheField name="Material Group" numFmtId="0">
      <sharedItems containsBlank="1"/>
    </cacheField>
    <cacheField name="Material Data" numFmtId="0">
      <sharedItems containsBlank="1" count="12">
        <s v="Copper"/>
        <s v="Carbon Steel"/>
        <m/>
        <s v="Material Data" u="1"/>
        <s v="PVC" u="1"/>
        <s v="Brass" u="1"/>
        <s v="Bronze" u="1"/>
        <s v="Ductile Iron" u="1"/>
        <s v="Forged Steel" u="1"/>
        <s v="" u="1"/>
        <s v="Wrot Copper" u="1"/>
        <s v="Metal Alloy" u="1"/>
      </sharedItems>
    </cacheField>
    <cacheField name="Material Abbreviation" numFmtId="0">
      <sharedItems containsBlank="1"/>
    </cacheField>
    <cacheField name="Size (inch)" numFmtId="0">
      <sharedItems containsBlank="1" count="48">
        <s v="1-1/2"/>
        <s v="3/4"/>
        <s v="1-1/4"/>
        <s v="1-1/4x3/4"/>
        <m/>
        <s v="2-1/2" u="1"/>
        <s v="2" u="1"/>
        <s v="2x1-1/4x1-1/4" u="1"/>
        <s v="1" u="1"/>
        <s v="2x1-1/2x2" u="1"/>
        <s v="1-1/2x3/4" u="1"/>
        <s v="1x1x3/4" u="1"/>
        <s v="1x3/4" u="1"/>
        <s v="5" u="1"/>
        <s v="6" u="1"/>
        <s v="6x5" u="1"/>
        <s v="6x3" u="1"/>
        <s v="3" u="1"/>
        <s v="3x2-1/2" u="1"/>
        <s v="3x2" u="1"/>
        <s v="1/2x6" u="1"/>
        <s v="1/2" u="1"/>
        <s v="2x2x1/2" u="1"/>
        <s v="2x2x1-1/4" u="1"/>
        <s v="2x6" u="1"/>
        <s v="2x2x1" u="1"/>
        <s v="2x1-1/2" u="1"/>
        <s v="" u="1"/>
        <s v="1-1/2x1x1-1/2" u="1"/>
        <s v="1-1/4x1/2x1-1/4" u="1"/>
        <s v="1x1/2" u="1"/>
        <s v="8" u="1"/>
        <s v="4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4x2-1/2" u="1"/>
        <s v="2-1/2x1-1/4" u="1"/>
        <s v="2-1/2x1" u="1"/>
        <s v="2-1/2x2" u="1"/>
        <s v="3x1/2" u="1"/>
      </sharedItems>
    </cacheField>
    <cacheField name="Size (dec)" numFmtId="0">
      <sharedItems containsString="0" containsBlank="1" containsNumber="1" minValue="0.75" maxValue="1.5"/>
    </cacheField>
    <cacheField name="Inlet Diameter" numFmtId="0">
      <sharedItems containsBlank="1"/>
    </cacheField>
    <cacheField name="Size Outlets" numFmtId="0">
      <sharedItems containsString="0" containsBlank="1" containsNumber="1" minValue="0.75" maxValue="1.5"/>
    </cacheField>
    <cacheField name="Size Branches" numFmtId="0">
      <sharedItems containsBlank="1"/>
    </cacheField>
    <cacheField name="RFA Size" numFmtId="0">
      <sharedItems containsBlank="1"/>
    </cacheField>
    <cacheField name="RFA Size (max)" numFmtId="0">
      <sharedItems containsBlank="1"/>
    </cacheField>
    <cacheField name="RFA Size (max dec)" numFmtId="0">
      <sharedItems containsBlank="1"/>
    </cacheField>
    <cacheField name="Length (ft)" numFmtId="0">
      <sharedItems containsBlank="1"/>
    </cacheField>
    <cacheField name="Length (dec ft)" numFmtId="0">
      <sharedItems containsString="0" containsBlank="1" containsNumber="1" minValue="0.2213" maxValue="20"/>
    </cacheField>
    <cacheField name="Quantity" numFmtId="0">
      <sharedItems containsString="0" containsBlank="1" containsNumber="1" containsInteger="1" minValue="1" maxValue="1"/>
    </cacheField>
    <cacheField name="Manufacturer Order Number" numFmtId="0">
      <sharedItems containsBlank="1"/>
    </cacheField>
    <cacheField name="RFA Model Number" numFmtId="0">
      <sharedItems containsBlank="1"/>
    </cacheField>
    <cacheField name="Spool Name" numFmtId="0">
      <sharedItems containsBlank="1"/>
    </cacheField>
    <cacheField name="Spool Name (PiM)" numFmtId="0">
      <sharedItems containsBlank="1"/>
    </cacheField>
    <cacheField name="Entity Status" numFmtId="0">
      <sharedItems containsBlank="1"/>
    </cacheField>
    <cacheField name="Shop Order Number" numFmtId="0">
      <sharedItems containsBlank="1"/>
    </cacheField>
    <cacheField name="Item Number" numFmtId="0">
      <sharedItems containsBlank="1"/>
    </cacheField>
    <cacheField name="Mark" numFmtId="0">
      <sharedItems containsBlank="1"/>
    </cacheField>
    <cacheField name="Weight" numFmtId="0">
      <sharedItems containsBlank="1"/>
    </cacheField>
    <cacheField name="Level" numFmtId="0">
      <sharedItems containsBlank="1"/>
    </cacheField>
    <cacheField name="Category" numFmtId="0">
      <sharedItems containsBlank="1"/>
    </cacheField>
    <cacheField name="Sub Type" numFmtId="0">
      <sharedItems containsBlank="1"/>
    </cacheField>
    <cacheField name="Bernhard LB ID" numFmtId="0">
      <sharedItems containsBlank="1"/>
    </cacheField>
    <cacheField name="JD Edwards ID" numFmtId="0">
      <sharedItems containsBlank="1"/>
    </cacheField>
    <cacheField name="Hanger Diameter" numFmtId="0">
      <sharedItems containsBlank="1"/>
    </cacheField>
    <cacheField name="Rod Diameter" numFmtId="0">
      <sharedItems containsBlank="1"/>
    </cacheField>
    <cacheField name="Rod Diameter (dec)" numFmtId="0">
      <sharedItems containsNonDate="0" containsString="0" containsBlank="1"/>
    </cacheField>
    <cacheField name="Rod Inset Depth" numFmtId="0">
      <sharedItems containsBlank="1"/>
    </cacheField>
    <cacheField name="Rod Length" numFmtId="0">
      <sharedItems containsBlank="1"/>
    </cacheField>
    <cacheField name="Rod Length (dec)" numFmtId="0">
      <sharedItems containsNonDate="0" containsString="0" containsBlank="1"/>
    </cacheField>
    <cacheField name="Conn Type #1" numFmtId="0">
      <sharedItems containsBlank="1"/>
    </cacheField>
    <cacheField name="Conn Type #2" numFmtId="0">
      <sharedItems containsBlank="1"/>
    </cacheField>
    <cacheField name="Conn Type #3" numFmtId="0">
      <sharedItems containsBlank="1"/>
    </cacheField>
    <cacheField name="Conn Type #4" numFmtId="0">
      <sharedItems containsBlank="1"/>
    </cacheField>
    <cacheField name="Conn Type #5" numFmtId="0">
      <sharedItems containsBlank="1"/>
    </cacheField>
    <cacheField name="Conn Type #6" numFmtId="0">
      <sharedItems containsBlank="1"/>
    </cacheField>
    <cacheField name="Conn Type #7" numFmtId="0">
      <sharedItems containsBlank="1"/>
    </cacheField>
    <cacheField name="Conn Type #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e E. Falgoust" refreshedDate="46113.383235532405" createdVersion="8" refreshedVersion="8" minRefreshableVersion="3" recordCount="135" xr:uid="{89AF84ED-0B79-49A4-812B-89869113955C}">
  <cacheSource type="external" connectionId="2"/>
  <cacheFields count="69">
    <cacheField name="Unique Id" numFmtId="0">
      <sharedItems/>
    </cacheField>
    <cacheField name="Project Name" numFmtId="0">
      <sharedItems count="10">
        <s v="UNC Carrington Hall Phase 2"/>
        <s v="Project Name" u="1"/>
        <s v="USF ON-CAMPUS STADIUM" u="1"/>
        <s v="UCF STADIUM - WEST TOWER" u="1"/>
        <s v="GASWORX- Parcel E2" u="1"/>
        <s v="THE WESTIN COCOA BEACH RESORT &amp; SPA" u="1"/>
        <s v="" u="1"/>
        <s v="SHELL NORCO - MP BUILDING" u="1"/>
        <s v="CONWAY MEDICAL CENTER" u="1"/>
        <s v="BIMrxDBS" u="1"/>
      </sharedItems>
    </cacheField>
    <cacheField name="Project Address" numFmtId="0">
      <sharedItems count="1">
        <s v="120 Medical Drive, Chapel Hill, NC 27514"/>
      </sharedItems>
    </cacheField>
    <cacheField name="System" numFmtId="0">
      <sharedItems count="1">
        <s v="Condensate"/>
      </sharedItems>
    </cacheField>
    <cacheField name="Area" numFmtId="0">
      <sharedItems count="1">
        <s v="A, C,D"/>
      </sharedItems>
    </cacheField>
    <cacheField name="Project Number" numFmtId="0">
      <sharedItems count="5">
        <s v="87400403"/>
        <s v="Project Number" u="1"/>
        <s v="26400356" u="1"/>
        <s v="54400113" u="1"/>
        <s v="26400398" u="1"/>
      </sharedItems>
    </cacheField>
    <cacheField name="Drawn By" numFmtId="0">
      <sharedItems count="1">
        <s v=""/>
      </sharedItems>
    </cacheField>
    <cacheField name="Issued Date" numFmtId="0">
      <sharedItems containsNonDate="0" containsDate="1" containsString="0" containsBlank="1" minDate="2025-08-13T09:43:49" maxDate="2025-12-11T10:32:50" count="3">
        <m/>
        <d v="2025-12-11T10:32:50" u="1"/>
        <d v="2025-08-13T09:43:49" u="1"/>
      </sharedItems>
    </cacheField>
    <cacheField name="Company" numFmtId="0">
      <sharedItems count="1">
        <s v=""/>
      </sharedItems>
    </cacheField>
    <cacheField name="itm CID" numFmtId="0">
      <sharedItems containsSemiMixedTypes="0" containsString="0" containsNumber="1" containsInteger="1" minValue="838" maxValue="2966" count="33">
        <n v="2041"/>
        <n v="2523"/>
        <n v="2900"/>
        <n v="2160"/>
        <n v="2522"/>
        <n v="2060"/>
        <n v="2051"/>
        <n v="868" u="1"/>
        <n v="2071" u="1"/>
        <n v="2097" u="1"/>
        <n v="2875" u="1"/>
        <n v="2148" u="1"/>
        <n v="2047" u="1"/>
        <n v="2966" u="1"/>
        <n v="2044" u="1"/>
        <n v="2149" u="1"/>
        <n v="2882" u="1"/>
        <n v="916" u="1"/>
        <n v="2326" u="1"/>
        <n v="2884" u="1"/>
        <n v="2042" u="1"/>
        <n v="2072" u="1"/>
        <n v="2965" u="1"/>
        <n v="2899" u="1"/>
        <n v="1111" u="1"/>
        <n v="1110" u="1"/>
        <n v="2901" u="1"/>
        <n v="2938" u="1"/>
        <n v="2155" u="1"/>
        <n v="2821" u="1"/>
        <n v="2524" u="1"/>
        <n v="838" u="1"/>
        <n v="2857" u="1"/>
      </sharedItems>
    </cacheField>
    <cacheField name="Fitting Type" numFmtId="0">
      <sharedItems count="2">
        <s v="Straight"/>
        <s v="Fitting"/>
      </sharedItems>
    </cacheField>
    <cacheField name="Service Type" numFmtId="0">
      <sharedItems count="25">
        <s v="Drainage"/>
        <s v="Pipework"/>
        <s v="Joint"/>
        <s v="Service Type" u="1"/>
        <s v="Valve" u="1"/>
        <s v="Weld" u="1"/>
        <s v="Strainer" u="1"/>
        <s v="Bolts" u="1"/>
        <s v="Flange" u="1"/>
        <s v="" u="1"/>
        <s v="Pipe" u="1"/>
        <s v="Tee" u="1"/>
        <s v="Elbow" u="1"/>
        <s v="Nipple" u="1"/>
        <s v="Adapter" u="1"/>
        <s v="Coupling" u="1"/>
        <s v="Reducer" u="1"/>
        <s v="Cap" u="1"/>
        <s v="Union" u="1"/>
        <s v="Equipment" u="1"/>
        <s v="Flex Pipe" u="1"/>
        <s v="Gasket" u="1"/>
        <s v="Hanger" u="1"/>
        <s v="Pipe Accessory" u="1"/>
        <s v="O-Let" u="1"/>
      </sharedItems>
    </cacheField>
    <cacheField name="Service" numFmtId="0">
      <sharedItems count="26">
        <s v="AGM: Condensate Drain (CD)"/>
        <s v="Service" u="1"/>
        <s v="AGM: Chilled Water Supply (CHWS)" u="1"/>
        <s v="AGM: Chilled Water Return (CHWR)" u="1"/>
        <s v="M: Chilled Water Return - AG (CHWR)" u="1"/>
        <s v="M: Chilled Water Supply - AG (CHWS)" u="1"/>
        <s v="" u="1"/>
        <s v="54400148 Westin Cocoa Beach: 13-Chilled Water Supply" u="1"/>
        <s v="54400148 Westin Cocoa Beach: 13-Chilled Water Return" u="1"/>
        <s v="511300568 Shell Norco: 12-Dom Cold Water" u="1"/>
        <s v="511300568 Shell Norco: 12-Dom Hot Water" u="1"/>
        <s v="511300568 Shell Norco: 12-Dom Hot Water Return" u="1"/>
        <s v="511300568 Shell Norco: 01-Sanitary Vent" u="1"/>
        <s v="511300568 Shell Norco: 11-Sanitary Vent" u="1"/>
        <s v="565300193 Conway Medical: 13-Condenser Water Return" u="1"/>
        <s v="565300193 Conway Medical: 13-Heating Hot Water Return" u="1"/>
        <s v="565300193 Conway Medical: 13-Heating Hot Water Supply" u="1"/>
        <s v="565300193 Conway Medical: 13-Condenser Water Supply" u="1"/>
        <s v="P: Domestic Cold Water - AG (DCW)" u="1"/>
        <s v="P: Domestic Hot Water - AG (DHW)" u="1"/>
        <s v="P: Natural Gas - AG (NG)" u="1"/>
        <s v="P: Domestic Hot Water Return - AG (DHWR)" u="1"/>
        <s v="D: Sanitary Vent - AG (V)" u="1"/>
        <s v="D: Greasy Waste - AG (GW)" u="1"/>
        <s v="None" u="1"/>
        <s v="Bernhard Testing: Bernhard" u="1"/>
      </sharedItems>
    </cacheField>
    <cacheField name="FAB Service Abbrv" numFmtId="0">
      <sharedItems count="1">
        <s v="CD"/>
      </sharedItems>
    </cacheField>
    <cacheField name="Description (1)" numFmtId="0">
      <sharedItems count="1">
        <s v=""/>
      </sharedItems>
    </cacheField>
    <cacheField name="Description (2)" numFmtId="0">
      <sharedItems count="2650">
        <s v="Pipe - Copper DWV"/>
        <s v="907 DWV 90 Elbow C x C - Wrot"/>
        <s v="606 45 Elbow C x C - Wrot"/>
        <s v="911 DWV Tee C x C x C - Wrot"/>
        <s v="906 DWV 45 Elbow C x C - Wrot"/>
        <s v="Pipe - B88 Copper Type M"/>
        <s v="611 Tee C x C x C - Wrot"/>
        <s v="603-2 Fitting Adapter Ftg x F - Wrot"/>
        <s v="Threaded Joint"/>
        <s v="816 - Cleanout w Plug C - Cast"/>
        <s v="Soldered Joint"/>
        <s v="600-RS Coupling with Rolled Tube Stop C x C - Wrot"/>
        <s v="600-2 Fitting Reducer Ftg x C - Wrot"/>
        <s v="917-B Test Caps - Copper C - Wrot"/>
        <s v="617 Tube Cap C - Wrot"/>
        <s v="Description (2)" u="1"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Eccentric Reducer Schedule STD" u="1"/>
        <s v="Carbon Steel Shop Weld - Standard" u="1"/>
        <s v="Nipple - Carbon Steel STD TOE (BE x MPT) - 4in" u="1"/>
        <s v="Series LF3001A Dielectric Union (FPT x C)" u="1"/>
        <s v="Brazed Joint" u="1"/>
        <s v="Pipe - B88 Copper Type K" u="1"/>
        <s v="607-90 Elbow Close Rough C x C - Wrot" u="1"/>
        <s v="606-2 45 Fitting Elbow Ftg x C - Wrot" u="1"/>
        <s v="Anvilets - Threadolet 3000lb (FPT)" u="1"/>
        <s v="90 Elbow Long Radius Schedule STD" u="1"/>
        <s v="Nipple - Carbon Steel STD (MPT x MPT) - 2in" u="1"/>
        <s v="45 Elbow Long Radius Schedule STD" u="1"/>
        <s v="T-585-70-NS Threaded Ball Valve NibSeal" u="1"/>
        <s v="CP4 - Adapter - Male (CxMPT)" u="1"/>
        <s v="F-300 Threaded Y Strainer" u="1"/>
        <s v="Circuit Setter Calibrated Balance Valve Dial Knob (C)" u="1"/>
        <s v="Anvilets - Weldolet STD (BW)" u="1"/>
        <s v="607-2 90 Fitting Elbow - Close Rough Ftg x C - Wrot" u="1"/>
        <s v="LD-20003 - Butterfly Valve Lever Lock Class 150-125 Lug (FLG)" u="1"/>
        <s v="Cap Screw Set - 150lb (LPBFV)" u="1"/>
        <s v="Weld Neck Flange Raised Face STD - 150lb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2967ZL - Bronze Dielectric Union (P x FPT)" u="1"/>
        <s v="Nipple - Carbon Steel STD (MPT x MPT) - 4in" u="1"/>
        <s v="No 40 Nipple (GRV x MPT)" u="1"/>
        <s v="2915 - Copper Coupling with Stop (P)" u="1"/>
        <s v="" u="1"/>
        <s v="Type L Hard Copper" u="1"/>
        <s v="CU 2916 90 Elbow PR" u="1"/>
        <s v="Press Joint CU-BRZ" u="1"/>
        <s v="Tee PxPxP M2918" u="1"/>
        <s v="CU 2918 Tee PR" u="1"/>
        <s v="CU 2926 45 Elbow PR" u="1"/>
        <s v="CU 2915 Stop Coupling PR" u="1"/>
        <s v="PC585-70-NS Ball Valve PxP" u="1"/>
        <s v="CS Clear Flow Dielectric Nipple MPT" u="1"/>
        <s v="BRZ 2912ZL Adapter PRxFPT" u="1"/>
        <s v="Carbon Thread Joint" u="1"/>
        <s v="CU 2926_1 45 Street Elbow FtgxPR" u="1"/>
        <s v="CU 2916_1 90 Street Elbow FtgxPR" u="1"/>
        <s v="CU 2915-1 Reducer FTGxPR" u="1"/>
        <s v="BRZ 2911ZL Adapter PRxMPT" u="1"/>
        <s v="T-585-70-NS Ball Valve" u="1"/>
        <s v="CS 90 LR Elbow STD" u="1"/>
        <s v="A53 ERW Std Wt Blk PE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DI 107V Rigid Coupling EHP_Gskt GE" u="1"/>
        <s v="A53 ERW Std Wt Blk Grv" u="1"/>
        <s v="Fig 2119 Half Coupling" u="1"/>
        <s v="CS 150# RF WN Flange STD" u="1"/>
        <s v="150# Cap Screw Set" u="1"/>
        <s v="CS Cap STD" u="1"/>
        <s v="CU 0918XL Tee PR" u="1"/>
        <s v="CU 0916XL 90 Elbow 90 PR" u="1"/>
        <s v="CU 0915-1XL Reducer FTGxPR" u="1"/>
        <s v="PC585-80-LF Ball Valve PxP" u="1"/>
        <s v="CU 2956 Cap PR" u="1"/>
        <s v="Copper Thread Joint" u="1"/>
        <s v="PF_413_Y Check Valve PxP" u="1"/>
        <s v="BRZ 2960ZL Union PR" u="1"/>
        <s v="CU 0915XL Coupling Stop PR" u="1"/>
        <s v="3000 Proflex Cplg CI to PL" u="1"/>
        <s v="CI NH-4 Quarter Bend NH" u="1"/>
        <s v="CI NH-1 Coupling NH" u="1"/>
        <s v="CI NH-2 Pipe NH" u="1"/>
        <s v="CI NH-28 Sanitary Tee NH" u="1"/>
        <s v="CI NH-40A Short Reducer NH" u="1"/>
        <s v="CI NH-28 Reducing Sanitary Tee NH" u="1"/>
        <s v="CI NH-30 Sanitary Cross NH" u="1"/>
        <s v="CI NH-12 Eighth Bend NH" u="1"/>
        <s v="PVC 100 Coupling Hub" u="1"/>
        <s v="A53 ERW Sch 40 Blk PE" u="1"/>
        <s v="CS Reducing Tee STD" u="1"/>
        <s v="Fig 1101 - 90 Elbow" u="1"/>
        <s v="Fig 1105 - Straight Tee" u="1"/>
        <s v="Straight Tee Schedule STD" u="1"/>
        <s v="T-585-70-66 - Ball Valve (FPT)" u="1"/>
        <s v="604 Adapter C x M - Wrot" u="1"/>
        <s v="Reducing Tee Schedule STD" u="1"/>
        <s v="Nipple - Clearflow Galvanized Steel (MPT x MPT)" u="1"/>
        <s v="Cap Schedule STD" u="1"/>
        <s v="603 Adapter C x F - Wrot" u="1"/>
        <s v="Pipe - NoNH2 Cast Iron NH (NH x NH)" u="1"/>
        <s v="NoNH4 - Quarter Bend" u="1"/>
        <s v="HD 2000 Coupling" u="1"/>
        <s v="NoNH40A - Short Reducer" u="1"/>
        <s v="NoNH28 - Sanitary Tee" u="1"/>
        <s v="NoNH34 - Sanitary Tapped Tee" u="1"/>
        <s v="NoNH36 - Test Tee Less Brass Plug" u="1"/>
        <s v="1056 Coupling (CI x PVC)" u="1"/>
        <s v="NoNH12 - Eighth Bend" u="1"/>
        <s v="NoNH20 - Wye" u="1"/>
        <s v="LD-20005 - Butterfly Valve Gear Class 150-125 Lug (FLG)" u="1"/>
        <s v="Blind Flange Raised Face - 150lb" u="1"/>
        <s v="180 Return Bend Long Radius Schedule STD" u="1"/>
        <s v="180 Return Bend Short Radius Schedule STD" u="1"/>
        <s v="45 Elbow 3R Schedule STD" u="1"/>
        <s v="90 Elbow 3R Schedule STD" u="1"/>
        <s v="90 Elbow Short Radius Schedule STD" u="1"/>
        <s v="90 Reducing Elbow Schedule STD" u="1"/>
        <s v="Concentric Reducer Schedule STD" u="1"/>
        <s v="Lap Joint Stub End Schedule STD" u="1"/>
        <s v="180 Return Bend Long Radius Schedule XS" u="1"/>
        <s v="180 Return Bend Short Radius Schedule XS" u="1"/>
        <s v="45 Elbow 3R Schedule XS" u="1"/>
        <s v="45 Elbow Long Radius Schedule XS" u="1"/>
        <s v="90 Elbow 3R Schedule XS" u="1"/>
        <s v="90 Elbow Long Radius Schedule XS" u="1"/>
        <s v="90 Elbow Short Radius Schedule XS" u="1"/>
        <s v="90 Reducing Elbow Schedule XS" u="1"/>
        <s v="Cap Schedule XS" u="1"/>
        <s v="Concentric Reducer Schedule XS" u="1"/>
        <s v="Eccentric Reducer Schedule XS" u="1"/>
        <s v="Lap Joint Stub End Schedule XS" u="1"/>
        <s v="Reducing Tee Schedule XS" u="1"/>
        <s v="Straight Tee Schedule XS" u="1"/>
        <s v="Blind Flange Raised Face Series A - 150lb" u="1"/>
        <s v="Blind Flange Raised Face Series B - 150lb" u="1"/>
        <s v="Lapped Flange STD  - 150lb" u="1"/>
        <s v="Lapped Flange XS - 150lb" u="1"/>
        <s v="Slip-On Flange Flat Face - 150lb" u="1"/>
        <s v="Slip-On Flange Raised Face - 150lb" u="1"/>
        <s v="Socket Weld Flange Flat Face STD - 150lb" u="1"/>
        <s v="Socket Weld Flange Raised Face STD - 150lb" u="1"/>
        <s v="Threaded Flange Flat Face - 150lb" u="1"/>
        <s v="Threaded Flange Raised Face - 150lb" u="1"/>
        <s v="Weld Neck Flange Flat Face STD - 150lb" u="1"/>
        <s v="Weld Neck Flange Flat Face STD Series A - 150lb" u="1"/>
        <s v="Weld Neck Flange Flat Face STD Series B - 150lb" u="1"/>
        <s v="Weld Neck Flange Raised Face STD Series A - 150lb" u="1"/>
        <s v="Weld Neck Flange Raised Face STD Series B - 150lb" u="1"/>
        <s v="Blind Flange Raised Face - 300lb" u="1"/>
        <s v="Blind Flange Raised Face Series A - 300lb" u="1"/>
        <s v="Blind Flange Raised Face Series B - 300lb" u="1"/>
        <s v="Lapped Flange STD - 300lb" u="1"/>
        <s v="Lapped Flange XS - 300lb" u="1"/>
        <s v="Slip-On Flange Flat Face - 300lb" u="1"/>
        <s v="Slip-On Flange Raised Face - 300lb" u="1"/>
        <s v="Socket Weld Flange Flat Face STD - 300lb" u="1"/>
        <s v="Socket Weld Flange Raised Face STD - 300lb" u="1"/>
        <s v="Threaded Flange Flat Face - 300lb" u="1"/>
        <s v="Threaded Flange Raised Face - 300lb" u="1"/>
        <s v="Weld Neck Flange Flat Face STD - 300lb" u="1"/>
        <s v="Weld Neck Flange Flat Face STD Series A - 300lb" u="1"/>
        <s v="Weld Neck Flange Flat Face STD Series B - 300lb" u="1"/>
        <s v="Weld Neck Flange Raised Face STD - 300lb" u="1"/>
        <s v="Weld Neck Flange Raised Face STD Series A - 300lb" u="1"/>
        <s v="Weld Neck Flange Raised Face STD Series B - 300lb" u="1"/>
        <s v="Gauge 4PG-1 - Lower Port" u="1"/>
        <s v="PSN-B Pressure Snubber" u="1"/>
        <s v="LC-12 Brass 200 PSI Gauge Cock (FPT)" u="1"/>
        <s v="LC-14 Brass 200 PSI Gauge Cock (FPT)" u="1"/>
        <s v="MTC-14 Brass 200 PSI Gauge Cock (MPT x FPT)" u="1"/>
        <s v="TC-14 Brass 200 PSI Gauge Cock (FPT)" u="1"/>
        <s v="Series LF3002 Dielectric Union (FPT x C)" u="1"/>
        <s v="Series LF3003 Dielectric Union (FPT x FPT)" u="1"/>
        <s v="Series LF4001E Dielectric Union (FPT x C)" u="1"/>
        <s v="MegaPress FKM Joint" u="1"/>
        <s v="MegaPress FKM XL Joint" u="1"/>
        <s v="MegaPress Joint" u="1"/>
        <s v="MegaPressG Joint" u="1"/>
        <s v="MegaPressG XL Joint" u="1"/>
        <s v="ProPress XL Joint" u="1"/>
        <s v="4875.8 - Ball Valve (P)" u="1"/>
        <s v="5975.8 - Ball Valve (P)" u="1"/>
        <s v="4811 - Male Adapter EPDM (P x MPT)" u="1"/>
        <s v="4812 - Female Adapter EPDM (P x FPT)" u="1"/>
        <s v="4812 - Reducing Female Adapter EPDM (P x FPT)" u="1"/>
        <s v="4815 - Coupling with Stop EPDM (P)" u="1"/>
        <s v="4815.1 - Reducer EPDM (FTG x P)" u="1"/>
        <s v="4815.2 - Reducer EPDM (P)" u="1"/>
        <s v="4815.3 - Coupling Extended No Stop EPDM (P)" u="1"/>
        <s v="4815.5 - Coupling No Stop EPDM (P)" u="1"/>
        <s v="4816 - 90 Elbow EPDM (P)" u="1"/>
        <s v="4816.1 - 90 Street Elbow EPDM (P x FTG)" u="1"/>
        <s v="4817.2 - Reducing Tee EPDM (P x P x FPT)" u="1"/>
        <s v="4818 - Reducing Tee EPDM (P)" u="1"/>
        <s v="4818 - Tee EPDM (P)" u="1"/>
        <s v="4826 - 45 Elbow EPDM (P)" u="1"/>
        <s v="4826.1 - 45 Street Elbow EPDM (P x FTG)" u="1"/>
        <s v="4856 - Cap EPDM (P)" u="1"/>
        <s v="4859.5 - Flange EPDM (FLG x P)" u="1"/>
        <s v="4860 - Union EPDM (P)" u="1"/>
        <s v="4862 - Union EPDM (P x FPT)" u="1"/>
        <s v="5911 - Male Adapter FKM (P x MPT)" u="1"/>
        <s v="5912 - Female Adapter FKM (P x FPT)" u="1"/>
        <s v="5912 - Reducing Female Adapter FKM (P x FPT)" u="1"/>
        <s v="5915 - Coupling with Stop FKM (P)" u="1"/>
        <s v="5915.1 - Reducer FKM (FTG x P)" u="1"/>
        <s v="5915.5 - Coupling No Stop FKM (P)" u="1"/>
        <s v="5916 - 90 Elbow FKM (P)" u="1"/>
        <s v="5916.1 - 90 Street Elbow FKM (P x FTG)" u="1"/>
        <s v="5917.2 - Reducing Tee FKM (P x P x FPT)" u="1"/>
        <s v="5918 - Reducing Tee FKM (P)" u="1"/>
        <s v="5918 - Tee FKM (P)" u="1"/>
        <s v="5926 - 45 Elbow FKM (P)" u="1"/>
        <s v="5926.1 - 45 Street Elbow FKM (P x FTG)" u="1"/>
        <s v="5956 - Cap FKM (P)" u="1"/>
        <s v="5959.5 - Flange FKM (FLG x P)" u="1"/>
        <s v="5960 - Union FKM (P)" u="1"/>
        <s v="4811XL - Male Adapter FKM (P x MPT)" u="1"/>
        <s v="4812XL - Female Adapter FKM (P x FPT)" u="1"/>
        <s v="4815.1XL - Reducer FKM (FTG x P)" u="1"/>
        <s v="4815.5XL - Coupling No Stop FKM (P)" u="1"/>
        <s v="4815XL - Coupling with Stop FKM (P)" u="1"/>
        <s v="4816.1XL - 90 Street Elbow FKM (P x FTG)" u="1"/>
        <s v="4816XL - 90 Elbow FKM (P)" u="1"/>
        <s v="4817.2XL - Reducing Tee FKM (P x P x FPT)" u="1"/>
        <s v="4818XL - Reducing Tee FKM (P)" u="1"/>
        <s v="4818XL - Tee FKM (P)" u="1"/>
        <s v="4826.1XL - 45 Street Elbow FKM (P x FTG)" u="1"/>
        <s v="4826XL - 45 Elbow FKM (P)" u="1"/>
        <s v="4856.1XL - Cap FKM (P)" u="1"/>
        <s v="4859.5XL - Adapter Flange FKM (FLG x P)" u="1"/>
        <s v="6611 - Male Adapter HNBR (P x MPT)" u="1"/>
        <s v="6612 - Female Adapter HNBR (P x FPT)" u="1"/>
        <s v="6612 - Reducing Female Adapter HNBR (P x FPT)" u="1"/>
        <s v="6615 - Coupling with Stop HNBR (P)" u="1"/>
        <s v="6615.1 - Reducer HNBR (FTG x P)" u="1"/>
        <s v="6615.2 - Reducer HNBR (P)" u="1"/>
        <s v="6615.3 - Coupling Extended No Stop HNBR (P)" u="1"/>
        <s v="6615.5 - Coupling No Stop HNBR (P)" u="1"/>
        <s v="6616 - 90 Elbow HNBR (P)" u="1"/>
        <s v="6616.1 - 90 Street Elbow HNBR (P x FTG)" u="1"/>
        <s v="6617.2 - Reducing Tee HNBR (P x P x FPT)" u="1"/>
        <s v="6618 - Reducing Tee HNBR (P)" u="1"/>
        <s v="6618 - Tee HNBR (P)" u="1"/>
        <s v="6626 - 45 Elbow HNBR (P)" u="1"/>
        <s v="6626.1 - 45 Street Elbow HNBR (P x FTG)" u="1"/>
        <s v="6656 - Cap HNBR (P)" u="1"/>
        <s v="6659.5 - Flange HNBR (FLG x P)" u="1"/>
        <s v="6660 - Union HNBR (P)" u="1"/>
        <s v="6662 - Union HNBR (P x FPT)" u="1"/>
        <s v="6611XL - Male Adapter HNBR (P x MPT)" u="1"/>
        <s v="6612XL - Female Adapter HNBR (P x FPT)" u="1"/>
        <s v="6615.1XL - Reducer HNBR (FTG x P)" u="1"/>
        <s v="6615.5XL - Coupling No Stop HNBR (P)" u="1"/>
        <s v="6615XL - Coupling with Stop HNBR (P)" u="1"/>
        <s v="6616.1XL - 90 Street Elbow HNBR (P x FTG)" u="1"/>
        <s v="6616XL - 90 Elbow HNBR (P)" u="1"/>
        <s v="6617.2XL - Reducing Tee HNBR (P x P x FPT)" u="1"/>
        <s v="6618XL - Reducing Tee HNBR (P)" u="1"/>
        <s v="6618XL - Tee HNBR (P)" u="1"/>
        <s v="6626.1XL - 45 Street Elbow HNBR (P x FTG)" u="1"/>
        <s v="6626XL - 45 Elbow HNBR (P)" u="1"/>
        <s v="6656.1XL - Cap HNBR (P)" u="1"/>
        <s v="6659.5XL - Adapter Flange HNBR (FLG x P)" u="1"/>
        <s v="2813PZL - Bronze PEX Press Adapter (P x PEX)" u="1"/>
        <s v="2911.1ZL - Bronze Adapter (FTG x MPT)" u="1"/>
        <s v="2911ZL - Bronze Adapter (P x MPT)" u="1"/>
        <s v="2912.1ZL - Bronze Adapter (FTG x FPT)" u="1"/>
        <s v="2912ZL - Bronze Adapter (P x FPT)" u="1"/>
        <s v="2914.2ZL - Bronze 90 Elbow (P x FPT)" u="1"/>
        <s v="2915.1ZL - Bronze Reducer (FTG x P)" u="1"/>
        <s v="2915.2 - Copper Reducer (P)" u="1"/>
        <s v="2915.3 - Copper Coupling No Stop (P)" u="1"/>
        <s v="2915.5 - Copper Extended Coupling No Stop (P)" u="1"/>
        <s v="2916.1 - Copper 90 Elbow (FTG x P)" u="1"/>
        <s v="2916.3 - Copper 90 Reducing Elbow (P)" u="1"/>
        <s v="2917.2ZL - Bronze Tee (P x P x FPT)" u="1"/>
        <s v="2917.3ZL - Bronze Vent Tee (P x FPT x P)" u="1"/>
        <s v="2918 - Copper Tee (Bullnose)" u="1"/>
        <s v="2925.5ZL - Bronze 90 Drop Ear Elbow with Wall Plate (P x FPT)" u="1"/>
        <s v="2927 - Copper Cross Over (FTG x P)" u="1"/>
        <s v="2928 - Copper Cross Over (P)" u="1"/>
        <s v="2957ZL - Bronze Tailpiece Adapter Union (P x F)" u="1"/>
        <s v="2959.5ZL - Bronze Adapter Flange (P x FLG)" u="1"/>
        <s v="2960ZL - Bronze Union (P)" u="1"/>
        <s v="2962ZL - Bronze Union (P x FPT)" u="1"/>
        <s v="2965ZL - Bronze Union (P x MPT)" u="1"/>
        <s v="2969 - Bronze Pressure Test Plug" u="1"/>
        <s v="0911XL - Copper Adapter  (P x MPT)" u="1"/>
        <s v="0912XL - Copper Adapter (P x FPT)" u="1"/>
        <s v="0915.1XL - Copper Reducer (FTG x P)" u="1"/>
        <s v="0915.2XL - Copper Reducer (P)" u="1"/>
        <s v="0915.5XL - Copper Coupling No Stop (P)" u="1"/>
        <s v="0915XL - Copper Coupling with Stop (P)" u="1"/>
        <s v="0916.1XL - Copper 90 Elbow (FTG x P)" u="1"/>
        <s v="0916XL - Copper 90 Elbow (P)" u="1"/>
        <s v="0917.2XL - Copper Tee (P x P x FPT)" u="1"/>
        <s v="0918XL - Copper Tee (P)" u="1"/>
        <s v="0926.1XL - Copper 45 Elbow (FTG x P)" u="1"/>
        <s v="0926XL - Copper 45 Elbow (P)" u="1"/>
        <s v="0956XL - Copper Cap (P)" u="1"/>
        <s v="0959.5XL - Copper Adapter Flange (P x FLG)" u="1"/>
        <s v="2925.2ZL - Bronze 90 Hi Ear Elbow (P x FPT)" u="1"/>
        <s v="2945 - Copper Manifold 3-Outlets (open) (P x FTG x P)" u="1"/>
        <s v="2947 - Copper 90 Elbow (P x FTG)" u="1"/>
        <s v="Series 730 Tee Type Strainer (E Gasket)" u="1"/>
        <s v="Series 730 Tee Type Strainer (T Gasket)" u="1"/>
        <s v="Series 732 Wye Type Strainer (E Gasket)" u="1"/>
        <s v="Series 732 Wye Type Strainer (T Gasket)" u="1"/>
        <s v="Series W730 Tee Type Strainer (E Gasket)" u="1"/>
        <s v="Series W730 Tee Type Strainer (T Gasket)" u="1"/>
        <s v="Series W732 AGS Wye Type Strainer (E Gasket)" u="1"/>
        <s v="TA Series 786H - Balancing Valve (C)" u="1"/>
        <s v="TA Series 787H - Balancing Valve (FPT)" u="1"/>
        <s v="TA Series 788 - Balancing Valve Class 150 RF (FLG)" u="1"/>
        <s v="TA Series 789 - Balancing Valve (GRV)" u="1"/>
        <s v="Series 700 - Butterfly Valve Lever Handle (GRV)" u="1"/>
        <s v="Series 761 - Vic-300 MasterSeal Butterfly Valve Gear (GRV)" u="1"/>
        <s v="Series W761 - Vic-300 AGS MasterSeal Butterfly Valve Gear (GRV)" u="1"/>
        <s v="Series 712 - Swing Check Valve (GRV)" u="1"/>
        <s v="Series 716 - Check Valve (GRV)" u="1"/>
        <s v="Series 716H - Check Valve (GRV)" u="1"/>
        <s v="Series 779 - Venturi Check Valve (GRV)" u="1"/>
        <s v="Series W715 - AGS Double Disc Check Valve (GRV)" u="1"/>
        <s v="Nipple - Style 47-GG Dielectric Waterway (GRV x GRV)" u="1"/>
        <s v="Nipple - Style 47-GT Dielectric Waterway (GRV x MPT)" u="1"/>
        <s v="Nipple - Style 47-TT Dielectric Waterway (MPT x MPT)" u="1"/>
        <s v="Nipple - Style 647-GT Dielectric Transition (GRV x MPT)" u="1"/>
        <s v="No 22-ES HDR Tee" u="1"/>
        <s v="No 35-ES XH Cross" u="1"/>
        <s v="No 60-ES Cap" u="1"/>
        <s v="No 62-ES 90 Deg XH Elbow" u="1"/>
        <s v="No 63-ES 45 Deg XH Elbow" u="1"/>
        <s v="No 64-ES XH Tee" u="1"/>
        <s v="No 100-FFT 90 Deg Long Radius Elbow" u="1"/>
        <s v="No 110-FFT 45 Deg Long Radius Elbow" u="1"/>
        <s v="No 20-FFT Tee" u="1"/>
        <s v="No 25-FFT Reducing Tee" u="1"/>
        <s v="No 29-FFT Reducing Tee (GRV x MPT)" u="1"/>
        <s v="No 50-FFT Concentric Reducer" u="1"/>
        <s v="No 51-FFT Eccentric Reducer" u="1"/>
        <s v="No 10-SWS 90 Deg Elbow" u="1"/>
        <s v="No 11-SWS 45 Deg Elbow" u="1"/>
        <s v="No 12-SWS 22.5 Deg Elbow" u="1"/>
        <s v="No 13-SWS 11.25 Deg Elbow" u="1"/>
        <s v="No 20-SWS Tee" u="1"/>
        <s v="No 30-SWS Lateral" u="1"/>
        <s v="No 33-SWS True Wye" u="1"/>
        <s v="No 35-SWS Cross" u="1"/>
        <s v="No 610 90 Elbow" u="1"/>
        <s v="No 611 45 Elbow" u="1"/>
        <s v="No 620 Tee" u="1"/>
        <s v="No 625 Tee Reducing" u="1"/>
        <s v="No 626 Tee Reducing (GRV x C)" u="1"/>
        <s v="No 650 Concentric Reducer" u="1"/>
        <s v="No 652 Concentric Reducer (GRV x C)" u="1"/>
        <s v="No 660 Cap" u="1"/>
        <s v="Style 607 Rigid Coupling (EHP Gasket)" u="1"/>
        <s v="Style 641 Flange Adapter (E Gasket)" u="1"/>
        <s v="No XL100 1.5D 90 Deg Long Radius Elbow" u="1"/>
        <s v="No XL100 3D 90 Deg Long Radius Elbow" u="1"/>
        <s v="No XL110 1.5D 45 Deg Long Radius Elbow" u="1"/>
        <s v="No XL110 3D 45 Deg Long Radius Elbow" u="1"/>
        <s v="Style XL77 Flexible Coupling (E Gasket)" u="1"/>
        <s v="Style XL79 Flexible Coupling (E Gasket)" u="1"/>
        <s v="Style XL79 Flexible Coupling (T Gasket)" u="1"/>
        <s v="No 100-3D 90 Deg Long Radius Elbow" u="1"/>
        <s v="No 100-5D 90 Deg Long Radius Elbow" u="1"/>
        <s v="No 100-6D 90 Deg Long Radius Elbow" u="1"/>
        <s v="No 110-3D 45 Deg Long Radius Elbow" u="1"/>
        <s v="No 110-5D 45 Deg Long Radius Elbow" u="1"/>
        <s v="No 110-6D 45 Deg Long Radius Elbow" u="1"/>
        <s v="No 12-3D 22.5 Deg Long Radius Elbow" u="1"/>
        <s v="No 12-5D 22.5 Deg Long Radius Elbow" u="1"/>
        <s v="No 12-6D 22.5 Deg Long Radius Elbow" u="1"/>
        <s v="No 13-3D 11.25 Deg Long Radius Elbow" u="1"/>
        <s v="No 13-5D 11.25 Deg Long Radius Elbow" u="1"/>
        <s v="No 13-6D 11.25 Deg Long Radius Elbow" u="1"/>
        <s v="No 14-3D 60 Deg Long Radius Elbow" u="1"/>
        <s v="No 14-5D 60 Deg Long Radius Elbow" u="1"/>
        <s v="No 14-6D 60 Deg Long Radius Elbow" u="1"/>
        <s v="No 15-3D 30 Deg Long Radius Elbow" u="1"/>
        <s v="No 15-5D 30 Deg Long Radius Elbow" u="1"/>
        <s v="No 15-6D 30 Deg Long Radius Elbow" u="1"/>
        <s v="No W10 90 Deg Elbow" u="1"/>
        <s v="No W100 90 Deg Long Radius Elbow" u="1"/>
        <s v="No W100LT 90 Deg Long Radius Elbow" u="1"/>
        <s v="No W11 45 Deg Elbow" u="1"/>
        <s v="No W110 45 Deg Long Radius Elbow" u="1"/>
        <s v="No W110LT 45 Long Radius Elbow" u="1"/>
        <s v="No W12 22.5 Deg Elbow" u="1"/>
        <s v="No W13 11.25 Deg Elbow" u="1"/>
        <s v="No W20 Tee" u="1"/>
        <s v="No W20LT Tee" u="1"/>
        <s v="No W25 Reducing Tee" u="1"/>
        <s v="No W25LT Reducing Tee" u="1"/>
        <s v="No W30 Lateral" u="1"/>
        <s v="No W30-R Reducing Lateral" u="1"/>
        <s v="No W33 True Wye" u="1"/>
        <s v="No W35 Cross" u="1"/>
        <s v="No W50 Concentric Reducer" u="1"/>
        <s v="No W50LT Concentric Reducer" u="1"/>
        <s v="No W51 Eccentric Reducer" u="1"/>
        <s v="No W51LT Eccentric Reducer" u="1"/>
        <s v="No W60 Cap" u="1"/>
        <s v="No W60LT Cap" u="1"/>
        <s v="Style SW07 Rigid Coupling (E Gasket) (Cut-In)" u="1"/>
        <s v="Style W07 AGS Rigid Coupling (E Gasket)" u="1"/>
        <s v="Style W07 AGS Rigid Coupling (L Gasket)" u="1"/>
        <s v="Style W07 AGS Rigid Coupling (T Gasket)" u="1"/>
        <s v="Style W77 AGS Flexible Coupling (E Gasket)" u="1"/>
        <s v="Style W77 AGS Flexible Coupling (L Gasket)" u="1"/>
        <s v="Style W77 AGS Flexible Coupling (T Gasket)" u="1"/>
        <s v="No W45LT Flange Adapter Nipple RF - 150lb" u="1"/>
        <s v="No W45R Flange Adapter Nipple RF - 150lb" u="1"/>
        <s v="Style W741 Vic-Flange Adapter (E Gasket)" u="1"/>
        <s v="Style W741 Vic-Flange Adapter (L Gasket)" u="1"/>
        <s v="Style W741 Vic-Flange Adapter (T Gasket)" u="1"/>
        <s v="No W42 Adapter Nipple (AGS GRV x BE)" u="1"/>
        <s v="No W42LT Adapter Nipple (AGS GRV x BE)" u="1"/>
        <s v="No W43 Adapter Nipple (AGS GRV x AGS GRV)" u="1"/>
        <s v="No W43LT Adapter Nipple (AGS GRV x AGS GRV)" u="1"/>
        <s v="No W49 Adapter Nipple (AGS GRV x OGS GRV)" u="1"/>
        <s v="No 10 90 Deg Elbow" u="1"/>
        <s v="No 10-DI Deg 90 Elbow" u="1"/>
        <s v="No 100 90 Deg Long Radius Elbow" u="1"/>
        <s v="No 11-DI 45 Deg Elbow" u="1"/>
        <s v="No 110 45 Deg Long Radius Elbow" u="1"/>
        <s v="No 12 22.5 Deg Elbow" u="1"/>
        <s v="No 13 11.25 Deg Elbow" u="1"/>
        <s v="No 18 90 Deg Elbow (GRV x FPT)" u="1"/>
        <s v="No 19 45 Deg Elbow (GRV x FPT)" u="1"/>
        <s v="No 20 Tee" u="1"/>
        <s v="No 20-DI Tee" u="1"/>
        <s v="No 21 Bullhead Tee" u="1"/>
        <s v="No 29 Reducing Tee (GRV x MPT)" u="1"/>
        <s v="No 29-M Tee (GRV x MPT)" u="1"/>
        <s v="No 30 Lateral" u="1"/>
        <s v="No 30-R Reducing Lateral" u="1"/>
        <s v="No 32 Tee Wye" u="1"/>
        <s v="No 33 True Wye" u="1"/>
        <s v="No 35 Cross" u="1"/>
        <s v="No 50 Concentric Reducer" u="1"/>
        <s v="No 52 Concentric Reducer (GRV x MPT)" u="1"/>
        <s v="No 61 Bull Plug" u="1"/>
        <s v="No 80 Adapter (FPT)" u="1"/>
        <s v="Style 920 Mechanical Tee (FPT)" u="1"/>
        <s v="Style 920 Mechanical Tee (GRV)" u="1"/>
        <s v="Style 920N Mechanical Tee (FPT)" u="1"/>
        <s v="Style 920N Mechanical Tee (GRV)" u="1"/>
        <s v="Style 07 Rigid Coupling (E Gasket) (Cut-In)" u="1"/>
        <s v="Style 07 Rigid Coupling (E Gasket)" u="1"/>
        <s v="Style 07 Rigid Coupling (T Gasket)" u="1"/>
        <s v="Style 107N QuickVic Rigid Coupling (T Gasket)" u="1"/>
        <s v="Style 171 Composite Flexible Coupling (E Gasket)" u="1"/>
        <s v="Style 177N QuickVic Flexible Coupling (EHP Gasket)" u="1"/>
        <s v="Style 177N QuickVic Flexible Coupling (T Gasket)" u="1"/>
        <s v="Style 72 Outlet Coupling" u="1"/>
        <s v="Style 75 Flexible Coupling (E Gasket)" u="1"/>
        <s v="Style 75 Flexible Coupling (T Gasket)" u="1"/>
        <s v="Style 750 Reducing Coupling (E Gasket)" u="1"/>
        <s v="Style 750 Reducing Coupling (T Gasket)" u="1"/>
        <s v="Style 77 Flexible Coupling (E Gasket)" u="1"/>
        <s v="Style 77 Flexible Coupling (T Gasket)" u="1"/>
        <s v="Style 809 HP Coupling HM (T Gasket)" u="1"/>
        <s v="Style HP-70 Rigid Coupling (E Gasket)" u="1"/>
        <s v="Style HP-70 Rigid Coupling (T Gasket)" u="1"/>
        <s v="Style HP-70ES Rigid Coupling HM (T Gasket)" u="1"/>
        <s v="No 41 Flanged Adapter Nipple Class 125 FF" u="1"/>
        <s v="No 45F Flanged Adapter Nipple Class 150 FF" u="1"/>
        <s v="No 45R Flanged Adapter Nipple Class 150 RF" u="1"/>
        <s v="No 46F Flanged Adapter Nipple Class 300 FF" u="1"/>
        <s v="No 46R Flanged Adapter Nipple Class 300 RF" u="1"/>
        <s v="Style 741 Vic-Flange Adapter (E Gasket)" u="1"/>
        <s v="Style 741 Vic-Flange Adapter (T Gasket)" u="1"/>
        <s v="Style 743 Vic-Flange Adapter (E Gasket)" u="1"/>
        <s v="Style 743 Vic-Flange Adapter (L Gasket)" u="1"/>
        <s v="No 42 Nipple (GRV x BE)" u="1"/>
        <s v="No 43 Nipple (GRV x GRV)" u="1"/>
        <s v="No 48 Hose Nipple" u="1"/>
        <s v="No 53 Swaged Nipple (GRV x GRV)" u="1"/>
        <s v="No 54 Swaged Nipple (GRV x MPT)" u="1"/>
        <s v="No 55 Swaged Nipple (MPT x GRV)" u="1"/>
        <s v="Style W89 - Rigid Coupling for Stainless Steel or Carbon Steel (E Gasket)" u="1"/>
        <s v="Style W89 - Rigid Coupling for Stainless Steel or Carbon Steel (L Gasket)" u="1"/>
        <s v="Style W89 - Rigid Coupling for Stainless Steel or Carbon Steel (T Gasket)" u="1"/>
        <s v="Style 422 - Mechanical-T Bolted Branch Outlet (FPT) (E Gasket)" u="1"/>
        <s v="Style 422 - Mechanical-T Bolted Branch Outlet (FPT) (T Gasket)" u="1"/>
        <s v="Style 422 - Mechanical-T Bolted Branch Outlet (GRV) (E Gasket)" u="1"/>
        <s v="Style 422 - Mechanical-T Bolted Branch Outlet (GRV) (T Gasket)" u="1"/>
        <s v="Style 422 ST100 - Mechanical-T Bolted Branch Outlet (GRV) (E Gasket)" u="1"/>
        <s v="Style 422 ST100 - Mechanical-T Bolted Branch Outlet (GRV) (T Gasket)" u="1"/>
        <s v="Style 441 - Stainless Steel Vic-Flange Adapter (E Gasket)" u="1"/>
        <s v="Style 441 - Stainless Steel Vic-Flange Adapter (EF Gasket)" u="1"/>
        <s v="Style 441 - Stainless Steel Vic-Flange Adapter (EW Gasket)" u="1"/>
        <s v="Style 441 - Stainless Steel Vic-Flange Adapter (T Gasket)" u="1"/>
        <s v="Style 475 - Lightweight Flexible Stainless Steel Coupling (A Gasket)" u="1"/>
        <s v="Style 475 - Lightweight Flexible Stainless Steel Coupling (E Gasket)" u="1"/>
        <s v="Style 475 - Lightweight Flexible Stainless Steel Coupling (EF Gasket)" u="1"/>
        <s v="Style 475 - Lightweight Flexible Stainless Steel Coupling (EW Gasket)" u="1"/>
        <s v="Style 475 - Lightweight Flexible Stainless Steel Coupling (O Gasket)" u="1"/>
        <s v="Style 475 - Lightweight Flexible Stainless Steel Coupling (T Gasket)" u="1"/>
        <s v="Style 475DX - Duplex Stainless Steel Flexible Coupling (E Gasket)" u="1"/>
        <s v="Style 475DX - Duplex Stainless Steel Flexible Coupling (EW Gasket)" u="1"/>
        <s v="Style 489 - Stainless Steel Rigid Coupling (A Gasket)" u="1"/>
        <s v="Style 489 - Stainless Steel Rigid Coupling (E Gasket)" u="1"/>
        <s v="Style 489 - Stainless Steel Rigid Coupling (EF Gasket)" u="1"/>
        <s v="Style 489 - Stainless Steel Rigid Coupling (EW Gasket)" u="1"/>
        <s v="Style 489 - Stainless Steel Rigid Coupling (O Gasket)" u="1"/>
        <s v="Style 489 - Stainless Steel Rigid Coupling (T Gasket)" u="1"/>
        <s v="Style 489DX - Duplex Stainless Steel Rigid Coupling (E3 Gasket)" u="1"/>
        <s v="Style 77DX - Duplex Stainless Steel Flexible Coupling (A Gasket)" u="1"/>
        <s v="Style 77DX - Duplex Stainless Steel Flexible Coupling (E Gasket)" u="1"/>
        <s v="Style 77DX - Duplex Stainless Steel Flexible Coupling (EF Gasket)" u="1"/>
        <s v="Style 77DX - Duplex Stainless Steel Flexible Coupling (EW Gasket)" u="1"/>
        <s v="Style 77DX - Duplex Stainless Steel Flexible Coupling (O Gasket)" u="1"/>
        <s v="Style 77DX - Duplex Stainless Steel Flexible Coupling (T Gasket)" u="1"/>
        <s v="Style 77S - Stainless Steel Flexible Coupling (A Gasket)" u="1"/>
        <s v="Style 77S - Stainless Steel Flexible Coupling (E Gasket)" u="1"/>
        <s v="Style 77S - Stainless Steel Flexible Coupling (EF Gasket)" u="1"/>
        <s v="Style 77S - Stainless Steel Flexible Coupling (EW Gasket)" u="1"/>
        <s v="Style 77S - Stainless Steel Flexible Coupling (O Gasket)" u="1"/>
        <s v="Style 77S - Stainless Steel Flexible Coupling (T Gasket)" u="1"/>
        <s v="Style 807N - QuickVic Rigid Coupling for Potable Water (P Gasket)" u="1"/>
        <s v="Style 841 - Vic-Flange Adapter for Potable Water Class 125 FF (P Gasket)" u="1"/>
        <s v="Style 841 - Vic-Flange Adapter for Potable Water Class 150 FF (P Gasket)" u="1"/>
        <s v="Style 877N - QuickVic Flexible Coupling for Potable Water (P Gasket)" u="1"/>
        <s v="Style 89 - Rigid Coupling (A Gasket)" u="1"/>
        <s v="Style 89 - Rigid Coupling (E Gasket)" u="1"/>
        <s v="Style 89 - Rigid Coupling (EF Gasket)" u="1"/>
        <s v="Style 89 - Rigid Coupling (O Gasket)" u="1"/>
        <s v="Style 89 - Rigid Coupling (T Gasket)" u="1"/>
        <s v="No W410 SS - 90 Long Radius Elbow (GRV)" u="1"/>
        <s v="No W411 SS - 45 Elbow (GRV)" u="1"/>
        <s v="No W420 SS - Tee (GRV)" u="1"/>
        <s v="No W425 SS - Reducing Tee (GRV)" u="1"/>
        <s v="No W442 SS - Adapter Nipple (AGS GRV x BE)" u="1"/>
        <s v="No W443 SS - Adapter Nipple (AGS GRV x AGS GRV)" u="1"/>
        <s v="No W445R SS - Flanged Adapter Nipple (FLG x GRV)" u="1"/>
        <s v="No W449 SS - Adapter Nipple (AGS GRV x AGS GRV)" u="1"/>
        <s v="No W450 SS - Concentric Reducer (GRV)" u="1"/>
        <s v="No W451 SS - Eccentric Reducer (GRV)" u="1"/>
        <s v="No W460 SS - Cap (GRV)" u="1"/>
        <s v="No 410 SS - 90 Long Radius Elbow (GRV)" u="1"/>
        <s v="No 411 SS - 45 Elbow (GRV)" u="1"/>
        <s v="No 412 SS - 22.5 Elbow (GRV)" u="1"/>
        <s v="No 413 SS - 11.25 Elbow (GRV)" u="1"/>
        <s v="No 420 SS - Tee (GRV)" u="1"/>
        <s v="No 425 SS - Reducing Tee (GRV)" u="1"/>
        <s v="No 430 SS - 45 Lateral (GRV)" u="1"/>
        <s v="No 433 SS - True Wye (GRV)" u="1"/>
        <s v="No 435 SS - Cross (GRV)" u="1"/>
        <s v="No 442 SS - Adapter Nipple (GRV x BE)" u="1"/>
        <s v="No 443 SS - Adapter Nipple (GRV)" u="1"/>
        <s v="No 445F SS - Flange Adapter Nipple (GRV)" u="1"/>
        <s v="No 445R SS - Flange Adapter Nipple (GRV)" u="1"/>
        <s v="No 450 SS - Concentric Reducer (GRV)" u="1"/>
        <s v="No 451 SS - Eccentric Reducer (GRV)" u="1"/>
        <s v="No 460 SS - Cap (GRV)" u="1"/>
        <s v="No 410H SS - 90 Long Radius Elbow (GRV)" u="1"/>
        <s v="No 411H SS - 45 Elbow (GRV)" u="1"/>
        <s v="No 412H SS - 22.5 Elbow (GRV)" u="1"/>
        <s v="No 413H SS - 11.25 Elbow (GRV)" u="1"/>
        <s v="No 420H SS - Tee (GRV)" u="1"/>
        <s v="No 425H SS - Reducing Tee (GRV)" u="1"/>
        <s v="No 430H SS - 45 Lateral (GRV)" u="1"/>
        <s v="No 433H SS - True Wye (GRV)" u="1"/>
        <s v="No 435H SS - Cross (GRV)" u="1"/>
        <s v="No 440H SS - Adapter Nipple (GRV x MPT)" u="1"/>
        <s v="No 442H SS - Adapter Nipple (GRV x BE)" u="1"/>
        <s v="No 443H SS - Adapter Nipple (GRV)" u="1"/>
        <s v="No 450H SS - Concentric Reducer (GRV)" u="1"/>
        <s v="No 451H SS - Eccentric Reducer (GRV)" u="1"/>
        <s v="No 460H SS - Cap (GRV)" u="1"/>
        <s v="Series 713 - Swing Check Valve (GRV)" u="1"/>
        <s v="Pipe - Ductile Iron 250 PSI (MJ x PE)" u="1"/>
        <s v="Pipe - Ductile Iron 300 PSI (MJ x PE)" u="1"/>
        <s v="Pipe - Ductile Iron 350 PSI (MJ x PE)" u="1"/>
        <s v="Pipe - Ductile Iron 200 PSI (MJ x PE)" u="1"/>
        <s v="ProPex Ring With Stop" u="1"/>
        <s v="EP Branch 4 Port Tee" u="1"/>
        <s v="EP Branch 6 Port Tee" u="1"/>
        <s v="EP Flow-Through 3 Port Tee" u="1"/>
        <s v="EP Flow-Through 4 Port Tee" u="1"/>
        <s v="EP Flow-Through 6 Port Tee" u="1"/>
        <s v="ProPEX LF Copper Straight Stub" u="1"/>
        <s v="ProPEX LF Copper Stub Ell" u="1"/>
        <s v="ProPEX LF Copper Tub Ell" u="1"/>
        <s v="ProPEX LF Brass Ball Valve" u="1"/>
        <s v="ProPEX LF Brass Commercial Ball Valve - Stem Extension" u="1"/>
        <s v="ProPEX LF Brass Commercial Ball Valve" u="1"/>
        <s v="ProPEX LF Brass Stop and Drain Ball Valve" u="1"/>
        <s v="ProPEX LF Brass Copper Press Adapter" u="1"/>
        <s v="ProPEX LF Brass Copper Press Fitting Adapter" u="1"/>
        <s v="ProPEX LF Brass Coupling" u="1"/>
        <s v="ProPEX LF Brass CPVC Socket Adapter" u="1"/>
        <s v="ProPEX LF Brass CPVC Spigot Adapter Kit" u="1"/>
        <s v="ProPEX LF Brass CPVC Spigot Adapter" u="1"/>
        <s v="ProPEX LF Brass Drop Ear Elbow Adapter" u="1"/>
        <s v="ProPEX LF Brass Elbow" u="1"/>
        <s v="ProPEX LF Brass Female Threaded Adapter" u="1"/>
        <s v="ProPEX LF Brass Flange Adapter Kit" u="1"/>
        <s v="ProPEX LF Brass Male Threaded Adapter" u="1"/>
        <s v="ProPEX LF Brass Reducing Coupling" u="1"/>
        <s v="ProPEX LF Brass Reducing Tee" u="1"/>
        <s v="ProPEX LF Brass Sweat Adapter" u="1"/>
        <s v="ProPEX LF Brass Sweat Fitting Adapter" u="1"/>
        <s v="ProPEX LF Brass Tee" u="1"/>
        <s v="ProPEX EP 45 Elbow" u="1"/>
        <s v="ProPEX EP 90 Elbow" u="1"/>
        <s v="ProPEX EP Coupling" u="1"/>
        <s v="ProPEX EP Plug" u="1"/>
        <s v="ProPEX EP Reducing Coupling" u="1"/>
        <s v="ProPEX EP Reducing Tee" u="1"/>
        <s v="ProPEX EP Tee" u="1"/>
        <s v="Pipe - AquaPEX 0.5in Pre-Insulated Straight Lengths" u="1"/>
        <s v="Pipe - AquaPEX Blue Straight Lengths" u="1"/>
        <s v="Pipe - AquaPEX Purple Reclaimed Water Straight Lengths" u="1"/>
        <s v="Pipe - AquaPEX Red Straight Lengths" u="1"/>
        <s v="Pipe - AquaPEX White Straight Lengths" u="1"/>
        <s v="EP Branch 3 Port Tee" u="1"/>
        <s v="EP Branch Opposing-Port 3 Port Tee" u="1"/>
        <s v="EP Branch Opposing-Port 4 Port Tee" u="1"/>
        <s v="EP Branch Opposing-Port 8 Port Tee" u="1"/>
        <s v="EP Flow-Through 2 Port Tee" u="1"/>
        <s v="EP Flow-Through Multi-Port 3 Port Elbow" u="1"/>
        <s v="EP Flow-Through Multi-Port 4 Port Elbow" u="1"/>
        <s v="EP Flow-Through Multi-Port Horizontal 4 Port Tee" u="1"/>
        <s v="EP Flow-Through Multi-Port Vertical 3 Port Tee" u="1"/>
        <s v="EP Flow-Through Multi-Port Vertical 4 Port Tee" u="1"/>
        <s v="EP Flow-Through Opposing-Port 3 Port Tee" u="1"/>
        <s v="EP Flow-Through Opposing-Port 4 Port Tee" u="1"/>
        <s v="EP Flow-Through Opposing-Port 6 Port Tee" u="1"/>
        <s v="ProPEX LF Brass Angle Stop Valve" u="1"/>
        <s v="ProPEX LF Brass Straight Stop Valve" u="1"/>
        <s v="8000 - Master Flexible Metal Pump Connector (MPT)" u="1"/>
        <s v="8000 - Master Flexible Metal Pump Connector Class 150 FF (FLG)" u="1"/>
        <s v="Style 800 Unasphere - EPDM Expansion Joint Class 150 FF (FLG)" u="1"/>
        <s v="Style 802 Twin-Sphere - EPDM Expansion Joint Class 150 FF (FLG)" u="1"/>
        <s v="MJ Gland" u="1"/>
        <s v="Combination" u="1"/>
        <s v="Double Combination" u="1"/>
        <s v="Double Hub Fitting" u="1"/>
        <s v="Double Wye" u="1"/>
        <s v="Eighth Bend" u="1"/>
        <s v="H Branch" u="1"/>
        <s v="Long Eighth Bend" u="1"/>
        <s v="Long Plain Increaser" u="1"/>
        <s v="Long Quarter Bend" u="1"/>
        <s v="Long Sweep Bend Reducing" u="1"/>
        <s v="Long Sweep Bend" u="1"/>
        <s v="Offset 45" u="1"/>
        <s v="P-Trap" u="1"/>
        <s v="Pipe Plug" u="1"/>
        <s v="Quarter Bend Low Heel Inlet" u="1"/>
        <s v="Quarter Bend Reducer" u="1"/>
        <s v="Quarter Bend" u="1"/>
        <s v="Reducer" u="1"/>
        <s v="Regular Increaser" u="1"/>
        <s v="San Cross" u="1"/>
        <s v="San Tee 2in Hub L-Side Opening" u="1"/>
        <s v="San Tee 2in Hub R-Side Opening" u="1"/>
        <s v="San Tee" u="1"/>
        <s v="Short Sweep Bend" u="1"/>
        <s v="Single Hub Return Bend" u="1"/>
        <s v="Sixteenth Bend" u="1"/>
        <s v="Sixth Bend" u="1"/>
        <s v="Straight Cross" u="1"/>
        <s v="Straight Tapped Cross" u="1"/>
        <s v="Straight Tapped Tee" u="1"/>
        <s v="Straight Tee" u="1"/>
        <s v="Tapped San Cross" u="1"/>
        <s v="Tapped San Tee" u="1"/>
        <s v="Tapped Wye" u="1"/>
        <s v="Two-Way Cleanout" u="1"/>
        <s v="Wye" u="1"/>
        <s v="Adapter (MJ x FLG)" u="1"/>
        <s v="Bend 11.25 (MJ x PE)" u="1"/>
        <s v="Bend 11.25 (MJ)" u="1"/>
        <s v="Bend 22.5 (MJ x PE)" u="1"/>
        <s v="Bend 22.5 (MJ)" u="1"/>
        <s v="Bend 45 (MJ x PE)" u="1"/>
        <s v="Bend 45 (MJ)" u="1"/>
        <s v="Bend 90 (MJ x PE)" u="1"/>
        <s v="Bend 90 (MJ)" u="1"/>
        <s v="Cross (MJ)" u="1"/>
        <s v="Lateral Wye (MJ)" u="1"/>
        <s v="Reducer (MJ)" u="1"/>
        <s v="Reducer (PE)" u="1"/>
        <s v="Reducer LE Bell (PE x MJ)" u="1"/>
        <s v="Reducer SE Bell (PE x MJ)" u="1"/>
        <s v="Solid Cap (MJ)" u="1"/>
        <s v="Solid Plug (MJ)" u="1"/>
        <s v="Standard Solid Sleeve - Long (MJ)" u="1"/>
        <s v="Standard Solid Sleeve - Short (MJ)" u="1"/>
        <s v="Tapped Cap (MJ x FPT)" u="1"/>
        <s v="Tapped Plug (MJ x FPT)" u="1"/>
        <s v="Tee (MJ x MJ x FLG)" u="1"/>
        <s v="Tee (MJ)" u="1"/>
        <s v="Bend 11.25 (MJ x FLG)" u="1"/>
        <s v="Bend 22.5 (MJ x FLG)" u="1"/>
        <s v="Bend 45 (MJ x FLG)" u="1"/>
        <s v="Bend 90 (MJ x FLG)" u="1"/>
        <s v="Cross (MJ x MJ x FLG x FLG)" u="1"/>
        <s v="Dual Purpose Cutting-in Sleeve (MJ x PE)" u="1"/>
        <s v="Dual Purpose Solid Sleeve - Long (MJ)" u="1"/>
        <s v="Dual Purpose Solid Sleeve - Short (MJ)" u="1"/>
        <s v="Offset (MJ x PE)" u="1"/>
        <s v="Offset (MJ)" u="1"/>
        <s v="Reducer Concentric (FLG x MJ)" u="1"/>
        <s v="Reducer Concentric (MJ x FLG)" u="1"/>
        <s v="Reducer Concentric (MJ)" u="1"/>
        <s v="Reducer Eccentric (MJ x FPT)" u="1"/>
        <s v="Tee (MJ x MJ x SVL)" u="1"/>
        <s v="Tee (MJ x PE x MJ)" u="1"/>
        <s v="Tee w 2in Tap (MJ x MJ x FPT)" u="1"/>
        <s v="Pipe - Cast Iron SV Single Hub" u="1"/>
        <s v="Combination 2in Hub L-Side Opening" u="1"/>
        <s v="Combination 2in Hub R-Side Opening" u="1"/>
        <s v="Combination Short Turn" u="1"/>
        <s v="Double Combination 2in Hub Side Opening" u="1"/>
        <s v="Double Combination Short Turn" u="1"/>
        <s v="Double Quarter Bend" u="1"/>
        <s v="Double Wye 2in Hub Side Opening" u="1"/>
        <s v="Long Tap San Tee" u="1"/>
        <s v="Quarter Bend 2 Hub R-Side Opening" u="1"/>
        <s v="Quarter Bend 2in Hub L-Side Opening" u="1"/>
        <s v="San Cross 2in One Side Opening" u="1"/>
        <s v="San Cross 2in Two Side Opening" u="1"/>
        <s v="San Tee 2in Hub L&amp;R-Side Opening" u="1"/>
        <s v="San Tee Cleanout on Main" u="1"/>
        <s v="San Tee L&amp;R-Side Tap" u="1"/>
        <s v="San Tee L-Side Tap" u="1"/>
        <s v="San Tee R-Side Tap" u="1"/>
        <s v="Tapped Double Wye" u="1"/>
        <s v="Tapped Long Increaser" u="1"/>
        <s v="Two-Way Cleanout Memphis Code" u="1"/>
        <s v="Vent Branch" u="1"/>
        <s v="Wye 2in Hub L-Side Opening" u="1"/>
        <s v="Wye 2in Hub R-Side Opening" u="1"/>
        <s v="YS-12-CI - Wye Strainer (FPT)" u="1"/>
        <s v="YS-56-BZ - Wye Strainer (C)" u="1"/>
        <s v="YS-58-CI - Wye Strainer Class 125 FF (FLG)" u="1"/>
        <s v="YS-59-CI - Wye Strainer Class 250 RF (FLG)" u="1"/>
        <s v="YS-61-CS - Wye Strainer Class 150 RF (FLG)" u="1"/>
        <s v="YS-82-CS - Wye Strainer (SW)" u="1"/>
        <s v="CV 42L-CS - Lug Style Check Valve Class 150 RF (FLG)" u="1"/>
        <s v="CV 50-DI - Silent Check Valve Class 150 FF (FLG)" u="1"/>
        <s v="CV 52-DI - Silent Check Valve Class 300 RF (FLG)" u="1"/>
        <s v="SB70 - Ball Valve (CLAMP)" u="1"/>
        <s v="SB70 - Ball Valve (OW x CLAMP)" u="1"/>
        <s v="SB70 - Ball Valve (OW)" u="1"/>
        <s v="B-321 - Check Valve (FPT)" u="1"/>
        <s v="F-947 - Check Valve Class 250 FF (FLG)" u="1"/>
        <s v="G-931 - Check Valve Class 125 FF (FLG)" u="1"/>
        <s v="B-120 - Gate Valve (FPT)" u="1"/>
        <s v="B-144 - Gate Valve (FPT)" u="1"/>
        <s v="F-667 - Gate Valve Class 250 FF (FLG)" u="1"/>
        <s v="G-623 - Gate Valve Class 125 FF (FLG)" u="1"/>
        <s v="B-74 - Globe Valve (FPT)" u="1"/>
        <s v="F-532 - Globe Valve Class 250 FF (FLG)" u="1"/>
        <s v="G-512 - Globe Valve Class 125 FF (FLG)" u="1"/>
        <s v="DPE - Drip Pan Elbow Class 125 FF (FLG)" u="1"/>
        <s v="FT-125 - Steam Trap (FPT)" u="1"/>
        <s v="HM34 - Steam Trap (FPT)" u="1"/>
        <s v="25P - Yellow 3-30 psi Pilot Operated Pressure Regulator (FPT)" u="1"/>
        <s v="25P - Yellow 3-30 psi Pilot Operated Pressure Regulator Class 250 FF (FLG)" u="1"/>
        <s v="SV73 - Safety Valve Class 250 RF x Class 125 FF (FLG)" u="1"/>
        <s v="22.5 Elbow (S)" u="1"/>
        <s v="22.5 Street Elbow (S x FTG)" u="1"/>
        <s v="45 Elbow (S)" u="1"/>
        <s v="45 Street Elbow (S x FTG)" u="1"/>
        <s v="90 Elbow (S)" u="1"/>
        <s v="90 Long Sweep Elbow (S)" u="1"/>
        <s v="90 Street Elbow (S x FTG)" u="1"/>
        <s v="90 Sweep Elbow (S)" u="1"/>
        <s v="Blind Flange" u="1"/>
        <s v="Cap (FPT)" u="1"/>
        <s v="Cap (S)" u="1"/>
        <s v="Coupling (S)" u="1"/>
        <s v="Cross (S)" u="1"/>
        <s v="Double Wye (S)" u="1"/>
        <s v="Eccentric Reducer Coupling (S)" u="1"/>
        <s v="Female Adapter (S x FPT)" u="1"/>
        <s v="Flange One Piece (FPT)" u="1"/>
        <s v="Flange One Piece (S)" u="1"/>
        <s v="Flange Van Stone Style (FPT)" u="1"/>
        <s v="Flange Van Stone Style (S)" u="1"/>
        <s v="Flange Van Stone Style (SPG)" u="1"/>
        <s v="Flange Van Stone Style with Plastic Solid Ring (S)" u="1"/>
        <s v="Male Adapter (MPT x S)" u="1"/>
        <s v="Plug (MPT)" u="1"/>
        <s v="Plug (SPG)" u="1"/>
        <s v="Reducer Bushing Flush Style (SPG x FPT)" u="1"/>
        <s v="Reducer Bushing Flush Style (SPG x S)" u="1"/>
        <s v="Reducer Coupling (S)" u="1"/>
        <s v="Reducer T.T. Bushing Flush Style (MPT x FPT)" u="1"/>
        <s v="Reducing Cross (S)" u="1"/>
        <s v="Reducing Double Wye (S)" u="1"/>
        <s v="Reducing Tee (S x S x FPT)" u="1"/>
        <s v="Reducing Tee (S)" u="1"/>
        <s v="Reducing Wye (S)" u="1"/>
        <s v="Special Reinforced Reducer T.T. Bushing (MPT x FPT)" u="1"/>
        <s v="Tee (S x S x FPT)" u="1"/>
        <s v="Tee (S)" u="1"/>
        <s v="Union 2000 (S x FPT)" u="1"/>
        <s v="Union 2000 (S)" u="1"/>
        <s v="Wye (S)" u="1"/>
        <s v="Pipe - CPVC Schedule 80 (PE x PE)" u="1"/>
        <s v="Pipe - PVC Schedule 80 (PE x PE)" u="1"/>
        <s v="AB - Sovent Aerator (NH)" u="1"/>
        <s v="ABC - Sovent Aerator (NH)" u="1"/>
        <s v="ABCD - Sovent Aerator (NH)" u="1"/>
        <s v="ABCDG - Sovent Aerator (NH)" u="1"/>
        <s v="ABCG - Sovent Aerator (NH)" u="1"/>
        <s v="ABD - Sovent Aerator (NH)" u="1"/>
        <s v="ABDG - Sovent Aerator (NH)" u="1"/>
        <s v="ABG - Sovent Aerator (NH)" u="1"/>
        <s v="Sovent De-Aerator (NH)" u="1"/>
        <s v="Fig S2014C - Sch 10 Cap" u="1"/>
        <s v="Fig S2014CR - Sch 10 Concentric Reducer" u="1"/>
        <s v="Fig S2014E - Sch 10 90 Elbow Short Radius" u="1"/>
        <s v="Fig S2014ER - Sch 10 Eccentric Reducer" u="1"/>
        <s v="Fig S2014F - Sch 10 45 Elbow" u="1"/>
        <s v="Fig S2014LE - Sch 10 90 Elbow Long Radius" u="1"/>
        <s v="Fig S2014RT - Sch 10 Reducing Tee" u="1"/>
        <s v="Fig S2014T - Sch 10 Tee" u="1"/>
        <s v="Fig S2214MA - Sch 10 MSS Type A Stub End" u="1"/>
        <s v="Fig S2214MC - Sch 10 MSS Type C Stub End" u="1"/>
        <s v="Fig S2044C - Sch 40 Cap" u="1"/>
        <s v="Fig S2044CR - Sch 40 Concentric Reducer" u="1"/>
        <s v="Fig S2044E - Sch 40 90 Elbow Short Radius" u="1"/>
        <s v="Fig S2044ER - Sch 40 Eccentric Reducer" u="1"/>
        <s v="Fig S2044F - Sch 40 45 Elbow" u="1"/>
        <s v="Fig S2044LE - Sch 40 90 Elbow Long Radius" u="1"/>
        <s v="Fig S2044RT - Sch 40 Reducing Tee" u="1"/>
        <s v="Fig S2044T - Sch 40 Tee" u="1"/>
        <s v="Fig S2244MA - Sch 40 MSS Type A Stub End" u="1"/>
        <s v="Fig S2016C - Sch 10 Cap" u="1"/>
        <s v="Fig S2016CR - Sch 10 Concentric Reducer" u="1"/>
        <s v="Fig S2016E - Sch 10 90 Elbow Short Radius" u="1"/>
        <s v="Fig S2016ER - Sch 10 Eccentric Reducer" u="1"/>
        <s v="Fig S2016F - Sch 10 45 Elbow" u="1"/>
        <s v="Fig S2016LE - Sch 10 90 Elbow Long Radius" u="1"/>
        <s v="Fig S2016RT - Sch 10 Reducing Tee" u="1"/>
        <s v="Fig S2016T - Sch 10 Tee" u="1"/>
        <s v="Fig S2216MA - Sch 10 MSS Type A Stub End" u="1"/>
        <s v="Fig S2216MC - Sch 10 MSS Type C Stub End" u="1"/>
        <s v="Fig S2046C - Sch 40 Cap" u="1"/>
        <s v="Fig S2046CR - Sch 40 Concentric Reducer" u="1"/>
        <s v="Fig S2046E - Sch 40 90 Elbow Short Radius" u="1"/>
        <s v="Fig S2046ER - Sch 40 Eccentric Reducer" u="1"/>
        <s v="Fig S2046F - Sch 40 45 Elbow" u="1"/>
        <s v="Fig S2046LE - Sch 40 90 Elbow Long Radius" u="1"/>
        <s v="Fig S2046RT - Sch 40 Reducing Tee" u="1"/>
        <s v="Fig S2046T - Sch 40 Tee" u="1"/>
        <s v="Fig S2246MA - Sch 40 MSS Type A Stub End" u="1"/>
        <s v="150lb - Blind Raised Face Flange" u="1"/>
        <s v="150lb - Lap Joint Flange" u="1"/>
        <s v="150lb - Slip-On Raised Face Flange" u="1"/>
        <s v="150lb - Threaded Raised Face Flange" u="1"/>
        <s v="150lb Schedule 10 - Weld Neck Raised Face Flange" u="1"/>
        <s v="150lb Schedule 40 - Socket Weld Raised Face Flange" u="1"/>
        <s v="150lb Schedule 40 - Weld Neck Raised Face Flange" u="1"/>
        <s v="150lb Schedule 80 - Socket Weld Raised Face Flange" u="1"/>
        <s v="150lb Schedule 80 - Weld Neck Raised Face Flange" u="1"/>
        <s v="Fig S4534SO - Socket Weld Outlet 3000lb" u="1"/>
        <s v="Fig S4534TO - Threaded Outlet 3000lb" u="1"/>
        <s v="Fig S4534WO4 - 3000lb Butt Weld Outlet Sch 40 Bore" u="1"/>
        <s v="Fig S4536SO - Socket Weld Outlet 3000lb" u="1"/>
        <s v="Fig S4536TO - Threaded Outlet 3000lb" u="1"/>
        <s v="Fig S4536WO4 - 3000lb Butt Weld Outlet Sch 40 Bore" u="1"/>
        <s v="Water Hammer Arrestor (MPT)" u="1"/>
        <s v="Water Hammer Arrestor (PE)" u="1"/>
        <s v="Nipple - Clearflow Galvanized Steel (GRV x GRV)" u="1"/>
        <s v="Nipple - Clearflow Galvanized Steel (MPT x GRV)" u="1"/>
        <s v="2342 - Swing Check Valve Class 150 RF (FLG)" u="1"/>
        <s v="3061 - Wall Swing Check Valve Class 300 RF (FLG)" u="1"/>
        <s v="1503 - Gate Valve Class 150 RF (FLG)" u="1"/>
        <s v="3003 - Gate Valve Class 300 RF (FLG)" u="1"/>
        <s v="1531 - Globe Valve Class 150 RF (FLG)" u="1"/>
        <s v="3031 - Globe Valve Class 300 RF (FLG)" u="1"/>
        <s v="311 Series Petes Plug Stainless Steel 316 (MPT)" u="1"/>
        <s v="Petes Plug (MPT)" u="1"/>
        <s v="OVC356FW - Ball Valve (SW)" u="1"/>
        <s v="SSN150CK - Check Valve Class 150 RF (FLG)" u="1"/>
        <s v="GASS800SW - Gate Valve (SW)" u="1"/>
        <s v="K-595-S6-R-66-LL - Ball Valve (SW)" u="1"/>
        <s v="S-45TB-E - Ball Valve Model C PVC (S)" u="1"/>
        <s v="S-51TB-E - Ball Valve Model C CPVC (S)" u="1"/>
        <s v="S-580-70 - Ball Valve (C)" u="1"/>
        <s v="S-580-70-66 - Ball Valve (C)" u="1"/>
        <s v="S-585-70 - Ball Valve (C)" u="1"/>
        <s v="S-585-70-66 - Ball Valve (C)" u="1"/>
        <s v="S-585-70-66-HC - Ball Valve (C x HC)" u="1"/>
        <s v="S-585-70-HC - Ball Valve (C x HC)" u="1"/>
        <s v="S-590-Y-66 - Ball Valve (C)" u="1"/>
        <s v="S-595-Y-66 - Ball Valve (C)" u="1"/>
        <s v="T-580-70 - Ball Valve (FPT)" u="1"/>
        <s v="T-580-70-66 - Ball Valve (FPT)" u="1"/>
        <s v="T-585-70-66-HC - Ball Valve (FPT x HC)" u="1"/>
        <s v="T-585-70-HC - Ball Valve (FPT x HC)" u="1"/>
        <s v="T-590-Y-66 - Ball Valve (FPT)" u="1"/>
        <s v="T-595-Y-66 - Ball Valve (FPT)" u="1"/>
        <s v="U-45TB-E - Ball Valve Model D PVC (S)" u="1"/>
        <s v="U-51TB-E - Ball Valve Model D CPVC (S)" u="1"/>
        <s v="GD-4765-8N - Butterfly Valve Gear (GRV)" u="1"/>
        <s v="GD-4765-C-8N - Butterfly Valve Gear (GRV)" u="1"/>
        <s v="GD-4765-N3 - Butterfly Valve Lever Lock (GRV)" u="1"/>
        <s v="GD-4765-N5 - Butterfly Valve Gear (GRV)" u="1"/>
        <s v="GD-6765-8N - Butterfly Valve Gear (GRV)" u="1"/>
        <s v="LC-20003 - Butterfly Valve Lever Lock Class 150-125 Lug (FLG)" u="1"/>
        <s v="LC-20005 - Butterfly Valve Gear Class 150-125 Lug (FLG)" u="1"/>
        <s v="LD-20000 - Butterfly Valve Lever Lock Class 150-125 Lug (FLG)" u="1"/>
        <s v="LD-20001 - Butterfly Valve Position Lock Class 150-125 Lug (FLG)" u="1"/>
        <s v="LD-20005 - Butterfly Valve Large Diameter Gear Class 150-125 Lug (FLG)" u="1"/>
        <s v="LD-30003 - Butterfly Valve Lever Lock Class 150-125 Lug (FLG)" u="1"/>
        <s v="LD-30005 - Butterfly Valve Gear Class 150-125 Lug (FLG)" u="1"/>
        <s v="WC-20003 - Butterfly Valve Lever Lock Class 150-125 Wafer (FLG)" u="1"/>
        <s v="WC-20005 - Butterfly Valve Gear Class 150-125 Wafer (FLG)" u="1"/>
        <s v="WD-20003 - Butterfly Valve Lever Lock Class 150-125 Wafer (FLG)" u="1"/>
        <s v="WD-20005 - Butterfly Valve Gear Class 150-125 Wafer (FLG)" u="1"/>
        <s v="WD-30003 - Butterfly Valve Lever Lock Class 150-125 Wafer (FLG)" u="1"/>
        <s v="WD-30005 - Butterfly Valve Gear Class 150-125 Wafer (FLG)" u="1"/>
        <s v="F-910-W - Check Valve Class 125 FF (FLG)" u="1"/>
        <s v="F-960-W - Silent Check Valve Class 250 FF (FLG)" u="1"/>
        <s v="S-413-Y-LF - Check Valve (C)" u="1"/>
        <s v="T-413-Y-LF - Check Valve (FPT)" u="1"/>
        <s v="U-45BC-E - Check Valve PVC (S)" u="1"/>
        <s v="U-51BC-E - Check Valve CPVC (S)" u="1"/>
        <s v="F-637-31 - Gate Valve Class 150 RF (FLG)" u="1"/>
        <s v="T-113-LF - Gate Valve (FPT)" u="1"/>
        <s v="F-718-B - Globe Valve Class 125 FF (FLG)" u="1"/>
        <s v="T-211-Y - Globe Valve (FPT)" u="1"/>
        <s v="901 DWV Coupling C x C - Wrot" u="1"/>
        <s v="901-2 DWV External Bushing Ftg x C - Wrot" u="1"/>
        <s v="901-2-7 DWV Fitting Trap Adapter Ftg x SJ - Wrot" u="1"/>
        <s v="901-7 DWV Trap Adapter C x SJ - Wrot" u="1"/>
        <s v="901-RP DWV Repair Coupling (No Stop) C x C - Wrot" u="1"/>
        <s v="903 DWV Adapter C x F - Wrot" u="1"/>
        <s v="904 DWV Adapter C x M - Wrot" u="1"/>
        <s v="904-7 DWV Trap Adapter M x SJ - Wrot" u="1"/>
        <s v="905 DWV Soil Pipe Adapter C x SPG - Wrot" u="1"/>
        <s v="906-2 DWV 45 Fitting Elbow Ftg x C - Wrot" u="1"/>
        <s v="907-2 DWV 90 Fitting Elbow Ftg x C - Wrot" u="1"/>
        <s v="907-LT DWV 90 Long Radius Elbow C x C - Wrot" u="1"/>
        <s v="960 DWV 60 Elbow C x C - Wrot" u="1"/>
        <s v="600 Reducing Coupling C x C - Wrot" u="1"/>
        <s v="600-DS Coupling with Dimpled Tube Stop C x C - Wrot" u="1"/>
        <s v="601 Coupling without Stop C x C - Wrot" u="1"/>
        <s v="604-2 Fitting Adapter Ftg x M - Wrot" u="1"/>
        <s v="607-2-2 90 Fitting Elbow - Close Rough Ftg x Ftg - Wrot" u="1"/>
        <s v="607-2-2-LT 90 Fitting Elbow - Long Radius Ftg x Ftg - Wrot" u="1"/>
        <s v="607-2-I 90 Fitting Elbow Intermediate Radius Ftg x C - Wrot" u="1"/>
        <s v="607-2-LT 90 Fitting Elbow - Long Radius Ftg x C - Wrot" u="1"/>
        <s v="607-I 90 Elbow - Intermediate Radius C x C - Wrot" u="1"/>
        <s v="607-LT 90 Elbow - Long Radius C x C - Wrot" u="1"/>
        <s v="611 Tee Bullnose C x C x C x - Wrot" u="1"/>
        <s v="611-2 Fitting Tee C x Ftg x C - Wrot" u="1"/>
        <s v="611-HE Heat Exchanger Tee Bullnose C x C x C - Wrot" u="1"/>
        <s v="611-HE Heat Exchanger Tee C x C x C - Wrot" u="1"/>
        <s v="616 Fitted Plug Fitting - Wrot" u="1"/>
        <s v="618 Flush Bushing Ftg x C - Wrot" u="1"/>
        <s v="618-3 Flush Bushing Ftg x F - Wrot" u="1"/>
        <s v="624 Tube Strap" u="1"/>
        <s v="633-W Union C x C - Wrot" u="1"/>
        <s v="638 Return Bend C x C - Wrot" u="1"/>
        <s v="698 Suction Line P-Trap C x C - Wrot" u="1"/>
        <s v="GD-1765-8N - Butterfly Valve Gear (GRV)" u="1"/>
        <s v="901-2-F DWV Fitting Flush Bushing Ftg x C - Wrot" u="1"/>
        <s v="903-2 DWV Fitting Adapter Ftg x F - Wrot" u="1"/>
        <s v="Nextrol Model NXFB - Balancing Valve Class 125 FF (FLG)" u="1"/>
        <s v="Ultra MB Model MBF - Balancing Valve Class 125 FF (FLG)" u="1"/>
        <s v="Ultra MB Model MBG - Balancing Valve (GRV)" u="1"/>
        <s v="UltraXB Orturi Model XB STD - Balancing Valve (P)" u="1"/>
        <s v="UltraY Model UY STD - Balancing Valve (P)" u="1"/>
        <s v="Model 11M - Wye Strainer (FPT)" u="1"/>
        <s v="Model 352.5MM - Wye Strainer (FPT)" u="1"/>
        <s v="Model 353 - Wye Strainer (C)" u="1"/>
        <s v="Model 358S - Wye Strainer (C)" u="1"/>
        <s v="Model 581-SS - Wye Strainer (FPT)" u="1"/>
        <s v="Model 752 - Wye Strainer Class 250 FF (FLG)" u="1"/>
        <s v="Model 758 - Wye Strainer Class 125 FF (FLG)" u="1"/>
        <s v="Model 105MDT - Silent Check Valve Class 150 RF (FLG)" u="1"/>
        <s v="Model 109MDT - Silent Check Valve Class 300 RF (FLG)" u="1"/>
        <s v="NoC-100HE - Coupling (C)" u="1"/>
        <s v="NoC-101 - Adapter (C x MPT)" u="1"/>
        <s v="NoC-102 - Adapter (C x FPT)" u="1"/>
        <s v="NoC-104 - Fitting Adapter (FTG x MPT)" u="1"/>
        <s v="NoC-105 - Fitting Adapter (FTG x FPT)" u="1"/>
        <s v="NoC-107 - Union (C)" u="1"/>
        <s v="NoC-108 - Union (C x MPT)" u="1"/>
        <s v="NoC-109 - Union (C x FPT)" u="1"/>
        <s v="NoC-115 - Cap (C)" u="1"/>
        <s v="NoCD-100 - Coupling (C)" u="1"/>
        <s v="NoCE-100 - Coupling (C)" u="1"/>
        <s v="NoE-200 - Elbow 90 Short Radius (C)" u="1"/>
        <s v="NoE-200D - Elbow 90 (C)" u="1"/>
        <s v="NoE-201 - Elbow 90 (C x MPT)" u="1"/>
        <s v="NoE-202 - Elbow 90 (C x FPT)" u="1"/>
        <s v="NoE-202 - Elbow 90 Reducing (C x FPT)" u="1"/>
        <s v="NoE-207 - Union Elbow 90 (C)" u="1"/>
        <s v="NoE-208 - Elbow 90 w Union (C x MPT)" u="1"/>
        <s v="NoE-209 - Elbow 90 w Union (C x FPT)" u="1"/>
        <s v="NoE-210 - Elbow 90 (C)" u="1"/>
        <s v="NoE-210HE - Elbow 90 (C)" u="1"/>
        <s v="NoE-211 - Elbow 90 (C x FPT)" u="1"/>
        <s v="NoE-211HE - Elbow 90 (C x FPT)" u="1"/>
        <s v="NoF-900 - Flange (C)" u="1"/>
        <s v="NoT-300 - Tee Reducing (C)" u="1"/>
        <s v="NoT-302 - Tee (C x C x FPT)" u="1"/>
        <s v="NoT-303 - Tee (C x FPT x C)" u="1"/>
        <s v="NoT-304 - Tee (FPT x FPT x C)" u="1"/>
        <s v="NoT-305 - Tee (FPT x MPT x C)" u="1"/>
        <s v="NoT-311 - Drop Tee (C x C x FPT)" u="1"/>
        <s v="NoT-312 - Cross (C)" u="1"/>
        <s v="NoT-317 - Wye 45 (C)" u="1"/>
        <s v="NoD-700 - Elbow 90 (C)" u="1"/>
        <s v="NoDW-200 - Elbow 90 (C)" u="1"/>
        <s v="NoDW-203 - Street Elbow 90 (FTG x C)" u="1"/>
        <s v="NoDW-204 - Elbow 45 (C)" u="1"/>
        <s v="NoDW-205 - Street Elbow 45 (FTG x C)" u="1"/>
        <s v="NoDW-700LT - Elbow 90 (C)" u="1"/>
        <s v="NoDW-700XLT - Elbow 90 (C)" u="1"/>
        <s v="NoDW-701 - Elbow 60 (C)" u="1"/>
        <s v="NoDW-707 - Tee (C)" u="1"/>
        <s v="NoDW-707 - Tee Reducing (C)" u="1"/>
        <s v="NoDW-724 - Trap Adapter (C x SJ)" u="1"/>
        <s v="NoDW-724F - Trap Adapter (FTG x SJ)" u="1"/>
        <s v="NoDW-732 - Adapter (C x MPT)" u="1"/>
        <s v="NoDW-733 - Soil Pipe Adapter (C x SPG)" u="1"/>
        <s v="NoDW-741 - Coupling (C)" u="1"/>
        <s v="NoDW-741NS - Repair Coupling (C)" u="1"/>
        <s v="NoDW-742 - Extended Bushing (FTG x C)" u="1"/>
        <s v="NoDW-752 - Vent Increaser (C x Tube)" u="1"/>
        <s v="NoDW-753 - Adapter (C x FPT)" u="1"/>
        <s v="NoDW-756 - Trap Adapter (MPT x SJ)" u="1"/>
        <s v="NoDW-757 - Trap Adapter (FPT x SJ)" u="1"/>
        <s v="NoDW-798T - Test Cap (C)" u="1"/>
        <s v="NoWC-106 - Flush Bushing (FTG x C)" u="1"/>
        <s v="NoWC-400 - Rolled Stop Coupling (C)" u="1"/>
        <s v="NoWC-400NS - Coupling (C)" u="1"/>
        <s v="NoWC-400R - Coupling (C)" u="1"/>
        <s v="NoWC-400S - Coupling (C)" u="1"/>
        <s v="NoWC-401 - Adapter (C x MPT)" u="1"/>
        <s v="NoWC-402 - Adapter (C x FPT)" u="1"/>
        <s v="NoWC-403 - Fitting Reducer (FTG x C)" u="1"/>
        <s v="NoWC-403 - Fitting Reducer 90 (FTG x C)" u="1"/>
        <s v="NoWC-404 - Fitting Adapter (FTG x MPT)" u="1"/>
        <s v="NoWC-405 - Fitting Adapter (FTG x FPT)" u="1"/>
        <s v="NoWC-407 - Union (C)" u="1"/>
        <s v="NoWC-412 - Cross Coupling (C)" u="1"/>
        <s v="NoWC-415 - Cap (C)" u="1"/>
        <s v="NoWC-416 - Fitting Plug (FTG)" u="1"/>
        <s v="NoWC-417 - Flush Bushing (FTG x FPT)" u="1"/>
        <s v="NoWE-500 - Elbow 90 (C)" u="1"/>
        <s v="NoWE-500L - Elbow 90 (C)" u="1"/>
        <s v="NoWE-503 - Street Elbow 90 (FTG x C)" u="1"/>
        <s v="NoWE-503L - Street Elbow 90 (FTG x C)" u="1"/>
        <s v="NoWE-504 - Elbow 45 (C)" u="1"/>
        <s v="NoWE-505 - Street Elbow 45 (FTG x C)" u="1"/>
        <s v="NoWE-506 - Elbow 90 (FTG)" u="1"/>
        <s v="NoWE-506L - Elbow 90 (FTG)" u="1"/>
        <s v="NoWE-507 - Elbow 45 (FTG)" u="1"/>
        <s v="NoWE-512 - Return Bend (C)" u="1"/>
        <s v="NoWE-554P - P-Trap (C)" u="1"/>
        <s v="NoWT-600 - Tee (C)" u="1"/>
        <s v="NoWT-600 - Tee Reducing (C)" u="1"/>
        <s v="NoWT-600 - Tee Reducing Both Ends (C)" u="1"/>
        <s v="NoWT-600F - Tee (C x FTG x C)" u="1"/>
        <s v="Pipe - Copper DWV (PE x PE)" u="1"/>
        <s v="Pipe - Copper DWV (PE x PE) - Pup Piece" u="1"/>
        <s v="Pipe - Copper Type K-HL (PE x PE)" u="1"/>
        <s v="Pipe - Copper Type K-HL (PE x PE) - Pup Piece" u="1"/>
        <s v="Pipe - Copper Type K-HL Med Gas (PE x PE)" u="1"/>
        <s v="Pipe - Copper Type K-HL Med Gas (PE x PE) - Pup Piece" u="1"/>
        <s v="Pipe - Copper Type L ACR (PE x PE)" u="1"/>
        <s v="Pipe - Copper Type L-HL (PE x PE)" u="1"/>
        <s v="Pipe - Copper Type L-HL (PE x PE) - Pup Piece" u="1"/>
        <s v="Pipe - Copper Type L-HL Med Gas (PE x PE)" u="1"/>
        <s v="Pipe - Copper Type L-HL Med Gas (PE x PE) - Pup Piece" u="1"/>
        <s v="Pipe - Copper Type M-HL (PE x PE)" u="1"/>
        <s v="NoC-101F - Adapter (C x MPT)" u="1"/>
        <s v="NoC-102S - Adapter (C x FPT)" u="1"/>
        <s v="NoE-212 - Return Bend Closed (C)" u="1"/>
        <s v="NoE-215 - Elbow 90 Flanged Sink (C x FPT)" u="1"/>
        <s v="NoT-300RB - Tee (C)" u="1"/>
        <s v="NoT-310 - Drop Tee (C)" u="1"/>
        <s v="NoD-700 - Street Elbow 90 (FTG x C)" u="1"/>
        <s v="NoD-702 - Elbow 45 (C)" u="1"/>
        <s v="NoD-702 - Street Elbow 45 (FTG x C)" u="1"/>
        <s v="NoDW-703 - Elbow 22.5 (C)" u="1"/>
        <s v="NoDW-742F - Bushing (FTG x C)" u="1"/>
        <s v="NoDW-754 - Fitting Adapter (FTG x FPT)" u="1"/>
        <s v="BA-100H P1 - Ball Valve (P x HC)" u="1"/>
        <s v="BA-100H-TIH - Ball Valve (P x HC)" u="1"/>
        <s v="BA-400 P2 - Ball Valve (P)" u="1"/>
        <s v="BA-400S-P2-TIH - Ball Valve (P)" u="1"/>
        <s v="BA-450S-TIH - Ball Valve (C)" u="1"/>
        <s v="CL223E - Gear Butterfly Valve Class 150 RF Lug (FLG)" u="1"/>
        <s v="ML233E - Lever Butterfly Valve Class 150 RF Lug (FLG)" u="1"/>
        <s v="509T P2 - Check Valve (P)" u="1"/>
        <s v="F-2970-M - Swing Check Valve Class 250 RF (FLG)" u="1"/>
        <s v="F-2894-M - Gate Valve Class 150 RF (FLG)" u="1"/>
        <s v="F-2983-M - Globe Valve Class 250 RF (FLG)" u="1"/>
        <s v="MetraMini (MMCC) - Flexible Pump Connector Class 150 FF (FLG)" u="1"/>
        <s v="RMF - Reducing Flexible Pump Connector Class 150 FF (FLG)" u="1"/>
        <s v="SLPC - Flexible Pump Connector Class 150 FF (FLG)" u="1"/>
        <s v="SSTC - Flexible Pump Connector (MPT)" u="1"/>
        <s v="Cablesphere (MSRCEE) - EPDM Expansion Joint Class 150 FF (FLG)" u="1"/>
        <s v="Double Cablesphere (DSRCEE) - EPDM Expansion Joint Class 150 FF (FLG)" u="1"/>
        <s v="DoubleSphere (DSEE) - EPDM Expansion Joint Class 150 FF (FLG)" u="1"/>
        <s v="Metrasphere (MSODEE) - EPDM Expansion Joint Class 150 FF (FLG)" u="1"/>
        <s v="VRN2 - Pressure Independent Control Valve (FPT)" u="1"/>
        <s v="VRW2 - Dynamic Pressure Control Valve Class 150 RF (FLG)" u="1"/>
        <s v="V5013N - Three-Way Globe Valve (FPT)" u="1"/>
        <s v="VGF31 - Globe Valve Class 125 FF (FLG)" u="1"/>
        <s v="Countersink Plug for Cleanout (MPT)" u="1"/>
        <s v="PROGEF Butt Fusion" u="1"/>
        <s v="375 - True Union Ball Valve - Natural PP FPM (S)" u="1"/>
        <s v="546 - Ball Valve - PN 10 - Standard PP EPDM (SPG)" u="1"/>
        <s v="567 - Butterfly Valve Lever Class 150 Wafer - SDR 11 - Standard PP EPDM (FLG)" u="1"/>
        <s v="561 - Check Valve - SDR 11 - Standard PP EPDM (SPG)" u="1"/>
        <s v="515 - Diaphragm Valve - SDR 11 - Standard PP EPDM (SPG)" u="1"/>
        <s v="519 Zero Static - Diaphragm Valve - Standard PP EPDM (SPG)" u="1"/>
        <s v="Adapter Male (MPT x S)" u="1"/>
        <s v="Elbow 45 (S)" u="1"/>
        <s v="Elbow 90 (S)" u="1"/>
        <s v="Flange (S)" u="1"/>
        <s v="Flange Backing Ring (S)" u="1"/>
        <s v="Reducer Bushing (SPG x FPT)" u="1"/>
        <s v="Reducer Bushing (SPG x S)" u="1"/>
        <s v="Tee Reducing (S)" u="1"/>
        <s v="Tee Reducing (S-F)" u="1"/>
        <s v="(3A) Sanitary Adapter - PN 10 - Standard PP" u="1"/>
        <s v="45 Elbow - PN 10 - Standard PP" u="1"/>
        <s v="45 Elbow Gored - PN 10 - Standard PP" u="1"/>
        <s v="45 Reducing Wye - PN 10 - Standard PP" u="1"/>
        <s v="45 Wye - PN 10 - Standard PP" u="1"/>
        <s v="90 Elbow Short Radius - PN 10 - Standard PP" u="1"/>
        <s v="90 Elbow Sweep Radius - PN 10 - Standard PP" u="1"/>
        <s v="Analytical Threaded Sensor - PN 10 - Standard PP" u="1"/>
        <s v="Blind Flange - PN 10 - Standard PP" u="1"/>
        <s v="Blind Flange with PP Sheet - PN 10 - Standard PP" u="1"/>
        <s v="Concentric Flush Style Reducer (160-315mm) - PN 10 - Standard PP" u="1"/>
        <s v="Concentric Flush Style Reducer (355-500mm) - PN 10 - Standard PP" u="1"/>
        <s v="Concentric Flush Style Reducer (40-100mm) - PN 10 - Standard PP" u="1"/>
        <s v="Eccentric Flush Style Reducer (160-315mm) - PN 10 - Standard PP" u="1"/>
        <s v="Eccentric Flush Style Reducer (40-110mm) - PN 10 - Standard PP" u="1"/>
        <s v="End Cap (20-225mm) - PN 10 - Standard PP" u="1"/>
        <s v="End Cap (250-500mm) - PN 10 - Standard PP" u="1"/>
        <s v="Fabricated Reducing Tee (160-500mm) - PN 10 - Standard PP" u="1"/>
        <s v="Fabricated Reducing Tee (25-110mm) - PN 10 - Standard PP" u="1"/>
        <s v="Female Adapter - PN 10 - Standard PP" u="1"/>
        <s v="Flange Adapter Type A FF - SDR 11 - Standard PP" u="1"/>
        <s v="Flange Adapter Type B (355-500mm) FF - PN 10 - Standard PP" u="1"/>
        <s v="Flange Adapter Type B FF - SDR 11 - Standard PP" u="1"/>
        <s v="Flange Adapter Type C FF - SDR 11 - Standard PP" u="1"/>
        <s v="Flush Style End Cap for Tapping - PN 10 - Standard PP" u="1"/>
        <s v="Full-Face Flange Spacer - PN 10 - Standard PP" u="1"/>
        <s v="Hose Connector - PN 10 - Standard PP" u="1"/>
        <s v="Instrument Installation Fitting - PN 10 - Standard PP" u="1"/>
        <s v="Large Sanitary Adapter (3A) - PN 6 - Standard PP" u="1"/>
        <s v="Male Adapter - PN 10 - Standard PP" u="1"/>
        <s v="MNPT Low Profile Adapter - PN 10 - Standard PP" u="1"/>
        <s v="Molded Reducing Tee - PN 10 - Standard PP" u="1"/>
        <s v="Nipple - PN 10 - Standard PP (MPT)" u="1"/>
        <s v="Reducer - PN 10 - Standard PP" u="1"/>
        <s v="Restraint Fitting - PN 10 - Standard PP" u="1"/>
        <s v="Sanitary Adapter (3A) - PN 10 - Standard PP" u="1"/>
        <s v="Sanitary Instrument Adapter (3A) - PN 10 - Standard PP" u="1"/>
        <s v="Tee - PN 10 - Standard PP" u="1"/>
        <s v="Union EPDM - PN 10 - Standard PP" u="1"/>
        <s v="Union FKM - PN 10 - Standard PP" u="1"/>
        <s v="Vent Port Assembly - PN 10 - Standard PP" u="1"/>
        <s v="45 Wye (S)" u="1"/>
        <s v="45 Wye - Double (S)" u="1"/>
        <s v="45 Wye - Double Reducing (S)" u="1"/>
        <s v="45 Wye - Reducing (S)" u="1"/>
        <s v="Bend (45) (S)" u="1"/>
        <s v="Bend (91.2) - Long Sweep (S)" u="1"/>
        <s v="Bend (91.2) - Short Sweep (S)" u="1"/>
        <s v="Cleanout Adapter with Plug (SPG x FT)" u="1"/>
        <s v="Cleanout Tee with Plug (S x S x FT)" u="1"/>
        <s v="Combo Wye (90) - Double (S)" u="1"/>
        <s v="Combo Wye (90) - Double Reducing (S)" u="1"/>
        <s v="Combo Wye and Bend (90) - Reducing (S)" u="1"/>
        <s v="Flange - Solid ANSI 150 lb. Pattern (S)" u="1"/>
        <s v="Increaser Bushing (SPG x S)" u="1"/>
        <s v="Long Turn Tee Wye (91.2) (S)" u="1"/>
        <s v="Long Turn Tee Wye (91.2) - Reducing (S)" u="1"/>
        <s v="Male Adapter (S x MPT)" u="1"/>
        <s v="P-Trap (S)" u="1"/>
        <s v="P-Trap with Cleanout (S)" u="1"/>
        <s v="P-Trap with Union Connection (S)" u="1"/>
        <s v="Pipe Increaser (SPG)" u="1"/>
        <s v="Sanitary Tee (91.2) (S)" u="1"/>
        <s v="Sanitary Tee (91.2) - Double (S)" u="1"/>
        <s v="Sanitary Tee (91.2) - Double Reducing (S)" u="1"/>
        <s v="Sanitary Tee (91.2) - Reducing (S)" u="1"/>
        <s v="Trap Primer w FPT Tap (SPG)" u="1"/>
        <s v="Union (PPFR x PVDF) w PPFR Nut and EPDM Ring (S)" u="1"/>
        <s v="Union (PPFR x PVDF) w PPFR Nut and FPM Ring (S)" u="1"/>
        <s v="Union (PVDF x PPFR) w PVDF Nut and EPDM Ring (S)" u="1"/>
        <s v="Union (PVDF x PPFR) w PVDF Nut and FPM Ring (S)" u="1"/>
        <s v="Union (PVDF x PVDF) w PVDF Nut and EPDM Ring (S)" u="1"/>
        <s v="Union (PVDF x PVDF) w PVDF Nut and FPM Ring (S)" u="1"/>
        <s v="Pipe - Polypropylene PPro-Seal Natural Schedule 80 (PE x PE)" u="1"/>
        <s v="Pipe - Polypropylene PROGEF Standard PN 10 Standard (PE x PE)" u="1"/>
        <s v="Pipe - PVDF Fuseal 25_50 Schedule 40 (PE x PE)" u="1"/>
        <s v="Adapter Male Reducing (S x MPT)" u="1"/>
        <s v="45 Wye (S-F)" u="1"/>
        <s v="45 Wye - Double (S-F)" u="1"/>
        <s v="Bend (45) (S-F)" u="1"/>
        <s v="Bend (91.2) - Long Sweep (S-F)" u="1"/>
        <s v="Cleanout Tee with Plug (S x S x FT-F)" u="1"/>
        <s v="Combo Wye (90) - Double (S-F)" u="1"/>
        <s v="Combo Wye and Bend (90) (S)" u="1"/>
        <s v="P-Trap (S-F)" u="1"/>
        <s v="Swivel Sink Strainer Adapter with Gasket (SPG x FT)" u="1"/>
        <s v="3000-22 Coupling ProFlex (CI x PVC)" u="1"/>
        <s v="3000-33 Coupling ProFlex (CI x PVC)" u="1"/>
        <s v="3000-44 Coupling ProFlex (CI x PVC)" u="1"/>
        <s v="DSV - Check Valve Vertical (CLAMP)" u="1"/>
        <s v="Flange (FLG x P)" u="1"/>
        <s v="Flange Adapter (FLG x C)" u="1"/>
        <s v="Flange Reduction (FLG x C)" u="1"/>
        <s v="Flange Roll (FLG x GRV)" u="1"/>
        <s v="No123 - Tilting Disc Check Valve Class 150 RF (FLG)" u="1"/>
        <s v="No1340 - Swing Check Valve Y (C)" u="1"/>
        <s v="No147 - Swing Check Valve Class 150 RF (FLG)" u="1"/>
        <s v="No1523 - Tilting Disc Check Valve Class 1500 RF (FLG)" u="1"/>
        <s v="No159 - Swing Check Valve Class 300 RF (FLG)" u="1"/>
        <s v="No175 - Swing Check Valve Class 600 RF (FLG)" u="1"/>
        <s v="No28 - Stop Check Valve Class 300 RF (FLG)" u="1"/>
        <s v="No28E - Stop Check Valve Class 250 FF (FLG)" u="1"/>
        <s v="No30 - Stop Check Valve Class 300 RF (FLG)" u="1"/>
        <s v="No30E - Stop Check Valve Class 250 FF (FLG)" u="1"/>
        <s v="No323 - Tilting Disc Check Valve Class 300 RF (FLG)" u="1"/>
        <s v="No346.5 - Swing Check Valve (FPT)" u="1"/>
        <s v="No372 - Swing Check Valve (FPT)" u="1"/>
        <s v="No373 - Swing Check Valve Class 125 FF (FLG)" u="1"/>
        <s v="No383 - Swing Check Valve Class 125 FF (FLG)" u="1"/>
        <s v="No39E - Swing Check Valve Class 250 FF (FLG)" u="1"/>
        <s v="No623 - Tilting Disc Check Valve Class 600 RF (FLG)" u="1"/>
        <s v="No76E - Swing Check Valve (FPT)" u="1"/>
        <s v="No923 - Tilting Disc Check Valve Class 900 RF (FLG)" u="1"/>
        <s v="No33 - Gate Valve Class 300 RF (FLG)" u="1"/>
        <s v="No3E - Gate Valve Class 250 FF (FLG)" u="1"/>
        <s v="No431UB - Gate Valve (FPT)" u="1"/>
        <s v="No460 - Gate Valve (FPT)" u="1"/>
        <s v="No461 - Gate Valve Class 125 FF (FLG)" u="1"/>
        <s v="No47 - Gate Valve Class 150 RF (FLG)" u="1"/>
        <s v="No473 - Gate Valve Class 125 FF (FLG)" u="1"/>
        <s v="No488 - Gate Valve (FPT)" u="1"/>
        <s v="No488.5 - Gate Valve Class 125 FF (FLG)" u="1"/>
        <s v="No490 - Gate Valve (FPT)" u="1"/>
        <s v="No7.5E - Gate Valve Class 250 FF (FLG)" u="1"/>
        <s v="No76 - Gate Valve Class 600 RF (FLG)" u="1"/>
        <s v="No143 - Globe Valve Class 150 RF (FLG)" u="1"/>
        <s v="No151 - Globe Valve Class 300 RF (FLG)" u="1"/>
        <s v="No171 - Globe Valve Class 600 RF (FLG)" u="1"/>
        <s v="No21E - Globe Valve Class 250 FF (FLG)" u="1"/>
        <s v="No351 - Globe Valve Class 125 FF (FLG)" u="1"/>
        <s v="No353 - Angle Globe Valve Class 125 FF (FLG)" u="1"/>
        <s v="No382P - Globe Valve (FPT)" u="1"/>
        <s v="NoSV108 - Straight Cross" u="1"/>
        <s v="NoSV109 - Sanitary Cross" u="1"/>
        <s v="NoSV110 - Double Wye" u="1"/>
        <s v="NoSV135 - H Branch" u="1"/>
        <s v="NoSV141 - Offset 45" u="1"/>
        <s v="NoSV143 - Reducer" u="1"/>
        <s v="NoSV144 - Reducer Increaser" u="1"/>
        <s v="NoSV153 - Double Hub Fitting" u="1"/>
        <s v="NoSV155 - Pipe Plug" u="1"/>
        <s v="NoSV169 - P Trap" u="1"/>
        <s v="NoSV18 - Reducing Quarter Bend" u="1"/>
        <s v="NoSV23 - Return Bend" u="1"/>
        <s v="NoSV25 - Long Quarter Bend" u="1"/>
        <s v="NoSV26 - Long Eighth Bend" u="1"/>
        <s v="NoSV29 - Short Sweep Bend" u="1"/>
        <s v="NoSV30 - Long Sweep Bend" u="1"/>
        <s v="NoSV31 - Reducing Long Sweep Bend" u="1"/>
        <s v="NoSV33 - Combination Wye &amp; Long Turn Eighth Bend" u="1"/>
        <s v="NoSV35F - Double Combination Wye &amp; Long Turn Eighth Bend" u="1"/>
        <s v="NoSV42 - Straight Tee" u="1"/>
        <s v="NoSV43 - Sanitary Tee" u="1"/>
        <s v="NoSV44 - Wye" u="1"/>
        <s v="NoSV5 - Quarter Bend" u="1"/>
        <s v="NoSV7 - Sixth Bend" u="1"/>
        <s v="NoSV79 - Test Washington Tee" u="1"/>
        <s v="NoSV8 - Eighth Bend" u="1"/>
        <s v="NoSV80 - Cleanout Tee w Plug" u="1"/>
        <s v="NoSV81 - Test Tee w Plug" u="1"/>
        <s v="NoSV83 - Straight Tapped Tee" u="1"/>
        <s v="NoSV84 - Sanitary Tapped Tee" u="1"/>
        <s v="NoSV85 - Tapped Wye" u="1"/>
        <s v="NoSV9 - Sixteenth Bend" u="1"/>
        <s v="NoSV91 - Sanitary Tapped Cross" u="1"/>
        <s v="NoSV93 - Tapped Cross" u="1"/>
        <s v="NoEZS14 - Extended Short Sweep" u="1"/>
        <s v="NoEZS15 - Extended Combination" u="1"/>
        <s v="NoEZS16 - Two-Way Sanitary Tee" u="1"/>
        <s v="NoEZS17 - Extended Sanitary Tapped Tee" u="1"/>
        <s v="NoEZS18 - Extended Sanitary Tapped Cross" u="1"/>
        <s v="NoEZS27 - Sanitary Tapped Tee" u="1"/>
        <s v="NoEZS28 - Sanitary Tapped Cross" u="1"/>
        <s v="NoNH1 - No Hub Coupling" u="1"/>
        <s v="NoNH10 - Sixth Bend" u="1"/>
        <s v="NoNH12 - Long Eighth Bend" u="1"/>
        <s v="NoNH14 - Sixteenth Bend" u="1"/>
        <s v="NoNH16 - Short Sweep" u="1"/>
        <s v="NoNH18 - Long Sweep" u="1"/>
        <s v="NoNH21 - Double Wye" u="1"/>
        <s v="NoNH21A - Upright Wye" u="1"/>
        <s v="NoNH22 - Combination" u="1"/>
        <s v="NoNH24 - Double Combination" u="1"/>
        <s v="NoNH25 - Figure Five Double Fixture Fitting" u="1"/>
        <s v="NoNH26 - Tapped Wye" u="1"/>
        <s v="NoNH30 - Sanitary Cross" u="1"/>
        <s v="NoNH31 - Sanitary Tee w 2in LH 90 Sanitary" u="1"/>
        <s v="NoNH31 - Sanitary Tee w 2in RH 90 Sanitary" u="1"/>
        <s v="NoNH32B - Sanitary Tee w 2in LH 45 Sanitary" u="1"/>
        <s v="NoNH32B - Sanitary Tee w 2in RH 45 Sanitary" u="1"/>
        <s v="NoNH33C - Sanitary Cross w 2in 90 Sanitary" u="1"/>
        <s v="NoNH35 - Sanitary Tapped Cross" u="1"/>
        <s v="NoNH4 - Long Quarter Bend" u="1"/>
        <s v="NoNH40 - Increaser Reducer" u="1"/>
        <s v="NoNH42 - Long P-Trap" u="1"/>
        <s v="NoNH42 - P-Trap" u="1"/>
        <s v="NoNH44 - P-Trap w Tapped Inlet" u="1"/>
        <s v="NoNH44A - Deep Seal P-Trap" u="1"/>
        <s v="NoNH48 - Tapped Adapter" u="1"/>
        <s v="NoNH4A - Tapped Quarter Bend" u="1"/>
        <s v="NoNH50 - Blind Plug" u="1"/>
        <s v="NoNH52 - Tapped Ferrule Less Brass Plug" u="1"/>
        <s v="NoNH57 - Horizontal Twin Tapped Tee" u="1"/>
        <s v="NoNH6 - Quarter Bend w Side Opening" u="1"/>
        <s v="NoNH8 - Quarter Bend w Heel Opening" u="1"/>
        <s v="NoNH8A - Double Quarter Bend" u="1"/>
        <s v="NoNH9 - Fifth Bend" u="1"/>
        <s v="NoSD4 - Heavy Duty Coupling" u="1"/>
        <s v="No100 - Coupling (FAB)" u="1"/>
        <s v="No100 - Coupling" u="1"/>
        <s v="No101 - Female Adapter (FPTxHUB)" u="1"/>
        <s v="No101 - Female Adapter (FPTxHUB-FAB)" u="1"/>
        <s v="No101X - Female Adapter w Plug (FPTxHUB-FAB)" u="1"/>
        <s v="No102 - Pipe Increaser (FAB)" u="1"/>
        <s v="No102 - Pipe Increaser" u="1"/>
        <s v="No103 - Male Trap Adapter (SPGxSJ)" u="1"/>
        <s v="No103P - Male Trap Adapter w Nut (SPGxSJ)" u="1"/>
        <s v="No103X - Male Trap Adapter w Nut (SPGxSJ)" u="1"/>
        <s v="No104 - Female Trap Adapter (HUBxSJ)" u="1"/>
        <s v="No104P - Female Trap Adapter w Nut (HUBxSJ)" u="1"/>
        <s v="No104X - Female Trap Adapter w Nut (HUBxSJ)" u="1"/>
        <s v="No105 - Fitting Cleanout Adapter (SPGxFPT)" u="1"/>
        <s v="No105 - Fitting Cleanout Adapter (SPGxFPT-FAB)" u="1"/>
        <s v="No105X - Fitting Adapter w Cleanout Plug (SPGxFPT)" u="1"/>
        <s v="No106 - Cleanout Plug (MPT)" u="1"/>
        <s v="No107 - Flush Bushing (SPGxHUB)" u="1"/>
        <s v="No107 - Reducing Bushing (SPGxHUB-FAB)" u="1"/>
        <s v="No108 - Flush Bushing (SPGxFPT)" u="1"/>
        <s v="No109 - Male Adapter (MPTxHUB)" u="1"/>
        <s v="No110 - Flush Cleanout Plug (MPT)" u="1"/>
        <s v="No111 - Male Fitting Adapter (MPTxSPG)" u="1"/>
        <s v="No116 - Cap (FAB)" u="1"/>
        <s v="No116 - Cap" u="1"/>
        <s v="No119 - Adapter (SPGxHUB)" u="1"/>
        <s v="No123 - Adapter (HUBxSPG)" u="1"/>
        <s v="No123R - Reducing Hub Adapter (HUBxSPG)" u="1"/>
        <s v="No130 - Repair Coupling (FAB)" u="1"/>
        <s v="No130 - Repair Coupling" u="1"/>
        <s v="No131 - Test Cap (SPG)" u="1"/>
        <s v="No132 - Test Cap" u="1"/>
        <s v="No300 - Quarter Bend (FAB)" u="1"/>
        <s v="No300 - Quarter Bend" u="1"/>
        <s v="No300A - Short Quarter Bend" u="1"/>
        <s v="No300S - Quarter Bend w Side Inlet (HUB)" u="1"/>
        <s v="No301 - Vent Street Quarter Bend (HUBxSPG-FAB)" u="1"/>
        <s v="No302 - Street Quarter Bend (SPGxHUB)" u="1"/>
        <s v="No302 - Street Quarter Bend (SPGxHUB-FAB)" u="1"/>
        <s v="No303 - Quarter Bend w LH Inlet" u="1"/>
        <s v="No304 - Long Sweep Quarter Bend" u="1"/>
        <s v="No309 - Street Long Sweep Quarter Bend (HUBxSPG)" u="1"/>
        <s v="No319 - Sixth Bend" u="1"/>
        <s v="No320 - Street Sixth Bend (HUBxSPG)" u="1"/>
        <s v="No321 - Eighth Bend (FAB)" u="1"/>
        <s v="No321 - Eighth Bend" u="1"/>
        <s v="No323 - Street Eighth Bend (SPGxHUB)" u="1"/>
        <s v="No323 - Street Eighth Bend (SPGxHUB-FAB)" u="1"/>
        <s v="No324 - Sixteenth Bend (FAB)" u="1"/>
        <s v="No324 - Sixteenth Bend" u="1"/>
        <s v="No326 - Street Sixteenth Bend (SPGxHUB)" u="1"/>
        <s v="No326 - Street Sixteenth Bend (SPGxHUB-FAB)" u="1"/>
        <s v="No327 - Double Bend 90" u="1"/>
        <s v="No328 - 11.25 Bend (FAB)" u="1"/>
        <s v="No331 - Vent Quarter Bend" u="1"/>
        <s v="No333 - Vent Street Quarter Bend (HUBxSPG)" u="1"/>
        <s v="No400 - Sanitary Tee" u="1"/>
        <s v="No400A - Straight Tee (FAB)" u="1"/>
        <s v="No400A - Straight Tee" u="1"/>
        <s v="No401 - Reducing Sanitary Tee" u="1"/>
        <s v="No401A - Reducing Straight Tee (FAB)" u="1"/>
        <s v="No401A - Reducing Straight Tee" u="1"/>
        <s v="No403 - Street Sanitary Tee (SPGxHUBxHUB)" u="1"/>
        <s v="No404 - Reducing Street Sanitary Tee (SPGxHUBxHUB)" u="1"/>
        <s v="No410 - Tee Cross (FAB)" u="1"/>
        <s v="No416 - Sanitary Tee w L Inlet" u="1"/>
        <s v="No417 - Sanitary Tee w R Inlet" u="1"/>
        <s v="No418 - Sanitary Tee w L&amp;R Inlet" u="1"/>
        <s v="No428 - Double Sanitary Tee" u="1"/>
        <s v="No429 - Double Sanitary Tee (Red-HUB)" u="1"/>
        <s v="No438 - Reducing Double Sanitary Tee w Side Inlet" u="1"/>
        <s v="No439 - Reducing Double Street Sanitary Tee w L&amp;R Inlets" u="1"/>
        <s v="No441 - Vent Tee" u="1"/>
        <s v="No444X - Cleanout Tee w Plug (HUBxHUBxFPT)" u="1"/>
        <s v="No444X - Cleanout Tee w Plug (HUBxHUBxFPT-FAB)" u="1"/>
        <s v="No445 - Cleanout Tee (HUBxHUBxFPT)" u="1"/>
        <s v="No445 - Cleanout Tee (HUBxHUBxFPT-FAB)" u="1"/>
        <s v="No445X - Flush Cleanout Tee w Plug (HUBxHUBxFPT)" u="1"/>
        <s v="No448 - Two-Way Cleanout" u="1"/>
        <s v="No500 - Double Fixture Fitting" u="1"/>
        <s v="No501 - Combination Wye 45" u="1"/>
        <s v="No502 - Reducing Combination Wye &amp; 45" u="1"/>
        <s v="No503 - Combination Wye &amp; 45" u="1"/>
        <s v="No504 - Reducing Combination Wye &amp; 45" u="1"/>
        <s v="No507 - Double Combination Wye &amp; 45" u="1"/>
        <s v="No600 - Wye 45 (FAB)" u="1"/>
        <s v="No600 - Wye 45" u="1"/>
        <s v="No601 - Reducing Wye 45 (FAB)" u="1"/>
        <s v="No601 - Reducing Wye 45" u="1"/>
        <s v="No602 - Street Wye 45 (SPGxHUBxHUB)" u="1"/>
        <s v="No603 - Reducing Street Wye 45 (SPGxHUBxHUB)" u="1"/>
        <s v="No611 - Double Wye 45 (FAB)" u="1"/>
        <s v="No611 - Double Wye 45" u="1"/>
        <s v="No612 - Reducing Double Wye 45 (FAB)" u="1"/>
        <s v="No612 - Reducing Double Wye 45" u="1"/>
        <s v="No625 - Wye w L Inlet" u="1"/>
        <s v="No626 - Wye w R Inlet" u="1"/>
        <s v="No700 - Return Bend" u="1"/>
        <s v="No706X - P-Trap" u="1"/>
        <s v="No707X - P-Trap w Cleanout" u="1"/>
        <s v="No708P - P-Trap w Union &amp; Nut" u="1"/>
        <s v="2101 - Female Adapter (S x FPT)" u="1"/>
        <s v="2101 - Reducing Female Adapter (S x FPT)" u="1"/>
        <s v="2102 - Coupling (FPT)" u="1"/>
        <s v="2107 - Reducer Bushing Flush Style (SPG x S)" u="1"/>
        <s v="2108 - Reducer Bushing Flush Style (SPG x FPT)" u="1"/>
        <s v="2109 - Male Adapter (MPT x S)" u="1"/>
        <s v="2110 - Male Adapter (MPT x S)" u="1"/>
        <s v="2112 - Reducer Bushing (MPT x FPT)" u="1"/>
        <s v="2113 - Plug (MPT)" u="1"/>
        <s v="2117 - Cap (FPT)" u="1"/>
        <s v="2118 - Plug (SPG)" u="1"/>
        <s v="2300 - Reducing 90 Elbow (S)" u="1"/>
        <s v="2301 - 90 Elbow (S x FPT)" u="1"/>
        <s v="2301 - Reducing 90 Elbow (S x FPT)" u="1"/>
        <s v="2302 - 90 Elbow (FPT)" u="1"/>
        <s v="2304 - 90 Street Elbow (SPG x S)" u="1"/>
        <s v="2306 - 90 Street Elbow (MPT x S)" u="1"/>
        <s v="2307 - 90 Street Elbow (MPT x FPT)" u="1"/>
        <s v="2400 - Tee (S)" u="1"/>
        <s v="2401 - Reducing Tee (S x S x FPT)" u="1"/>
        <s v="2401 - Tee (S x S x FPT)" u="1"/>
        <s v="2410 - Cross (S)" u="1"/>
        <s v="2701 - HVAC Condensate Running Trap (SPG)" u="1"/>
        <s v="8100 - Coupling (S)" u="1"/>
        <s v="8100 - Reducing Coupling (S)" u="1"/>
        <s v="8101 - Female Adapter (S x FPT)" u="1"/>
        <s v="8102 - Coupling (FPT)" u="1"/>
        <s v="8107 - Reducer Bushing Flush Style (SPG x S)" u="1"/>
        <s v="8108 - Reducer Bushing Flush Style (SPG x FPT)" u="1"/>
        <s v="8109 - Male Adapter (S x MPT)" u="1"/>
        <s v="8113 - Plug (MPT)" u="1"/>
        <s v="8116 - Cap (S)" u="1"/>
        <s v="8117 - Cap (FPT)" u="1"/>
        <s v="8200 - Reducer Bushing Flush Style (MPT x FPT)" u="1"/>
        <s v="8300 - 90 Elbow (S)" u="1"/>
        <s v="8301 - 90 Elbow (S x FPT)" u="1"/>
        <s v="8302 - 90 Elbow (FPT)" u="1"/>
        <s v="8309 - 45 Elbow (S)" u="1"/>
        <s v="8312 - 45 Elbow (FPT)" u="1"/>
        <s v="8400 - Reducing Tee (S)" u="1"/>
        <s v="8400 - Tee (S)" u="1"/>
        <s v="8401 - Tee (S x S x FPT)" u="1"/>
        <s v="8402 - Tee (FPT)" u="1"/>
        <s v="8500 - Flange One Piece (S)" u="1"/>
        <s v="8510 - Blind Flange One Piece (FLG)" u="1"/>
        <s v="8530 - Van Stone Flange - Glass Filled Ring (S)" u="1"/>
        <s v="8530 - Van Stone Flange - Solid Ring (S)" u="1"/>
        <s v="8560 - Flange One Piece (FPT)" u="1"/>
        <s v="8600 - Wye (S)" u="1"/>
        <s v="8700 - Union Viton O-Ring Seal (S x S)" u="1"/>
        <s v="8710 - Union EPDM O-Ring Seal (S x S)" u="1"/>
        <s v="8800 - Union Viton O-Ring Seal (FPT x FPT)" u="1"/>
        <s v="8810 - Union EPDM O-Ring Seal (FPT x FPT)" u="1"/>
        <s v="8820 - Union Viton O-Ring Seal (S x FPT)" u="1"/>
        <s v="8830 - Union EPDM O-Ring Seal (S x FPT)" u="1"/>
        <s v="Pipe - NoSV1 Cast Iron SV Single Hub" u="1"/>
        <s v="Pipe - NoSV1A Cast Iron SV Single Hub" u="1"/>
        <s v="Pipe - NoSV2 Cast Iron SV Double Hub" u="1"/>
        <s v="Pipe - NoSV3 Cast Iron SV Single Hub" u="1"/>
        <s v="Pipe - NoSV4 Cast Iron SV Double Hub" u="1"/>
        <s v="Pipe - PVC DWV Schedule 40 (PE x PE)" u="1"/>
        <s v="Pipe - PVC Pressure Schedule 80 Gray (PE x PE)" u="1"/>
        <s v="NoSV114 - Sanitary Cross w 2in Inlet" u="1"/>
        <s v="NoSV115 - Double Wye w 2in Side Opening" u="1"/>
        <s v="NoSV12 - Quarter Bend w L-Side Opening" u="1"/>
        <s v="NoSV12 - Quarter Bend w R-Side Opening" u="1"/>
        <s v="NoSV15 - Double Quarter Bend" u="1"/>
        <s v="NoSV32 - Combination Wye &amp; Eighth Bend" u="1"/>
        <s v="NoSV35 - Double Combination Wye &amp; Eighth Bend" u="1"/>
        <s v="NoSV35F - Double Combination Wye &amp; Eighth Bend w 2in Inlet" u="1"/>
        <s v="NoSV39A - Combination Wye &amp; Eighth Bend w L-Side Inlet" u="1"/>
        <s v="NoSV39A - Combination Wye &amp; Eighth Bend w R-Side Inlet" u="1"/>
        <s v="NoSV41 - Combination Wye &amp; Eighth Bend w Cleanout" u="1"/>
        <s v="NoSV50 - Sanitary Tee w LH Tap" u="1"/>
        <s v="NoSV50A - Sanitary Tee w RH Tap" u="1"/>
        <s v="NoSV50B - Sanitary Tee w LH &amp; RH Taps" u="1"/>
        <s v="NoSV56 - Sanitary Tee w LH Inlet" u="1"/>
        <s v="NoSV56B - Sanitary Tee w RH Inlet" u="1"/>
        <s v="NoSV56C - Sanitary Tee w LH-RH Inlets" u="1"/>
        <s v="NoSV57 - Wye w LH Inlet" u="1"/>
        <s v="NoSV57A - Wye w RH Inlet" u="1"/>
        <s v="NoSV71A - Two-Way Cleanout" u="1"/>
        <s v="NoSV71B - Two-Way Cleanout" u="1"/>
        <s v="NoSV76 - Sanitary Tee w Cleanout" u="1"/>
        <s v="NoSV82 - Test Tee w Tap" u="1"/>
        <s v="NoSV89 - Long Sanitary Tapped Tee" u="1"/>
        <s v="NoSV92 - Tapped Double Wye" u="1"/>
        <s v="NoEZS1 - Figure One" u="1"/>
        <s v="NoEZS13 - 45 Vented Tub Wye" u="1"/>
        <s v="NoEZS7 - 2in Vent Cross Over" u="1"/>
        <s v="NoNH18 - Long Sweep Reducing" u="1"/>
        <s v="NoNH27 - Tapped Double Wye" u="1"/>
        <s v="NoNH32 - Sanitary Tee w 2in LH &amp; RH Inlet" u="1"/>
        <s v="NoNH32B - Sanitary Tee w 2in LH-RH 45 Sanitary" u="1"/>
        <s v="NoNH33A - Sanitary Cross w 2in 90 Sanitary" u="1"/>
        <s v="NoNH35B - Double Sanitary Tapped Tee" u="1"/>
        <s v="NoNH42A - P-Trap Reducing" u="1"/>
        <s v="NoNH45 - Running Trap w Vent" u="1"/>
        <s v="NoNH53 - Single Two-Way Cleanout" u="1"/>
        <s v="NoNH53A - Two-Way Cleanout" u="1"/>
        <s v="NoNH54 - Two-Way Cleanout" u="1"/>
        <s v="NoNH8B - Extended Quarter Bend w LH Outlet" u="1"/>
        <s v="No101X - Female Adapter w Plug (FPTxHUB)" u="1"/>
        <s v="No103R - Male Trap Adapter w Washers &amp; Nut (SPGxSJ)" u="1"/>
        <s v="No300R - Reducing Quarter Bend" u="1"/>
        <s v="No305 - Long Sweep Quarter Bend w HH Inlet" u="1"/>
        <s v="No307 - Long Sweep Quarter Bend w LH Inlet" u="1"/>
        <s v="No310 - Street Quarter Bend w LH Inlet (HUBxSPGxHUB)" u="1"/>
        <s v="No311 - Long Sweep Quarter Bend w Side Inlet" u="1"/>
        <s v="No329 - Closet Bend" u="1"/>
        <s v="No330 - Street Closet Bend (HUBxSPG)" u="1"/>
        <s v="No431 - Double Street Sanitary Tee (SPGxHUBxHUBxHUB)" u="1"/>
        <s v="No447 - Horizontal Twin Tee" u="1"/>
        <s v="No449 - Sanitary Tee w L Inlet" u="1"/>
        <s v="No504 - Reducing Combination Wye &amp; 45 (FAB)" u="1"/>
        <s v="No611S - Double Wye 45 w Side Inlet" u="1"/>
        <s v="No708X - P-Trap w Union &amp; Nut" u="1"/>
        <s v="No709X - P-Trap w Cleanout &amp; Union &amp; Nut" u="1"/>
        <s v="No711P - L.A. P-Trap w Union &amp; Nut (SJxHUB)" u="1"/>
        <s v="No711X - L.A. P-Trap w Union &amp; Nut (SJxHUB)" u="1"/>
        <s v="No720X - Drum Trap" u="1"/>
        <s v="2103 - Riser Extension (FPT x MPT)" u="1"/>
        <s v="2104 - Reducing Female Adapter (S x FPT)" u="1"/>
        <s v="2700 - HVAC Condensate P-Trap (SPG)" u="1"/>
        <s v="Pipe - Hard Copper DWV (PE x PE)" u="1"/>
        <s v="Pipe - Hard Copper Type L (PE x PE)" u="1"/>
        <s v="Series 31H - Gear Butterfly Valve Class 150-125 Lug (FLG)" u="1"/>
        <s v="Series 31H - Lever Handle Butterfly Valve Class 150-125 Lug (FLG)" u="1"/>
        <s v="Series 41 - Gear Butterfly Valve Class 150-125 Lug (FLG)" u="1"/>
        <s v="Series 41 - Lever Handle Butterfly Valve Class 150-125 Lug (FLG)" u="1"/>
        <s v="Series 43 - Gear Butterfly Valve Class 300-250 Lug (FLG)" u="1"/>
        <s v="Series 43 - Lever Handle Butterfly Valve Class 300-250 Lug (FLG)" u="1"/>
        <s v="45 Elbow (SW)" u="1"/>
        <s v="90 Elbow (SW)" u="1"/>
        <s v="Cap (SW)" u="1"/>
        <s v="Coupling (SW)" u="1"/>
        <s v="Cross (SW)" u="1"/>
        <s v="Half Coupling (SW)" u="1"/>
        <s v="Insert (SW)" u="1"/>
        <s v="Lateral (SW)" u="1"/>
        <s v="Reducing Coupling (SW)" u="1"/>
        <s v="Tee (SW)" u="1"/>
        <s v="Union (SW)" u="1"/>
        <s v="Sockolet (Reducing)" u="1"/>
        <s v="Sockolet (Size on Size)" u="1"/>
        <s v="Threadolet (Reducing)" u="1"/>
        <s v="Threadolet (Size on Size)" u="1"/>
        <s v="Circuit Setter Calibrated Balance Valve Class 125 FF (FLG)" u="1"/>
        <s v="Circuit Setter Calibrated Balance Valve Dial Knob (FPT)" u="1"/>
        <s v="Circuit Setter Calibrated Balance Valve Dial Knob Class 125 FF (FLG)" u="1"/>
        <s v="Model 107A High Capacity Air Vent (FPT)" u="1"/>
        <s v="Model 67 Air Vent (MPT)" u="1"/>
        <s v="Model 87 Air Vent (FPT)" u="1"/>
        <s v="Model 87 Air Vent (MPT)" u="1"/>
        <s v="Model 26 Vacuum Breaker (MPT)" u="1"/>
        <s v="161T - Wye Strainer (FPT)" u="1"/>
        <s v="163T-LF - Wye Strainer (FPT)" u="1"/>
        <s v="59-300 - Bronze Wye Strainer (C)" u="1"/>
        <s v="59-PR - Wye Strainer (P)" u="1"/>
        <s v="59LF-300 - Bronze Wye Strainer (C)" u="1"/>
        <s v="59LF-PR - Bronze Wye Strainer (P)" u="1"/>
        <s v="6P - Ball Valve Gear Class 125 FF (FLG)" u="1"/>
        <s v="6P - Ball Valve Lever Class 125 FF (FLG)" u="1"/>
        <s v="6PLF - Ball Valve Gear Class 125 FF (FLG)" u="1"/>
        <s v="6PLF - Ball Valve Lever Class 125 FF (FLG)" u="1"/>
        <s v="70-200 - Ball Valve (C)" u="1"/>
        <s v="70-200-HC - Ball Valve (C x HC)" u="1"/>
        <s v="70LF-200 - Ball Valve (C)" u="1"/>
        <s v="72-100 - Ball Valve (FPT)" u="1"/>
        <s v="77-100 - Full Port Ball Valve w Mounting Pad (FPT)" u="1"/>
        <s v="77C-A - Ball Valve w Stem Extension (C)" u="1"/>
        <s v="77FLF-200 - Ball Valve (C)" u="1"/>
        <s v="77V-LF - Ball Valve (P)" u="1"/>
        <s v="77W-A-50 - Ball Valve w Locking Extension (P)" u="1"/>
        <s v="77W-A-HC - Ball Valve (P x HC)" u="1"/>
        <s v="77WCLF-100 - Ball Valve (P)" u="1"/>
        <s v="77WCLF-140-HC - Ball Valve (P x HC)" u="1"/>
        <s v="77WLF-100 - Ball Valve (P)" u="1"/>
        <s v="77WLF-A - Ball Valve (P)" u="1"/>
        <s v="82-200 - Ball Valve (C)" u="1"/>
        <s v="82-240 - Ball Valve (C)" u="1"/>
        <s v="82-240-K2 - Ball Valve (C)" u="1"/>
        <s v="82A-240 - Ball Valve (C)" u="1"/>
        <s v="82A-240 - Ball Valve w Special Male Brazed Extensions (BRZ)" u="1"/>
        <s v="82LF-100 - Ball Valve (FPT)" u="1"/>
        <s v="82LF-140 - Ball Valve (FPT)" u="1"/>
        <s v="84B-240 - Ball Valve 3-Piece Standard Port (SW)" u="1"/>
        <s v="87A-100 - Ball Valve Class 150 RF (FLG)" u="1"/>
        <s v="LD145 - Gear Butterfly Valve Class 150-125 Lug (FLG)" u="1"/>
        <s v="LD145 - Lever Butterfly Valve Class 150-125 Lug (FLG)" u="1"/>
        <s v="WD145 - Gear Butterfly Valve Class 150-125 Wafer (FLG)" u="1"/>
        <s v="WD145 - Lever Butterfly Valve Class 150-125 Wafer (FLG)" u="1"/>
        <s v="163S-LF - Check Valve (C)" u="1"/>
        <s v="61LF - In-Line Check Valve (P)" u="1"/>
        <s v="910F-LF - Swing Check Valve Class 125 FF (FLG)" u="1"/>
        <s v="910F-LFA - Swing Check Valve Class 125 FF (FLG)" u="1"/>
        <s v="610F - Gate Valve Class 125 FF (FLG)" u="1"/>
        <s v="611F - Gate Valve Class 125 FF (FLG)" u="1"/>
        <s v="120T-PRLF - Globe Valve (P)" u="1"/>
        <s v="60B-100 - Globe Valve (FPT)" u="1"/>
        <s v="Anvilets - Sockolet 3000lb (SW)" u="1"/>
        <s v="Anvilets - Sockolet 6000lb (SW)" u="1"/>
        <s v="Anvilets - Threadolet 6000lb (FPT)" u="1"/>
        <s v="Anvilets - Weldolet Schedule 160 (BW)" u="1"/>
        <s v="Anvilets - Weldolet XS (BW)" u="1"/>
        <s v="Anvilets - Weldolet XXS (BW)" u="1"/>
        <s v="Nipple - Fig 320 Seamless Carbon Steel Schedule 40 (MPT x MPT)" u="1"/>
        <s v="Nipple - Fig 325 Seamless Carbon Steel Schedule 80 (MPT x MPT)" u="1"/>
        <s v="Nipple - Fig 326 Seamless Carbon Steel Schedule 160 (MPT x MPT)" u="1"/>
        <s v="Nipple - Fig 327 Seamless Carbon Steel XXH (MPT x MPT)" u="1"/>
        <s v="Nipple - Fig 338 Welded Carbon Steel Schedule 80 (MPT x MPT)" u="1"/>
        <s v="Nipple - Fig 339 Welded Carbon Steel Schedule 40 (MPT x MPT)" u="1"/>
        <s v="Fig 390 - Square Countersunk Plug" u="1"/>
        <s v="Fig 385 - Face Bushing" u="1"/>
        <s v="Fig 1167 - Reducer" u="1"/>
        <s v="Fig 1164R - Reducing Tee" u="1"/>
        <s v="Fig 1125 - Reducer" u="1"/>
        <s v="Fig 1105R - Reducing Tee" u="1"/>
        <s v="Fig 1105R - Reducing Tee (Bullnose)" u="1"/>
        <s v="Fig 1102 - 45 Elbow" u="1"/>
        <s v="Fig 1101R - 90 Reducing Elbow" u="1"/>
        <s v="Fig 1103 - 90 Street Elbow (FPT x MPT)" u="1"/>
        <s v="Fig 1103R - 90 Street Elbow Reducing (FPT x MPT)" u="1"/>
        <s v="Fig 1104 - 45 Street Elbow (FPT x MPT)" u="1"/>
        <s v="Fig 1106 - Street Tee (MPT x FPT x FPT)" u="1"/>
        <s v="Fig 1107 - Cross" u="1"/>
        <s v="Fig 1108 - 45 Lateral" u="1"/>
        <s v="Fig 1119 - Return Bend (RH)" u="1"/>
        <s v="Fig 1121 - Coupling" u="1"/>
        <s v="Fig 1124 - Cap" u="1"/>
        <s v="Fig 1125 - Reducer (No Band)" u="1"/>
        <s v="Fig 1138 - Extension Piece" u="1"/>
        <s v="Fig 383 - Hex Bushing (Inside)" u="1"/>
        <s v="Fig 383 - Hex Bushing (Outside)" u="1"/>
        <s v="Fig 463 - Class 150 Union" u="1"/>
        <s v="Fig 554 - Class 250 Union" u="1"/>
        <s v="Fig 1160 - 45 Street Elbow" u="1"/>
        <s v="Fig 1161 - 90 Elbow Straight" u="1"/>
        <s v="Fig 1161R - 90 Reducing Elbow" u="1"/>
        <s v="Fig 1162 - 45 Elbow" u="1"/>
        <s v="Fig 1163 - Cap" u="1"/>
        <s v="Fig 1164 - Straight Tee" u="1"/>
        <s v="Fig 1165 - Cross" u="1"/>
        <s v="Fig 1166 - Coupling" u="1"/>
        <s v="Fig 1170 - 90 Street Elbow" u="1"/>
        <s v="Fig 459 - Class 300 Union" u="1"/>
        <s v="Fig 551 - Class 300 Union (MPT x FPT)" u="1"/>
        <s v="Fig 552 - Class 300 90 Elbow Female Union" u="1"/>
        <s v="Fig 832 - Dart Union" u="1"/>
        <s v="Fig J-3300 - Union Class 300" u="1"/>
        <s v="Fig 1106R - Street Tee Reducing (MPT x FPT x FPT)" u="1"/>
        <s v="Fig 1164R - Reducing Tee (Bullnose)" u="1"/>
        <s v="Fig 2179 - Class 3000 Type 2 Reducer Insert" u="1"/>
        <s v="Fig 2156 - Reducing Coupling" u="1"/>
        <s v="Fig 2126 - Class 3000 Socket Weld Union" u="1"/>
        <s v="Fig 2150 - 90 Elbow" u="1"/>
        <s v="Fig 2151 - 45 Elbow" u="1"/>
        <s v="Fig 2152 - Tee" u="1"/>
        <s v="Fig 2153 - Cross" u="1"/>
        <s v="Fig 2154 - Coupling" u="1"/>
        <s v="Fig 2155 - Half Coupling" u="1"/>
        <s v="Fig 2157 - Pipe Cap" u="1"/>
        <s v="Fig 2158 - Lateral" u="1"/>
        <s v="Fig 2159 - Class 3000 Type 1 Reducer Insert" u="1"/>
        <s v="Fig 2111 - 90 Elbow" u="1"/>
        <s v="Fig 2112 - 45 Elbow" u="1"/>
        <s v="Fig 2113 - 90 Street Elbow (FPT x MPT)" u="1"/>
        <s v="Fig 2114 - Tee" u="1"/>
        <s v="Fig 2115 - Cross" u="1"/>
        <s v="Fig 2116 - Lateral" u="1"/>
        <s v="Fig 2117 - Coupling" u="1"/>
        <s v="Fig 2118 - Reducing Coupling" u="1"/>
        <s v="Fig 2119 - Half Coupling" u="1"/>
        <s v="Fig 2120 - Pipe Cap" u="1"/>
        <s v="Fig 351 - 90 Elbow" u="1"/>
        <s v="Fig 352 - 90 Elbow Reducing" u="1"/>
        <s v="Fig 356 - 45 Elbow" u="1"/>
        <s v="Fig 356A - 22.5 Elbow" u="1"/>
        <s v="Fig 358 - Tee" u="1"/>
        <s v="Fig 359 - Tee Reducing (Bullnose)" u="1"/>
        <s v="Fig 359 - Tee Reducing" u="1"/>
        <s v="Fig 360 - Cross" u="1"/>
        <s v="Fig 361 - Cross Reducing" u="1"/>
        <s v="Fig 367 - Concentric Reducer (Hex)" u="1"/>
        <s v="Fig 367 - Concentric Reducer" u="1"/>
        <s v="Fig 368 - Eccentric Reducer" u="1"/>
        <s v="Fig 371 - 90 Elbow (FLG x FPT)" u="1"/>
        <s v="Fig 381 - Cap" u="1"/>
        <s v="Fig 390 - Countersunk Plug" u="1"/>
        <s v="Fig 421 - 90 Elbow" u="1"/>
        <s v="Fig 424 - 45 Elbow" u="1"/>
        <s v="Fig 425 - Tee" u="1"/>
        <s v="Fig 426 - Reducing Tee" u="1"/>
        <s v="Fig 356R - 45 Elbow Reducing" u="1"/>
        <s v="Fig 366 - Screwed Hex Coupling" u="1"/>
        <s v="SD 4000 Coupling" u="1"/>
        <s v="Pipe - BPE Stainless Steel 316L Tri-Clover Ultra Pure Tube (OW x OW)" u="1"/>
        <s v="40MO-G - Tri-Clamp Gasket" u="1"/>
        <s v="40MO-SFY - Tri-Clamp Gasket" u="1"/>
        <s v="40MO-U - Tri-Clamp Gasket" u="1"/>
        <s v="40MOF-E - Tri-Clamp Gasket" u="1"/>
        <s v="40MOF-SFY - Tri-Clamp Gasket" u="1"/>
        <s v="40MOF-U - Tri-Clamp Gasket" u="1"/>
        <s v="40MOF-UW - Tri-Clamp Gasket" u="1"/>
        <s v="40MOF-X - Tri-Clamp Gasket" u="1"/>
        <s v="40MP-E - Tri-Clamp Gasket" u="1"/>
        <s v="40MP-G - Tri-Clamp Gasket" u="1"/>
        <s v="40MP-N - Tri-Clamp Gasket" u="1"/>
        <s v="40MP-SFY - Tri-Clamp Gasket" u="1"/>
        <s v="40MP-SFYW - Tri-Clamp Gasket" u="1"/>
        <s v="40MP-U - Tri-Clamp Gasket" u="1"/>
        <s v="40MP-UW - Tri-Clamp Gasket" u="1"/>
        <s v="40MP-X - Tri-Clamp Gasket" u="1"/>
        <s v="40MPF-E - Tri-Clamp Gasket" u="1"/>
        <s v="40MPF-SFY - Tri-Clamp Gasket" u="1"/>
        <s v="40MPF-U - Tri-Clamp Gasket" u="1"/>
        <s v="40MPF-UW - Tri-Clamp Gasket" u="1"/>
        <s v="40MPF-X - Tri-Clamp Gasket" u="1"/>
        <s v="42MP-E - Tri-Clamp Gasket" u="1"/>
        <s v="42MP-G - Tri-Clamp Gasket" u="1"/>
        <s v="42MP-SFY - Tri-Clamp Gasket" u="1"/>
        <s v="42MP-U - Tri-Clamp Gasket" u="1"/>
        <s v="42MP-X - Tri-Clamp Gasket" u="1"/>
        <s v="A40MP-GR - Tri-Clamp Gasket" u="1"/>
        <s v="13MHHM - Tri-Clamp (CLAMP)" u="1"/>
        <s v="13MHHS - Tri-Clamp (CLAMP)" u="1"/>
        <s v="14MPHR - Hose Adapter PL" u="1"/>
        <s v="14WMPS (3A) - Short Ferrule Type A (CLAMP x OW)" u="1"/>
        <s v="14WMPS (3A) - Short Ferrule Type B (CLAMP x OW)" u="1"/>
        <s v="16AMP (3A) - End Cap Type A (CLAMP x OW)" u="1"/>
        <s v="16AMP (3A) - End Cap Type B (CLAMP x OW)" u="1"/>
        <s v="21MP - Threaded Adapter PL (MPT)" u="1"/>
        <s v="22MP - Threaded Adapter PL (FPT)" u="1"/>
        <s v="A12MPS - Swivel Joint (CLAMP)" u="1"/>
        <s v="A13MHM - Tri-Clamp (CLAMP)" u="1"/>
        <s v="A13MHP - Tri-Clamp (CLAMP)" u="1"/>
        <s v="B16W - End Cap PL (OW)" u="1"/>
        <s v="B2CMP (3A) - 90 Elbow PL (CLAMP)" u="1"/>
        <s v="B2CMW (3A) - 90 Elbow PL (OW x CLAMP)" u="1"/>
        <s v="B2KMP (3A) - 45 Elbow PL (CLAMP)" u="1"/>
        <s v="B2KMW (3A) - 45 Elbow PL (OW x CLAMP)" u="1"/>
        <s v="B2KS (3A) - 45 Elbow PL (OW)" u="1"/>
        <s v="B2S (3A) - 90 Elbow PL (OW)" u="1"/>
        <s v="B2UMPBOA (3A) - 180 Bend PL (OW x CLAMP)" u="1"/>
        <s v="B31 - Concentric Reducer PL (OW)" u="1"/>
        <s v="B31-14MP (3A) - Concentric Reducer PL (CLAMP)" u="1"/>
        <s v="B31MS - Concentric Reducer PL (CLAMP x OW)" u="1"/>
        <s v="B31S - Concentric Reducer PL (OW)" u="1"/>
        <s v="B31S-14MP - Concentric Reducer PL (CLAMP)" u="1"/>
        <s v="B31SMS - Concentric Reducer PL (CLAMP x OW)" u="1"/>
        <s v="B32 - Eccentric Reducer PL (OW)" u="1"/>
        <s v="B32-14MP - Eccentric Reducer PL (CLAMP)" u="1"/>
        <s v="B32M - Eccentric Reducer PL (CLAMP x OW)" u="1"/>
        <s v="B32MS - Eccentric Reducer PL (CLAMP x OW)" u="1"/>
        <s v="B32S - Eccentric Reducer PL (OW)" u="1"/>
        <s v="B32S-14MP - Eccentric Reducer PL (CLAMP)" u="1"/>
        <s v="B7IMPS (3A) - Instrument Tee PL (CLAMP)" u="1"/>
        <s v="B7IWWMS (3A) - Instrument Tee PL (OW x CLAMP)" u="1"/>
        <s v="B7MP (3A) - Tee PL (CLAMP)" u="1"/>
        <s v="B7MPS (3A) - Tee PL (CLAMP)" u="1"/>
        <s v="B7RMP (3A) - Reducing Tee PL (CLAMP)" u="1"/>
        <s v="B7RMPS (3A) - Reducing Tee PL (CLAMP)" u="1"/>
        <s v="B7RWWM (3A) - Reducing Tee PL (OW x CLAMP)" u="1"/>
        <s v="B7RWWMS (3A) - Reducing Tee PL (OW x CLAMP)" u="1"/>
        <s v="B7RWWW (3A) - Reducing Tee PL (OW)" u="1"/>
        <s v="B7WMSW (3A) - Tee PL (OW x CLAMP)" u="1"/>
        <s v="B7WWM (3A) - Tee PL (OW x CLAMP)" u="1"/>
        <s v="B7WWMS (3A) - Tee PL (OW x CLAMP)" u="1"/>
        <s v="B7WWW (3A) - Tee PL (OW)" u="1"/>
        <s v="B9MP (3A) - Cross PL (CLAMP)" u="1"/>
        <s v="B9RWWWW (3A) - Reducing Cross PL (OW)" u="1"/>
        <s v="B9WWWW (3A) - Cross PL (OW)" u="1"/>
        <s v="BS14AM (3A) - Ferrule Type A (CLAMP x OW)" u="1"/>
        <s v="BS14AM (3A) - Ferrule Type B (CLAMP x OW)" u="1"/>
        <s v="L14AM (3A) - Ferrule Type A (CLAMP x OW)" u="1"/>
        <s v="L14AM (3A) - Ferrule Type B (CLAMP x OW)" u="1"/>
        <s v="40MHP-E - Tri-Clamp Gasket" u="1"/>
        <s v="40MHP-SFY - Tri-Clamp Gasket" u="1"/>
        <s v="40MO-E - Tri-Clamp Gasket" u="1"/>
        <s v="40MO-UW - Tri-Clamp Gasket" u="1"/>
        <s v="A40MO-GR - Tri-Clamp Gasket" u="1"/>
        <s v="B3100 - Standard Clevis Hanger (Electro-Galvanized)" u="1"/>
        <s v="B3100C - Standard Clevis Hanger (Plastic Coated)" u="1"/>
        <s v="B3108 - Extended Clevis Hanger (Electro-Galvanized)" u="1"/>
        <s v="B3140 - Standard Pipe Clamp" u="1"/>
        <s v="B3373 - Standard Riser Clamp" u="1"/>
        <s v="Fig 200 Adjustable Clevis Hanger Carbon Steel (Black)" u="1"/>
        <s v="Fig 200 Adjustable Clevis Hanger Carbon Steel (Copper)" u="1"/>
        <s v="Fig 200 Adjustable Clevis Hanger Carbon Steel (Electro-Galvanized)" u="1"/>
        <s v="Fig 200 Adjustable Clevis Hanger Carbon Steel (PVC)" u="1"/>
        <s v="Fig 200 Adjustable Clevis Hanger Stainless Steel 304 (Black)" u="1"/>
        <s v="Fig 200 Adjustable Clevis Hanger Stainless Steel 304 (Copper)" u="1"/>
        <s v="Fig 200 Adjustable Clevis Hanger Stainless Steel 304 (Electro-Galvanized)" u="1"/>
        <s v="Fig 200 Adjustable Clevis Hanger Stainless Steel 316 (Black)" u="1"/>
        <s v="Fig 200 Adjustable Clevis Hanger Stainless Steel 316 (Copper)" u="1"/>
        <s v="Fig 200 Adjustable Clevis Hanger Stainless Steel 316 (Electro-Galvanized)" u="1"/>
        <s v="Fig 220 Clevis Hanger w Welded Shield Carbon Steel (Black)" u="1"/>
        <s v="Fig 220 Clevis Hanger w Welded Shield Carbon Steel (Electro-Galvanized)" u="1"/>
        <s v="Fig 220 Clevis Hanger w Welded Shield Stainless Steel 304 (Black)" u="1"/>
        <s v="Fig 220 Clevis Hanger w Welded Shield Stainless Steel 304 (Electro-Galvanized)" u="1"/>
        <s v="Fig 220 Clevis Hanger w Welded Shield Stainless Steel 316 (Black)" u="1"/>
        <s v="Fig 220 Clevis Hanger w Welded Shield Stainless Steel 316 (Electro-Galvanized)" u="1"/>
        <s v="Fig 230 V-Bottom Adjustable Clevis Hanger Carbon Steel (Electro-Galvanized)" u="1"/>
        <s v="Fig 300 Pipe Covering Protection Shield Carbon Steel (Pre-Galvanized)" u="1"/>
        <s v="Fig 300 Pipe Covering Protection Shield Stainless Steel 304 (Pre-Galvanized)" u="1"/>
        <s v="Fig 300 Pipe Covering Protection Shield Stainless Steel 316 (Pre-Galvanized)" u="1"/>
        <s v="Fig 250 Adjustable Roller Hanger Carbon Steel (Black)" u="1"/>
        <s v="Fig 250 Adjustable Roller Hanger Carbon Steel (Electro-Galvanized)" u="1"/>
        <s v="Fig 250 Adjustable Roller Hanger Stainless Steel 304 (Black)" u="1"/>
        <s v="Fig 250 Adjustable Roller Hanger Stainless Steel 304 (Electro-Galvanized)" u="1"/>
        <s v="Fig 250 Adjustable Roller Hanger Stainless Steel 316 (Black)" u="1"/>
        <s v="Fig 250 Adjustable Roller Hanger Stainless Steel 316 (Electro-Galvanized)" u="1"/>
        <s v="Fig 260 Adjustable Two-Rod Roller Hanger Carbon Steel (Black)" u="1"/>
        <s v="Fig 260 Adjustable Two-Rod Roller Hanger Carbon Steel (Electro-Galvanized)" u="1"/>
        <s v="Fig 260 Adjustable Two-Rod Roller Hanger Stainless Steel 304 (Black)" u="1"/>
        <s v="Fig 260 Adjustable Two-Rod Roller Hanger Stainless Steel 304 (Electro-Galvanized)" u="1"/>
        <s v="Fig 260 Adjustable Two-Rod Roller Hanger Stainless Steel 316 (Black)" u="1"/>
        <s v="Fig 260 Adjustable Two-Rod Roller Hanger Stainless Steel 316 (Electro-Galvanized)" u="1"/>
        <s v="Fig 100 Split Ring Extension Hanger Malleable Iron (Black)" u="1"/>
        <s v="Fig 100 Split Ring Extension Hanger Malleable Iron (Copper)" u="1"/>
        <s v="Fig 100 Split Ring Extension Hanger Malleable Iron (Electro-Galvanized)" u="1"/>
        <s v="Fig 100 Split Ring Extension Hanger Stainless Steel 304 (Black)" u="1"/>
        <s v="Fig 100 Split Ring Extension Hanger Stainless Steel 304 (Copper)" u="1"/>
        <s v="Fig 100 Split Ring Extension Hanger Stainless Steel 304 (Electro-Galvanized)" u="1"/>
        <s v="Threaded Rod - 3/8" u="1"/>
        <s v="Threaded Rod - 1/2" u="1"/>
        <s v="Threaded Rod - 5/8" u="1"/>
        <s v="Threaded Rod - 3/4" u="1"/>
        <s v="Threaded Rod - 1-1/4" u="1"/>
        <s v="Threaded Rod - 1" u="1"/>
        <s v="Brazed Joint (Pulled Tee - T-Drill)" u="1"/>
        <s v="Polypropylene Socket Fusion" u="1"/>
        <s v="PVDF Socket Fusion" u="1"/>
        <s v="Cap Screw Set - 125lb (LPBFV)" u="1"/>
        <s v="Cap Screw Set - 125lb (Lug)" u="1"/>
        <s v="Cap Screw Set - 150lb (Lug)" u="1"/>
        <s v="Cap Screw Set - 250lb (LPBFV)" u="1"/>
        <s v="Cap Screw Set - 250lb (Lug)" u="1"/>
        <s v="Cap Screw Set - 300lb (LPBFV)" u="1"/>
        <s v="Dielectric Flange Kit Flat Face - 125lb" u="1"/>
        <s v="Dielectric Flange Kit Flat Face - 250lb" u="1"/>
        <s v="Dielectric Flange Kit Raised Face - 150lb" u="1"/>
        <s v="Dielectric Flange Kit Raised Face - 300lb" u="1"/>
        <s v="Full Face Gasket - Aramid Fibers 150lb (Valve to Valve)" u="1"/>
        <s v="Full Face Gasket - Aramid Fibers 150lb" u="1"/>
        <s v="Full Face Gasket - Aramid Fibers 300lb (Valve to Valve)" u="1"/>
        <s v="Full Face Gasket - Aramid Fibers 300lb" u="1"/>
        <s v="Full Face Gasket - Red Rubber 150lb (Valve to Valve)" u="1"/>
        <s v="Full Face Gasket - Red Rubber 150lb" u="1"/>
        <s v="Full Face Gasket - Red Rubber 300lb (Valve to Valve)" u="1"/>
        <s v="Full Face Gasket - Red Rubber 300lb" u="1"/>
        <s v="Mechanical Joint Gasket" u="1"/>
        <s v="Ring Gasket - Aramid Fibers 150lb (Valve to Valve)" u="1"/>
        <s v="Ring Gasket - Aramid Fibers 150lb to 125lb (Valve to Valve)" u="1"/>
        <s v="Ring Gasket - Aramid Fibers 150lb" u="1"/>
        <s v="Ring Gasket - Aramid Fibers 300lb (Valve to Valve)" u="1"/>
        <s v="Ring Gasket - Aramid Fibers 300lb to 250lb (Valve to Valve)" u="1"/>
        <s v="Ring Gasket - Aramid Fibers 300lb" u="1"/>
        <s v="Ring Gasket - Red Rubber 150lb (Valve to Valve)" u="1"/>
        <s v="Ring Gasket - Red Rubber 150lb to 125lb (Valve to Valve)" u="1"/>
        <s v="Ring Gasket - Red Rubber 150lb" u="1"/>
        <s v="Ring Gasket - Red Rubber 300lb (Valve to Valve)" u="1"/>
        <s v="Ring Gasket - Red Rubber 300lb to 250lb (Valve to Valve)" u="1"/>
        <s v="Ring Gasket - Red Rubber 300lb" u="1"/>
        <s v="Spiral Wound Gasket Flat Face - Flexible Graphite 125lb (Valve to Valve)" u="1"/>
        <s v="Spiral Wound Gasket Flat Face - Flexible Graphite 125lb" u="1"/>
        <s v="Spiral Wound Gasket Flat Face - Flexible Graphite 250lb (Valve to Valve)" u="1"/>
        <s v="Spiral Wound Gasket Flat Face - Flexible Graphite 250lb" u="1"/>
        <s v="Spiral Wound Gasket Raised Face - Flexible Graphite 150lb (Valve to Valve)" u="1"/>
        <s v="Spiral Wound Gasket Raised Face - Flexible Graphite 150lb to 125lb (Valve to Valve)" u="1"/>
        <s v="Spiral Wound Gasket Raised Face - Flexible Graphite 150lb" u="1"/>
        <s v="Spiral Wound Gasket Raised Face - Flexible Graphite 300lb (Valve to Valve)" u="1"/>
        <s v="Spiral Wound Gasket Raised Face - Flexible Graphite 300lb to 250lb (Valve to Valve)" u="1"/>
        <s v="Spiral Wound Gasket Raised Face - Flexible Graphite 300lb" u="1"/>
        <s v="Stud Bolt Set Flat Face - 125lb (Back to Back)" u="1"/>
        <s v="Stud Bolt Set Flat Face - 125lb" u="1"/>
        <s v="Stud Bolt Set Flat Face - 250lb (Back to Back)" u="1"/>
        <s v="Stud Bolt Set Flat Face - 250lb" u="1"/>
        <s v="Stud Bolt Set Raised Face - 150lb (Back to Back)" u="1"/>
        <s v="Stud Bolt Set Raised Face - 150lb" u="1"/>
        <s v="Stud Bolt Set Raised Face - 300lb (Back to Back)" u="1"/>
        <s v="Stud Bolt Set Raised Face - 300lb" u="1"/>
        <s v="Service Weight Gasket (SV x NH)" u="1"/>
        <s v="Service Weight Gasket" u="1"/>
        <s v="ACR Joint" u="1"/>
        <s v="CPVC DWV Solvent Joint" u="1"/>
        <s v="CPVC Pressure Solvent Joint" u="1"/>
        <s v="PVC DWV Schedule 40 Solvent Joint" u="1"/>
        <s v="PVC DWV Schedule 80 Solvent Joint" u="1"/>
        <s v="PVC Pressure Schedule 80 Solvent Joint" u="1"/>
        <s v="Carbon Steel Field Weld - Double Extra Heavy" u="1"/>
        <s v="Carbon Steel Field Weld - Extra Heavy" u="1"/>
        <s v="Carbon Steel Field Weld - Schedule 160" u="1"/>
        <s v="Carbon Steel Field Weld - Schedule 40" u="1"/>
        <s v="Carbon Steel Field Weld - Schedule 80" u="1"/>
        <s v="Carbon Steel Field Weld - Standard" u="1"/>
        <s v="Carbon Steel Shop Weld - Double Extra Heavy" u="1"/>
        <s v="Carbon Steel Shop Weld - Extra Heavy" u="1"/>
        <s v="Carbon Steel Shop Weld - Schedule 160" u="1"/>
        <s v="Carbon Steel Shop Weld - Schedule 40" u="1"/>
        <s v="Carbon Steel Shop Weld - Schedule 80" u="1"/>
        <s v="Carbon Steel Socket Weld - 3000lb (1/16&quot;)" u="1"/>
        <s v="Carbon Steel Socket Weld - 3000lb (1/8&quot;)" u="1"/>
        <s v="Carbon Steel Socket Weld - 6000lb (1/16&quot;)" u="1"/>
        <s v="Carbon Steel Socket Weld - 6000lb (1/8&quot;)" u="1"/>
        <s v="Carbon Steel Socket Weld - 9000lb (1/16&quot;)" u="1"/>
        <s v="Carbon Steel Socket Weld - 9000lb (1/8&quot;)" u="1"/>
        <s v="Stainless Steel 304L Field Weld - Schedule 160S" u="1"/>
        <s v="Stainless Steel 304L Field Weld - Schedule 40S" u="1"/>
        <s v="Stainless Steel 304L Field Weld - Schedule 80S" u="1"/>
        <s v="Stainless Steel 304L Field Weld - Standard" u="1"/>
        <s v="Stainless Steel 304L Shop Weld - Schedule 160S" u="1"/>
        <s v="Stainless Steel 304L Shop Weld - Schedule 40S" u="1"/>
        <s v="Stainless Steel 304L Shop Weld - Schedule 80S" u="1"/>
        <s v="Stainless Steel 304L Shop Weld - Standard" u="1"/>
        <s v="Stainless Steel 304L Orbital Weld" u="1"/>
        <s v="Stainless Steel 304L Socket Weld - 3000lb (1/16&quot;)" u="1"/>
        <s v="Stainless Steel 304L Socket Weld - 3000lb (1/8&quot;)" u="1"/>
        <s v="Stainless Steel 304L Socket Weld - 6000lb (1/16&quot;)" u="1"/>
        <s v="Stainless Steel 304L Socket Weld - 6000lb (1/8&quot;)" u="1"/>
        <s v="Stainless Steel 304L Socket Weld - 9000lb (1/16&quot;)" u="1"/>
        <s v="Stainless Steel 304L Socket Weld - 9000lb (1/8&quot;)" u="1"/>
        <s v="Stainless Steel 316L Field Weld - Schedule 160S" u="1"/>
        <s v="Stainless Steel 316L Field Weld - Schedule 40S" u="1"/>
        <s v="Stainless Steel 316L Field Weld - Schedule 80S" u="1"/>
        <s v="Stainless Steel 316L Field Weld - Standard" u="1"/>
        <s v="Stainless Steel 316L Shop Weld - Schedule 160S" u="1"/>
        <s v="Stainless Steel 316L Shop Weld - Schedule 40S" u="1"/>
        <s v="Stainless Steel 316L Shop Weld - Schedule 80S" u="1"/>
        <s v="Stainless Steel 316L Shop Weld - Standard" u="1"/>
        <s v="Stainless Steel 316L Orbital Weld" u="1"/>
        <s v="Stainless Steel 316L Socket Weld - 3000lb (1/16&quot;)" u="1"/>
        <s v="Stainless Steel 316L Socket Weld - 3000lb (1/8&quot;)" u="1"/>
        <s v="Stainless Steel 316L Socket Weld - 6000lb (1/16&quot;)" u="1"/>
        <s v="Stainless Steel 316L Socket Weld - 6000lb (1/8&quot;)" u="1"/>
        <s v="Stainless Steel 316L Socket Weld - 9000lb (1/16&quot;)" u="1"/>
        <s v="Stainless Steel 316L Socket Weld - 9000lb (1/8&quot;)" u="1"/>
        <s v="Pipe - A106 Grade A Seamless Carbon Steel Domestic Schedule 40 Black (BE x BE)" u="1"/>
        <s v="Pipe - A106 Grade A Seamless Carbon Steel Domestic Schedule 40 Black (BE x GRV)" u="1"/>
        <s v="Pipe - A106 Grade A Seamless Carbon Steel Domestic Schedule 40 Black (GRV x GRV)" u="1"/>
        <s v="Pipe - A106 Grade A Seamless Carbon Steel Domestic Schedule 40 Black (MPT x MPT)" u="1"/>
        <s v="Pipe - A106 Grade A Seamless Carbon Steel Domestic Schedule 40 Black (PE x GRV)" u="1"/>
        <s v="Pipe - A106 Grade A Seamless Carbon Steel Domestic Schedule 40 Black (PE x PE)" u="1"/>
        <s v="Pipe - A106 Grade A Seamless Carbon Steel Domestic Schedule 80 Black (BE x BE)" u="1"/>
        <s v="Pipe - A106 Grade A Seamless Carbon Steel Domestic Schedule 80 Black (BE x GRV)" u="1"/>
        <s v="Pipe - A106 Grade A Seamless Carbon Steel Domestic Schedule 80 Black (GRV x GRV)" u="1"/>
        <s v="Pipe - A106 Grade A Seamless Carbon Steel Domestic Schedule 80 Black (MPT x MPT)" u="1"/>
        <s v="Pipe - A106 Grade A Seamless Carbon Steel Domestic Schedule 80 Black (PE x GRV)" u="1"/>
        <s v="Pipe - A106 Grade A Seamless Carbon Steel Domestic Schedule 80 Black (PE x PE)" u="1"/>
        <s v="Pipe - A106 Grade A Seamless Carbon Steel Domestic Schedule STD Black (BE x BE)" u="1"/>
        <s v="Pipe - A106 Grade A Seamless Carbon Steel Domestic Schedule STD Black (BE x GRV)" u="1"/>
        <s v="Pipe - A106 Grade A Seamless Carbon Steel Domestic Schedule STD Black (GRV x GRV)" u="1"/>
        <s v="Pipe - A106 Grade A Seamless Carbon Steel Domestic Schedule STD Black (MPT x MPT)" u="1"/>
        <s v="Pipe - A106 Grade A Seamless Carbon Steel Domestic Schedule STD Black (PE x GRV)" u="1"/>
        <s v="Pipe - A106 Grade A Seamless Carbon Steel Domestic Schedule STD Black (PE x PE)" u="1"/>
        <s v="Pipe - A106 Grade A Seamless Carbon Steel Domestic Schedule XH Black (BE x BE)" u="1"/>
        <s v="Pipe - A106 Grade A Seamless Carbon Steel Domestic Schedule XH Black (BE x GRV)" u="1"/>
        <s v="Pipe - A106 Grade A Seamless Carbon Steel Domestic Schedule XH Black (GRV x GRV)" u="1"/>
        <s v="Pipe - A106 Grade A Seamless Carbon Steel Domestic Schedule XH Black (MPT x MPT)" u="1"/>
        <s v="Pipe - A106 Grade A Seamless Carbon Steel Domestic Schedule XH Black (PE x GRV)" u="1"/>
        <s v="Pipe - A106 Grade A Seamless Carbon Steel Domestic Schedule XH Black (PE x PE)" u="1"/>
        <s v="Pipe - A106 Grade B Seamless Carbon Steel Domestic Schedule 40 Black (BE x BE)" u="1"/>
        <s v="Pipe - A106 Grade B Seamless Carbon Steel Domestic Schedule 40 Black (BE x GRV)" u="1"/>
        <s v="Pipe - A106 Grade B Seamless Carbon Steel Domestic Schedule 40 Black (GRV x GRV)" u="1"/>
        <s v="Pipe - A106 Grade B Seamless Carbon Steel Domestic Schedule 40 Black (MPT x MPT)" u="1"/>
        <s v="Pipe - A106 Grade B Seamless Carbon Steel Domestic Schedule 40 Black (PE x GRV)" u="1"/>
        <s v="Pipe - A106 Grade B Seamless Carbon Steel Domestic Schedule 40 Black (PE x PE)" u="1"/>
        <s v="Pipe - A106 Grade B Seamless Carbon Steel Domestic Schedule 80 Black (BE x BE)" u="1"/>
        <s v="Pipe - A106 Grade B Seamless Carbon Steel Domestic Schedule 80 Black (BE x GRV)" u="1"/>
        <s v="Pipe - A106 Grade B Seamless Carbon Steel Domestic Schedule 80 Black (GRV x GRV)" u="1"/>
        <s v="Pipe - A106 Grade B Seamless Carbon Steel Domestic Schedule 80 Black (MPT x MPT)" u="1"/>
        <s v="Pipe - A106 Grade B Seamless Carbon Steel Domestic Schedule 80 Black (PE x GRV)" u="1"/>
        <s v="Pipe - A106 Grade B Seamless Carbon Steel Domestic Schedule 80 Black (PE x PE)" u="1"/>
        <s v="Pipe - A106 Grade B Seamless Carbon Steel Domestic Schedule STD Black (BE x BE)" u="1"/>
        <s v="Pipe - A106 Grade B Seamless Carbon Steel Domestic Schedule STD Black (BE x GRV)" u="1"/>
        <s v="Pipe - A106 Grade B Seamless Carbon Steel Domestic Schedule STD Black (GRV x GRV)" u="1"/>
        <s v="Pipe - A106 Grade B Seamless Carbon Steel Domestic Schedule STD Black (MPT x MPT)" u="1"/>
        <s v="Pipe - A106 Grade B Seamless Carbon Steel Domestic Schedule STD Black (PE x GRV)" u="1"/>
        <s v="Pipe - A106 Grade B Seamless Carbon Steel Domestic Schedule STD Black (PE x PE)" u="1"/>
        <s v="Pipe - A106 Grade B Seamless Carbon Steel Domestic Schedule XH Black (BE x BE)" u="1"/>
        <s v="Pipe - A106 Grade B Seamless Carbon Steel Domestic Schedule XH Black (BE x GRV)" u="1"/>
        <s v="Pipe - A106 Grade B Seamless Carbon Steel Domestic Schedule XH Black (GRV x GRV)" u="1"/>
        <s v="Pipe - A106 Grade B Seamless Carbon Steel Domestic Schedule XH Black (MPT x MPT)" u="1"/>
        <s v="Pipe - A106 Grade B Seamless Carbon Steel Domestic Schedule XH Black (PE x GRV)" u="1"/>
        <s v="Pipe - A106 Grade B Seamless Carbon Steel Domestic Schedule XH Black (PE x PE)" u="1"/>
        <s v="Pipe - A106 Grade A ERW Carbon Steel Domestic Schedule 40 Black (BE x BE)" u="1"/>
        <s v="Pipe - A106 Grade A ERW Carbon Steel Domestic Schedule 40 Black (BE x GRV)" u="1"/>
        <s v="Pipe - A106 Grade A ERW Carbon Steel Domestic Schedule 40 Black (GRV x GRV)" u="1"/>
        <s v="Pipe - A106 Grade A ERW Carbon Steel Domestic Schedule 40 Black (MPT x MPT)" u="1"/>
        <s v="Pipe - A106 Grade A ERW Carbon Steel Domestic Schedule 40 Black (PE x GRV)" u="1"/>
        <s v="Pipe - A106 Grade A ERW Carbon Steel Domestic Schedule 40 Black (PE x PE)" u="1"/>
        <s v="Pipe - A106 Grade A ERW Carbon Steel Domestic Schedule 80 Black (BE x BE)" u="1"/>
        <s v="Pipe - A106 Grade A ERW Carbon Steel Domestic Schedule 80 Black (BE x GRV)" u="1"/>
        <s v="Pipe - A106 Grade A ERW Carbon Steel Domestic Schedule 80 Black (GRV x GRV)" u="1"/>
        <s v="Pipe - A106 Grade A ERW Carbon Steel Domestic Schedule 80 Black (MPT x MPT)" u="1"/>
        <s v="Pipe - A106 Grade A ERW Carbon Steel Domestic Schedule 80 Black (PE x GRV)" u="1"/>
        <s v="Pipe - A106 Grade A ERW Carbon Steel Domestic Schedule 80 Black (PE x PE)" u="1"/>
        <s v="Pipe - A106 Grade A ERW Carbon Steel Domestic Schedule STD Black (BE x BE)" u="1"/>
        <s v="Pipe - A106 Grade A ERW Carbon Steel Domestic Schedule STD Black (BE x GRV)" u="1"/>
        <s v="Pipe - A106 Grade A ERW Carbon Steel Domestic Schedule STD Black (GRV x GRV)" u="1"/>
        <s v="Pipe - A106 Grade A ERW Carbon Steel Domestic Schedule STD Black (MPT x MPT)" u="1"/>
        <s v="Pipe - A106 Grade A ERW Carbon Steel Domestic Schedule STD Black (PE x GRV)" u="1"/>
        <s v="Pipe - A106 Grade A ERW Carbon Steel Domestic Schedule STD Black (PE x PE)" u="1"/>
        <s v="Pipe - A106 Grade A ERW Carbon Steel Domestic Schedule XH Black (BE x BE)" u="1"/>
        <s v="Pipe - A106 Grade A ERW Carbon Steel Domestic Schedule XH Black (BE x GRV)" u="1"/>
        <s v="Pipe - A106 Grade A ERW Carbon Steel Domestic Schedule XH Black (GRV x GRV)" u="1"/>
        <s v="Pipe - A106 Grade A ERW Carbon Steel Domestic Schedule XH Black (MPT x MPT)" u="1"/>
        <s v="Pipe - A106 Grade A ERW Carbon Steel Domestic Schedule XH Black (PE x GRV)" u="1"/>
        <s v="Pipe - A106 Grade A ERW Carbon Steel Domestic Schedule XH Black (PE x PE)" u="1"/>
        <s v="Pipe - A106 Grade B ERW Carbon Steel Domestic Schedule 40 Black (BE x BE)" u="1"/>
        <s v="Pipe - A106 Grade B ERW Carbon Steel Domestic Schedule 40 Black (BE x GRV)" u="1"/>
        <s v="Pipe - A106 Grade B ERW Carbon Steel Domestic Schedule 40 Black (GRV x GRV)" u="1"/>
        <s v="Pipe - A106 Grade B ERW Carbon Steel Domestic Schedule 40 Black (MPT x MPT)" u="1"/>
        <s v="Pipe - A106 Grade B ERW Carbon Steel Domestic Schedule 40 Black (PE x GRV)" u="1"/>
        <s v="Pipe - A106 Grade B ERW Carbon Steel Domestic Schedule 40 Black (PE x PE)" u="1"/>
        <s v="Pipe - A106 Grade B ERW Carbon Steel Domestic Schedule 80 Black (BE x BE)" u="1"/>
        <s v="Pipe - A106 Grade B ERW Carbon Steel Domestic Schedule 80 Black (BE x GRV)" u="1"/>
        <s v="Pipe - A106 Grade B ERW Carbon Steel Domestic Schedule 80 Black (GRV x GRV)" u="1"/>
        <s v="Pipe - A106 Grade B ERW Carbon Steel Domestic Schedule 80 Black (MPT x MPT)" u="1"/>
        <s v="Pipe - A106 Grade B ERW Carbon Steel Domestic Schedule 80 Black (PE x GRV)" u="1"/>
        <s v="Pipe - A106 Grade B ERW Carbon Steel Domestic Schedule 80 Black (PE x PE)" u="1"/>
        <s v="Pipe - A106 Grade B ERW Carbon Steel Domestic Schedule STD Black (BE x BE)" u="1"/>
        <s v="Pipe - A106 Grade B ERW Carbon Steel Domestic Schedule STD Black (BE x GRV)" u="1"/>
        <s v="Pipe - A106 Grade B ERW Carbon Steel Domestic Schedule STD Black (GRV x GRV)" u="1"/>
        <s v="Pipe - A106 Grade B ERW Carbon Steel Domestic Schedule STD Black (MPT x MPT)" u="1"/>
        <s v="Pipe - A106 Grade B ERW Carbon Steel Domestic Schedule STD Black (PE x GRV)" u="1"/>
        <s v="Pipe - A106 Grade B ERW Carbon Steel Domestic Schedule STD Black (PE x PE)" u="1"/>
        <s v="Pipe - A106 Grade B ERW Carbon Steel Domestic Schedule XH Black (BE x BE)" u="1"/>
        <s v="Pipe - A106 Grade B ERW Carbon Steel Domestic Schedule XH Black (BE x GRV)" u="1"/>
        <s v="Pipe - A106 Grade B ERW Carbon Steel Domestic Schedule XH Black (GRV x GRV)" u="1"/>
        <s v="Pipe - A106 Grade B ERW Carbon Steel Domestic Schedule XH Black (MPT x MPT)" u="1"/>
        <s v="Pipe - A106 Grade B ERW Carbon Steel Domestic Schedule XH Black (PE x GRV)" u="1"/>
        <s v="Pipe - A106 Grade B ERW Carbon Steel Domestic Schedule XH Black (PE x PE)" u="1"/>
        <s v="Pipe - A53 Grade A Seamless Carbon Steel Domestic Schedule 40 Black (BE x BE)" u="1"/>
        <s v="Pipe - A53 Grade A Seamless Carbon Steel Domestic Schedule 40 Black (BE x GRV)" u="1"/>
        <s v="Pipe - A53 Grade A Seamless Carbon Steel Domestic Schedule 40 Black (GRV x GRV)" u="1"/>
        <s v="Pipe - A53 Grade A Seamless Carbon Steel Domestic Schedule 40 Black (MPT x MPT)" u="1"/>
        <s v="Pipe - A53 Grade A Seamless Carbon Steel Domestic Schedule 40 Black (PE x GRV)" u="1"/>
        <s v="Pipe - A53 Grade A Seamless Carbon Steel Domestic Schedule 40 Black (PE x PE)" u="1"/>
        <s v="Pipe - A53 Grade A Seamless Carbon Steel Domestic Schedule 80 Black (BE x BE)" u="1"/>
        <s v="Pipe - A53 Grade A Seamless Carbon Steel Domestic Schedule 80 Black (BE x GRV)" u="1"/>
        <s v="Pipe - A53 Grade A Seamless Carbon Steel Domestic Schedule 80 Black (GRV x GRV)" u="1"/>
        <s v="Pipe - A53 Grade A Seamless Carbon Steel Domestic Schedule 80 Black (MPT x MPT)" u="1"/>
        <s v="Pipe - A53 Grade A Seamless Carbon Steel Domestic Schedule 80 Black (PE x GRV)" u="1"/>
        <s v="Pipe - A53 Grade A Seamless Carbon Steel Domestic Schedule 80 Black (PE x PE)" u="1"/>
        <s v="Pipe - A53 Grade A Seamless Carbon Steel Domestic Schedule STD Black (BE x BE)" u="1"/>
        <s v="Pipe - A53 Grade A Seamless Carbon Steel Domestic Schedule STD Black (BE x GRV)" u="1"/>
        <s v="Pipe - A53 Grade A Seamless Carbon Steel Domestic Schedule STD Black (GRV x GRV)" u="1"/>
        <s v="Pipe - A53 Grade A Seamless Carbon Steel Domestic Schedule STD Black (MPT x MPT)" u="1"/>
        <s v="Pipe - A53 Grade A Seamless Carbon Steel Domestic Schedule STD Black (PE x GRV)" u="1"/>
        <s v="Pipe - A53 Grade A Seamless Carbon Steel Domestic Schedule STD Black (PE x PE)" u="1"/>
        <s v="Pipe - A53 Grade A Seamless Carbon Steel Domestic Schedule XH Black (BE x BE)" u="1"/>
        <s v="Pipe - A53 Grade A Seamless Carbon Steel Domestic Schedule XH Black (BE x GRV)" u="1"/>
        <s v="Pipe - A53 Grade A Seamless Carbon Steel Domestic Schedule XH Black (GRV x GRV)" u="1"/>
        <s v="Pipe - A53 Grade A Seamless Carbon Steel Domestic Schedule XH Black (MPT x MPT)" u="1"/>
        <s v="Pipe - A53 Grade A Seamless Carbon Steel Domestic Schedule XH Black (PE x GRV)" u="1"/>
        <s v="Pipe - A53 Grade A Seamless Carbon Steel Domestic Schedule XH Black (PE x PE)" u="1"/>
        <s v="Pipe - A53 Grade B Seamless Carbon Steel Domestic Schedule 40 Black (BE x BE)" u="1"/>
        <s v="Pipe - A53 Grade B Seamless Carbon Steel Domestic Schedule 40 Black (BE x GRV)" u="1"/>
        <s v="Pipe - A53 Grade B Seamless Carbon Steel Domestic Schedule 40 Black (GRV x GRV)" u="1"/>
        <s v="Pipe - A53 Grade B Seamless Carbon Steel Domestic Schedule 40 Black (MPT x MPT)" u="1"/>
        <s v="Pipe - A53 Grade B Seamless Carbon Steel Domestic Schedule 40 Black (PE x GRV)" u="1"/>
        <s v="Pipe - A53 Grade B Seamless Carbon Steel Domestic Schedule 40 Black (PE x PE)" u="1"/>
        <s v="Pipe - A53 Grade B Seamless Carbon Steel Domestic Schedule 80 Black (BE x BE)" u="1"/>
        <s v="Pipe - A53 Grade B Seamless Carbon Steel Domestic Schedule 80 Black (BE x GRV)" u="1"/>
        <s v="Pipe - A53 Grade B Seamless Carbon Steel Domestic Schedule 80 Black (GRV x GRV)" u="1"/>
        <s v="Pipe - A53 Grade B Seamless Carbon Steel Domestic Schedule 80 Black (MPT x MPT)" u="1"/>
        <s v="Pipe - A53 Grade B Seamless Carbon Steel Domestic Schedule 80 Black (PE x GRV)" u="1"/>
        <s v="Pipe - A53 Grade B Seamless Carbon Steel Domestic Schedule 80 Black (PE x PE)" u="1"/>
        <s v="Pipe - A53 Grade B Seamless Carbon Steel Domestic Schedule STD Black (BE x BE)" u="1"/>
        <s v="Pipe - A53 Grade B Seamless Carbon Steel Domestic Schedule STD Black (BE x GRV)" u="1"/>
        <s v="Pipe - A53 Grade B Seamless Carbon Steel Domestic Schedule STD Black (GRV x GRV)" u="1"/>
        <s v="Pipe - A53 Grade B Seamless Carbon Steel Domestic Schedule STD Black (MPT x MPT)" u="1"/>
        <s v="Pipe - A53 Grade B Seamless Carbon Steel Domestic Schedule STD Black (PE x GRV)" u="1"/>
        <s v="Pipe - A53 Grade B Seamless Carbon Steel Domestic Schedule STD Black (PE x PE)" u="1"/>
        <s v="Pipe - A53 Grade B Seamless Carbon Steel Domestic Schedule XH Black (BE x BE)" u="1"/>
        <s v="Pipe - A53 Grade B Seamless Carbon Steel Domestic Schedule XH Black (BE x GRV)" u="1"/>
        <s v="Pipe - A53 Grade B Seamless Carbon Steel Domestic Schedule XH Black (GRV x GRV)" u="1"/>
        <s v="Pipe - A53 Grade B Seamless Carbon Steel Domestic Schedule XH Black (MPT x MPT)" u="1"/>
        <s v="Pipe - A53 Grade B Seamless Carbon Steel Domestic Schedule XH Black (PE x GRV)" u="1"/>
        <s v="Pipe - A53 Grade B Seamless Carbon Steel Domestic Schedule XH Black (PE x PE)" u="1"/>
        <s v="Pipe - A53 Grade A ERW Carbon Steel Domestic Schedule 40 Black (BE x BE)" u="1"/>
        <s v="Pipe - A53 Grade A ERW Carbon Steel Domestic Schedule 40 Black (BE x GRV)" u="1"/>
        <s v="Pipe - A53 Grade A ERW Carbon Steel Domestic Schedule 40 Black (GRV x GRV)" u="1"/>
        <s v="Pipe - A53 Grade A ERW Carbon Steel Domestic Schedule 40 Black (MPT x MPT)" u="1"/>
        <s v="Pipe - A53 Grade A ERW Carbon Steel Domestic Schedule 40 Black (PE x GRV)" u="1"/>
        <s v="Pipe - A53 Grade A ERW Carbon Steel Domestic Schedule 40 Black (PE x PE)" u="1"/>
        <s v="Pipe - A53 Grade A ERW Carbon Steel Domestic Schedule 80 Black (BE x BE)" u="1"/>
        <s v="Pipe - A53 Grade A ERW Carbon Steel Domestic Schedule 80 Black (BE x GRV)" u="1"/>
        <s v="Pipe - A53 Grade A ERW Carbon Steel Domestic Schedule 80 Black (GRV x GRV)" u="1"/>
        <s v="Pipe - A53 Grade A ERW Carbon Steel Domestic Schedule 80 Black (MPT x MPT)" u="1"/>
        <s v="Pipe - A53 Grade A ERW Carbon Steel Domestic Schedule 80 Black (PE x GRV)" u="1"/>
        <s v="Pipe - A53 Grade A ERW Carbon Steel Domestic Schedule 80 Black (PE x PE)" u="1"/>
        <s v="Pipe - A53 Grade A ERW Carbon Steel Domestic Schedule STD Black (BE x BE)" u="1"/>
        <s v="Pipe - A53 Grade A ERW Carbon Steel Domestic Schedule STD Black (BE x GRV)" u="1"/>
        <s v="Pipe - A53 Grade A ERW Carbon Steel Domestic Schedule STD Black (GRV x GRV)" u="1"/>
        <s v="Pipe - A53 Grade A ERW Carbon Steel Domestic Schedule STD Black (MPT x MPT)" u="1"/>
        <s v="Pipe - A53 Grade A ERW Carbon Steel Domestic Schedule STD Black (PE x GRV)" u="1"/>
        <s v="Pipe - A53 Grade A ERW Carbon Steel Domestic Schedule STD Black (PE x PE)" u="1"/>
        <s v="Pipe - A53 Grade A ERW Carbon Steel Domestic Schedule XH Black (BE x BE)" u="1"/>
        <s v="Pipe - A53 Grade A ERW Carbon Steel Domestic Schedule XH Black (BE x GRV)" u="1"/>
        <s v="Pipe - A53 Grade A ERW Carbon Steel Domestic Schedule XH Black (GRV x GRV)" u="1"/>
        <s v="Pipe - A53 Grade A ERW Carbon Steel Domestic Schedule XH Black (MPT x MPT)" u="1"/>
        <s v="Pipe - A53 Grade A ERW Carbon Steel Domestic Schedule XH Black (PE x GRV)" u="1"/>
        <s v="Pipe - A53 Grade A ERW Carbon Steel Domestic Schedule XH Black (PE x PE)" u="1"/>
        <s v="Pipe - A53 Grade B ERW Carbon Steel Domestic Schedule 40 Black (BE x BE)" u="1"/>
        <s v="Pipe - A53 Grade B ERW Carbon Steel Domestic Schedule 40 Black (BE x GRV)" u="1"/>
        <s v="Pipe - A53 Grade B ERW Carbon Steel Domestic Schedule 40 Black (GRV x GRV)" u="1"/>
        <s v="Pipe - A53 Grade B ERW Carbon Steel Domestic Schedule 40 Black (MPT x MPT)" u="1"/>
        <s v="Pipe - A53 Grade B ERW Carbon Steel Domestic Schedule 40 Black (PE x GRV)" u="1"/>
        <s v="Pipe - A53 Grade B ERW Carbon Steel Domestic Schedule 40 Black (PE x PE)" u="1"/>
        <s v="Pipe - A53 Grade B ERW Carbon Steel Domestic Schedule 80 Black (BE x BE)" u="1"/>
        <s v="Pipe - A53 Grade B ERW Carbon Steel Domestic Schedule 80 Black (BE x GRV)" u="1"/>
        <s v="Pipe - A53 Grade B ERW Carbon Steel Domestic Schedule 80 Black (GRV x GRV)" u="1"/>
        <s v="Pipe - A53 Grade B ERW Carbon Steel Domestic Schedule 80 Black (MPT x MPT)" u="1"/>
        <s v="Pipe - A53 Grade B ERW Carbon Steel Domestic Schedule 80 Black (PE x GRV)" u="1"/>
        <s v="Pipe - A53 Grade B ERW Carbon Steel Domestic Schedule 80 Black (PE x PE)" u="1"/>
        <s v="Pipe - A53 Grade B ERW Carbon Steel Domestic Schedule STD Black (BE x BE)" u="1"/>
        <s v="Pipe - A53 Grade B ERW Carbon Steel Domestic Schedule STD Black (BE x GRV)" u="1"/>
        <s v="Pipe - A53 Grade B ERW Carbon Steel Domestic Schedule STD Black (GRV x GRV)" u="1"/>
        <s v="Pipe - A53 Grade B ERW Carbon Steel Domestic Schedule STD Black (MPT x MPT)" u="1"/>
        <s v="Pipe - A53 Grade B ERW Carbon Steel Domestic Schedule STD Black (PE x GRV)" u="1"/>
        <s v="Pipe - A53 Grade B ERW Carbon Steel Domestic Schedule STD Black (PE x PE)" u="1"/>
        <s v="Pipe - A53 Grade B ERW Carbon Steel Domestic Schedule XH Black (BE x BE)" u="1"/>
        <s v="Pipe - A53 Grade B ERW Carbon Steel Domestic Schedule XH Black (BE x GRV)" u="1"/>
        <s v="Pipe - A53 Grade B ERW Carbon Steel Domestic Schedule XH Black (GRV x GRV)" u="1"/>
        <s v="Pipe - A53 Grade B ERW Carbon Steel Domestic Schedule XH Black (MPT x MPT)" u="1"/>
        <s v="Pipe - A53 Grade B ERW Carbon Steel Domestic Schedule XH Black (PE x GRV)" u="1"/>
        <s v="Pipe - A53 Grade B ERW Carbon Steel Domestic Schedule XH Black (PE x PE)" u="1"/>
        <s v="Pipe - A53 Grade A Continuous Weld Carbon Steel Domestic Schedule 40 Black (BE x BE)" u="1"/>
        <s v="Pipe - A53 Grade A Continuous Weld Carbon Steel Domestic Schedule 40 Black (BE x GRV)" u="1"/>
        <s v="Pipe - A53 Grade A Continuous Weld Carbon Steel Domestic Schedule 40 Black (GRV x GRV)" u="1"/>
        <s v="Pipe - A53 Grade A Continuous Weld Carbon Steel Domestic Schedule 40 Black (MPT x MPT)" u="1"/>
        <s v="Pipe - A53 Grade A Continuous Weld Carbon Steel Domestic Schedule 40 Black (PE x GRV)" u="1"/>
        <s v="Pipe - A53 Grade A Continuous Weld Carbon Steel Domestic Schedule 40 Black (PE x PE)" u="1"/>
        <s v="Pipe - A53 Grade A Continuous Weld Carbon Steel Domestic Schedule 80 Black (BE x BE)" u="1"/>
        <s v="Pipe - A53 Grade A Continuous Weld Carbon Steel Domestic Schedule 80 Black (BE x GRV)" u="1"/>
        <s v="Pipe - A53 Grade A Continuous Weld Carbon Steel Domestic Schedule 80 Black (GRV x GRV)" u="1"/>
        <s v="Pipe - A53 Grade A Continuous Weld Carbon Steel Domestic Schedule 80 Black (MPT x MPT)" u="1"/>
        <s v="Pipe - A53 Grade A Continuous Weld Carbon Steel Domestic Schedule 80 Black (PE x GRV)" u="1"/>
        <s v="Pipe - A53 Grade A Continuous Weld Carbon Steel Domestic Schedule 80 Black (PE x PE)" u="1"/>
        <s v="Pipe - A53 Grade A Continuous Weld Carbon Steel Domestic Schedule STD Black (BE x BE)" u="1"/>
        <s v="Pipe - A53 Grade A Continuous Weld Carbon Steel Domestic Schedule STD Black (BE x GRV)" u="1"/>
        <s v="Pipe - A53 Grade A Continuous Weld Carbon Steel Domestic Schedule STD Black (GRV x GRV)" u="1"/>
        <s v="Pipe - A53 Grade A Continuous Weld Carbon Steel Domestic Schedule STD Black (MPT x MPT)" u="1"/>
        <s v="Pipe - A53 Grade A Continuous Weld Carbon Steel Domestic Schedule STD Black (PE x GRV)" u="1"/>
        <s v="Pipe - A53 Grade A Continuous Weld Carbon Steel Domestic Schedule STD Black (PE x PE)" u="1"/>
        <s v="Pipe - A53 Grade A Continuous Weld Carbon Steel Domestic Schedule XH Black (BE x BE)" u="1"/>
        <s v="Pipe - A53 Grade A Continuous Weld Carbon Steel Domestic Schedule XH Black (BE x GRV)" u="1"/>
        <s v="Pipe - A53 Grade A Continuous Weld Carbon Steel Domestic Schedule XH Black (GRV x GRV)" u="1"/>
        <s v="Pipe - A53 Grade A Continuous Weld Carbon Steel Domestic Schedule XH Black (MPT x MPT)" u="1"/>
        <s v="Pipe - A53 Grade A Continuous Weld Carbon Steel Domestic Schedule XH Black (PE x GRV)" u="1"/>
        <s v="Pipe - A53 Grade A Continuous Weld Carbon Steel Domestic Schedule XH Black (PE x PE)" u="1"/>
        <s v="Pipe - A106 Grade A Seamless Carbon Steel Imported Schedule 40 Black (BE x BE)" u="1"/>
        <s v="Pipe - A106 Grade A Seamless Carbon Steel Imported Schedule 40 Black (BE x GRV)" u="1"/>
        <s v="Pipe - A106 Grade A Seamless Carbon Steel Imported Schedule 40 Black (GRV x GRV)" u="1"/>
        <s v="Pipe - A106 Grade A Seamless Carbon Steel Imported Schedule 40 Black (MPT x MPT)" u="1"/>
        <s v="Pipe - A106 Grade A Seamless Carbon Steel Imported Schedule 40 Black (PE x GRV)" u="1"/>
        <s v="Pipe - A106 Grade A Seamless Carbon Steel Imported Schedule 40 Black (PE x PE)" u="1"/>
        <s v="Pipe - A106 Grade A Seamless Carbon Steel Imported Schedule 80 Black (BE x BE)" u="1"/>
        <s v="Pipe - A106 Grade A Seamless Carbon Steel Imported Schedule 80 Black (BE x GRV)" u="1"/>
        <s v="Pipe - A106 Grade A Seamless Carbon Steel Imported Schedule 80 Black (GRV x GRV)" u="1"/>
        <s v="Pipe - A106 Grade A Seamless Carbon Steel Imported Schedule 80 Black (MPT x MPT)" u="1"/>
        <s v="Pipe - A106 Grade A Seamless Carbon Steel Imported Schedule 80 Black (PE x GRV)" u="1"/>
        <s v="Pipe - A106 Grade A Seamless Carbon Steel Imported Schedule 80 Black (PE x PE)" u="1"/>
        <s v="Pipe - A106 Grade A Seamless Carbon Steel Imported Schedule STD Black (BE x BE)" u="1"/>
        <s v="Pipe - A106 Grade A Seamless Carbon Steel Imported Schedule STD Black (BE x GRV)" u="1"/>
        <s v="Pipe - A106 Grade A Seamless Carbon Steel Imported Schedule STD Black (GRV x GRV)" u="1"/>
        <s v="Pipe - A106 Grade A Seamless Carbon Steel Imported Schedule STD Black (MPT x MPT)" u="1"/>
        <s v="Pipe - A106 Grade A Seamless Carbon Steel Imported Schedule STD Black (PE x GRV)" u="1"/>
        <s v="Pipe - A106 Grade A Seamless Carbon Steel Imported Schedule STD Black (PE x PE)" u="1"/>
        <s v="Pipe - A106 Grade A Seamless Carbon Steel Imported Schedule XH Black (BE x BE)" u="1"/>
        <s v="Pipe - A106 Grade A Seamless Carbon Steel Imported Schedule XH Black (BE x GRV)" u="1"/>
        <s v="Pipe - A106 Grade A Seamless Carbon Steel Imported Schedule XH Black (GRV x GRV)" u="1"/>
        <s v="Pipe - A106 Grade A Seamless Carbon Steel Imported Schedule XH Black (MPT x MPT)" u="1"/>
        <s v="Pipe - A106 Grade A Seamless Carbon Steel Imported Schedule XH Black (PE x GRV)" u="1"/>
        <s v="Pipe - A106 Grade A Seamless Carbon Steel Imported Schedule XH Black (PE x PE)" u="1"/>
        <s v="Pipe - A106 Grade B Seamless Carbon Steel Imported Schedule 40 Black (BE x BE)" u="1"/>
        <s v="Pipe - A106 Grade B Seamless Carbon Steel Imported Schedule 40 Black (BE x GRV)" u="1"/>
        <s v="Pipe - A106 Grade B Seamless Carbon Steel Imported Schedule 40 Black (GRV x GRV)" u="1"/>
        <s v="Pipe - A106 Grade B Seamless Carbon Steel Imported Schedule 40 Black (MPT x MPT)" u="1"/>
        <s v="Pipe - A106 Grade B Seamless Carbon Steel Imported Schedule 40 Black (PE x GRV)" u="1"/>
        <s v="Pipe - A106 Grade B Seamless Carbon Steel Imported Schedule 40 Black (PE x PE)" u="1"/>
        <s v="Pipe - A106 Grade B Seamless Carbon Steel Imported Schedule 80 Black (BE x BE)" u="1"/>
        <s v="Pipe - A106 Grade B Seamless Carbon Steel Imported Schedule 80 Black (BE x GRV)" u="1"/>
        <s v="Pipe - A106 Grade B Seamless Carbon Steel Imported Schedule 80 Black (GRV x GRV)" u="1"/>
        <s v="Pipe - A106 Grade B Seamless Carbon Steel Imported Schedule 80 Black (MPT x MPT)" u="1"/>
        <s v="Pipe - A106 Grade B Seamless Carbon Steel Imported Schedule 80 Black (PE x GRV)" u="1"/>
        <s v="Pipe - A106 Grade B Seamless Carbon Steel Imported Schedule 80 Black (PE x PE)" u="1"/>
        <s v="Pipe - A106 Grade B Seamless Carbon Steel Imported Schedule STD Black (BE x BE)" u="1"/>
        <s v="Pipe - A106 Grade B Seamless Carbon Steel Imported Schedule STD Black (BE x GRV)" u="1"/>
        <s v="Pipe - A106 Grade B Seamless Carbon Steel Imported Schedule STD Black (GRV x GRV)" u="1"/>
        <s v="Pipe - A106 Grade B Seamless Carbon Steel Imported Schedule STD Black (MPT x MPT)" u="1"/>
        <s v="Pipe - A106 Grade B Seamless Carbon Steel Imported Schedule STD Black (PE x GRV)" u="1"/>
        <s v="Pipe - A106 Grade B Seamless Carbon Steel Imported Schedule STD Black (PE x PE)" u="1"/>
        <s v="Pipe - A106 Grade B Seamless Carbon Steel Imported Schedule XH Black (BE x BE)" u="1"/>
        <s v="Pipe - A106 Grade B Seamless Carbon Steel Imported Schedule XH Black (BE x GRV)" u="1"/>
        <s v="Pipe - A106 Grade B Seamless Carbon Steel Imported Schedule XH Black (GRV x GRV)" u="1"/>
        <s v="Pipe - A106 Grade B Seamless Carbon Steel Imported Schedule XH Black (MPT x MPT)" u="1"/>
        <s v="Pipe - A106 Grade B Seamless Carbon Steel Imported Schedule XH Black (PE x GRV)" u="1"/>
        <s v="Pipe - A106 Grade B Seamless Carbon Steel Imported Schedule XH Black (PE x PE)" u="1"/>
        <s v="Pipe - A106 Grade A ERW Carbon Steel Imported Schedule 40 Black (BE x BE)" u="1"/>
        <s v="Pipe - A106 Grade A ERW Carbon Steel Imported Schedule 40 Black (BE x GRV)" u="1"/>
        <s v="Pipe - A106 Grade A ERW Carbon Steel Imported Schedule 40 Black (GRV x GRV)" u="1"/>
        <s v="Pipe - A106 Grade A ERW Carbon Steel Imported Schedule 40 Black (MPT x MPT)" u="1"/>
        <s v="Pipe - A106 Grade A ERW Carbon Steel Imported Schedule 40 Black (PE x GRV)" u="1"/>
        <s v="Pipe - A106 Grade A ERW Carbon Steel Imported Schedule 40 Black (PE x PE)" u="1"/>
        <s v="Pipe - A106 Grade A ERW Carbon Steel Imported Schedule 80 Black (BE x BE)" u="1"/>
        <s v="Pipe - A106 Grade A ERW Carbon Steel Imported Schedule 80 Black (BE x GRV)" u="1"/>
        <s v="Pipe - A106 Grade A ERW Carbon Steel Imported Schedule 80 Black (GRV x GRV)" u="1"/>
        <s v="Pipe - A106 Grade A ERW Carbon Steel Imported Schedule 80 Black (MPT x MPT)" u="1"/>
        <s v="Pipe - A106 Grade A ERW Carbon Steel Imported Schedule 80 Black (PE x GRV)" u="1"/>
        <s v="Pipe - A106 Grade A ERW Carbon Steel Imported Schedule 80 Black (PE x PE)" u="1"/>
        <s v="Pipe - A106 Grade A ERW Carbon Steel Imported Schedule STD Black (BE x BE)" u="1"/>
        <s v="Pipe - A106 Grade A ERW Carbon Steel Imported Schedule STD Black (BE x GRV)" u="1"/>
        <s v="Pipe - A106 Grade A ERW Carbon Steel Imported Schedule STD Black (GRV x GRV)" u="1"/>
        <s v="Pipe - A106 Grade A ERW Carbon Steel Imported Schedule STD Black (MPT x MPT)" u="1"/>
        <s v="Pipe - A106 Grade A ERW Carbon Steel Imported Schedule STD Black (PE x GRV)" u="1"/>
        <s v="Pipe - A106 Grade A ERW Carbon Steel Imported Schedule STD Black (PE x PE)" u="1"/>
        <s v="Pipe - A106 Grade A ERW Carbon Steel Imported Schedule XH Black (BE x BE)" u="1"/>
        <s v="Pipe - A106 Grade A ERW Carbon Steel Imported Schedule XH Black (BE x GRV)" u="1"/>
        <s v="Pipe - A106 Grade A ERW Carbon Steel Imported Schedule XH Black (GRV x GRV)" u="1"/>
        <s v="Pipe - A106 Grade A ERW Carbon Steel Imported Schedule XH Black (MPT x MPT)" u="1"/>
        <s v="Pipe - A106 Grade A ERW Carbon Steel Imported Schedule XH Black (PE x GRV)" u="1"/>
        <s v="Pipe - A106 Grade A ERW Carbon Steel Imported Schedule XH Black (PE x PE)" u="1"/>
        <s v="Pipe - A106 Grade B ERW Carbon Steel Imported Schedule 40 Black (BE x BE)" u="1"/>
        <s v="Pipe - A106 Grade B ERW Carbon Steel Imported Schedule 40 Black (BE x GRV)" u="1"/>
        <s v="Pipe - A106 Grade B ERW Carbon Steel Imported Schedule 40 Black (GRV x GRV)" u="1"/>
        <s v="Pipe - A106 Grade B ERW Carbon Steel Imported Schedule 40 Black (MPT x MPT)" u="1"/>
        <s v="Pipe - A106 Grade B ERW Carbon Steel Imported Schedule 40 Black (PE x GRV)" u="1"/>
        <s v="Pipe - A106 Grade B ERW Carbon Steel Imported Schedule 40 Black (PE x PE)" u="1"/>
        <s v="Pipe - A106 Grade B ERW Carbon Steel Imported Schedule 80 Black (BE x BE)" u="1"/>
        <s v="Pipe - A106 Grade B ERW Carbon Steel Imported Schedule 80 Black (BE x GRV)" u="1"/>
        <s v="Pipe - A106 Grade B ERW Carbon Steel Imported Schedule 80 Black (GRV x GRV)" u="1"/>
        <s v="Pipe - A106 Grade B ERW Carbon Steel Imported Schedule 80 Black (MPT x MPT)" u="1"/>
        <s v="Pipe - A106 Grade B ERW Carbon Steel Imported Schedule 80 Black (PE x GRV)" u="1"/>
        <s v="Pipe - A106 Grade B ERW Carbon Steel Imported Schedule 80 Black (PE x PE)" u="1"/>
        <s v="Pipe - A106 Grade B ERW Carbon Steel Imported Schedule STD Black (BE x BE)" u="1"/>
        <s v="Pipe - A106 Grade B ERW Carbon Steel Imported Schedule STD Black (BE x GRV)" u="1"/>
        <s v="Pipe - A106 Grade B ERW Carbon Steel Imported Schedule STD Black (GRV x GRV)" u="1"/>
        <s v="Pipe - A106 Grade B ERW Carbon Steel Imported Schedule STD Black (MPT x MPT)" u="1"/>
        <s v="Pipe - A106 Grade B ERW Carbon Steel Imported Schedule STD Black (PE x GRV)" u="1"/>
        <s v="Pipe - A106 Grade B ERW Carbon Steel Imported Schedule STD Black (PE x PE)" u="1"/>
        <s v="Pipe - A106 Grade B ERW Carbon Steel Imported Schedule XH Black (BE x BE)" u="1"/>
        <s v="Pipe - A106 Grade B ERW Carbon Steel Imported Schedule XH Black (BE x GRV)" u="1"/>
        <s v="Pipe - A106 Grade B ERW Carbon Steel Imported Schedule XH Black (GRV x GRV)" u="1"/>
        <s v="Pipe - A106 Grade B ERW Carbon Steel Imported Schedule XH Black (MPT x MPT)" u="1"/>
        <s v="Pipe - A106 Grade B ERW Carbon Steel Imported Schedule XH Black (PE x GRV)" u="1"/>
        <s v="Pipe - A106 Grade B ERW Carbon Steel Imported Schedule XH Black (PE x PE)" u="1"/>
        <s v="Pipe - A53 Grade A Seamless Carbon Steel Imported Schedule 40 Black (BE x BE)" u="1"/>
        <s v="Pipe - A53 Grade A Seamless Carbon Steel Imported Schedule 40 Black (BE x GRV)" u="1"/>
        <s v="Pipe - A53 Grade A Seamless Carbon Steel Imported Schedule 40 Black (GRV x GRV)" u="1"/>
        <s v="Pipe - A53 Grade A Seamless Carbon Steel Imported Schedule 40 Black (MPT x MPT)" u="1"/>
        <s v="Pipe - A53 Grade A Seamless Carbon Steel Imported Schedule 40 Black (PE x GRV)" u="1"/>
        <s v="Pipe - A53 Grade A Seamless Carbon Steel Imported Schedule 40 Black (PE x PE)" u="1"/>
        <s v="Pipe - A53 Grade A Seamless Carbon Steel Imported Schedule 80 Black (BE x BE)" u="1"/>
        <s v="Pipe - A53 Grade A Seamless Carbon Steel Imported Schedule 80 Black (BE x GRV)" u="1"/>
        <s v="Pipe - A53 Grade A Seamless Carbon Steel Imported Schedule 80 Black (GRV x GRV)" u="1"/>
        <s v="Pipe - A53 Grade A Seamless Carbon Steel Imported Schedule 80 Black (MPT x MPT)" u="1"/>
        <s v="Pipe - A53 Grade A Seamless Carbon Steel Imported Schedule 80 Black (PE x GRV)" u="1"/>
        <s v="Pipe - A53 Grade A Seamless Carbon Steel Imported Schedule 80 Black (PE x PE)" u="1"/>
        <s v="Pipe - A53 Grade A Seamless Carbon Steel Imported Schedule STD Black (BE x BE)" u="1"/>
        <s v="Pipe - A53 Grade A Seamless Carbon Steel Imported Schedule STD Black (BE x GRV)" u="1"/>
        <s v="Pipe - A53 Grade A Seamless Carbon Steel Imported Schedule STD Black (GRV x GRV)" u="1"/>
        <s v="Pipe - A53 Grade A Seamless Carbon Steel Imported Schedule STD Black (MPT x MPT)" u="1"/>
        <s v="Pipe - A53 Grade A Seamless Carbon Steel Imported Schedule STD Black (PE x GRV)" u="1"/>
        <s v="Pipe - A53 Grade A Seamless Carbon Steel Imported Schedule STD Black (PE x PE)" u="1"/>
        <s v="Pipe - A53 Grade A Seamless Carbon Steel Imported Schedule XH Black (BE x BE)" u="1"/>
        <s v="Pipe - A53 Grade A Seamless Carbon Steel Imported Schedule XH Black (BE x GRV)" u="1"/>
        <s v="Pipe - A53 Grade A Seamless Carbon Steel Imported Schedule XH Black (GRV x GRV)" u="1"/>
        <s v="Pipe - A53 Grade A Seamless Carbon Steel Imported Schedule XH Black (MPT x MPT)" u="1"/>
        <s v="Pipe - A53 Grade A Seamless Carbon Steel Imported Schedule XH Black (PE x GRV)" u="1"/>
        <s v="Pipe - A53 Grade A Seamless Carbon Steel Imported Schedule XH Black (PE x PE)" u="1"/>
        <s v="Pipe - A53 Grade B Seamless Carbon Steel Imported Schedule 40 Black (BE x BE)" u="1"/>
        <s v="Pipe - A53 Grade B Seamless Carbon Steel Imported Schedule 40 Black (BE x GRV)" u="1"/>
        <s v="Pipe - A53 Grade B Seamless Carbon Steel Imported Schedule 40 Black (GRV x GRV)" u="1"/>
        <s v="Pipe - A53 Grade B Seamless Carbon Steel Imported Schedule 40 Black (MPT x MPT)" u="1"/>
        <s v="Pipe - A53 Grade B Seamless Carbon Steel Imported Schedule 40 Black (PE x GRV)" u="1"/>
        <s v="Pipe - A53 Grade B Seamless Carbon Steel Imported Schedule 40 Black (PE x PE)" u="1"/>
        <s v="Pipe - A53 Grade B Seamless Carbon Steel Imported Schedule 80 Black (BE x BE)" u="1"/>
        <s v="Pipe - A53 Grade B Seamless Carbon Steel Imported Schedule 80 Black (BE x GRV)" u="1"/>
        <s v="Pipe - A53 Grade B Seamless Carbon Steel Imported Schedule 80 Black (GRV x GRV)" u="1"/>
        <s v="Pipe - A53 Grade B Seamless Carbon Steel Imported Schedule 80 Black (MPT x MPT)" u="1"/>
        <s v="Pipe - A53 Grade B Seamless Carbon Steel Imported Schedule 80 Black (PE x GRV)" u="1"/>
        <s v="Pipe - A53 Grade B Seamless Carbon Steel Imported Schedule 80 Black (PE x PE)" u="1"/>
        <s v="Pipe - A53 Grade B Seamless Carbon Steel Imported Schedule STD Black (BE x BE)" u="1"/>
        <s v="Pipe - A53 Grade B Seamless Carbon Steel Imported Schedule STD Black (BE x GRV)" u="1"/>
        <s v="Pipe - A53 Grade B Seamless Carbon Steel Imported Schedule STD Black (GRV x GRV)" u="1"/>
        <s v="Pipe - A53 Grade B Seamless Carbon Steel Imported Schedule STD Black (MPT x MPT)" u="1"/>
        <s v="Pipe - A53 Grade B Seamless Carbon Steel Imported Schedule STD Black (PE x GRV)" u="1"/>
        <s v="Pipe - A53 Grade B Seamless Carbon Steel Imported Schedule STD Black (PE x PE)" u="1"/>
        <s v="Pipe - A53 Grade B Seamless Carbon Steel Imported Schedule XH Black (BE x BE)" u="1"/>
        <s v="Pipe - A53 Grade B Seamless Carbon Steel Imported Schedule XH Black (BE x GRV)" u="1"/>
        <s v="Pipe - A53 Grade B Seamless Carbon Steel Imported Schedule XH Black (GRV x GRV)" u="1"/>
        <s v="Pipe - A53 Grade B Seamless Carbon Steel Imported Schedule XH Black (MPT x MPT)" u="1"/>
        <s v="Pipe - A53 Grade B Seamless Carbon Steel Imported Schedule XH Black (PE x GRV)" u="1"/>
        <s v="Pipe - A53 Grade B Seamless Carbon Steel Imported Schedule XH Black (PE x PE)" u="1"/>
        <s v="Pipe - A53 Grade A ERW Carbon Steel Imported Schedule 40 Black (BE x BE)" u="1"/>
        <s v="Pipe - A53 Grade A ERW Carbon Steel Imported Schedule 40 Black (BE x GRV)" u="1"/>
        <s v="Pipe - A53 Grade A ERW Carbon Steel Imported Schedule 40 Black (GRV x GRV)" u="1"/>
        <s v="Pipe - A53 Grade A ERW Carbon Steel Imported Schedule 40 Black (MPT x MPT)" u="1"/>
        <s v="Pipe - A53 Grade A ERW Carbon Steel Imported Schedule 40 Black (PE x GRV)" u="1"/>
        <s v="Pipe - A53 Grade A ERW Carbon Steel Imported Schedule 40 Black (PE x PE)" u="1"/>
        <s v="Pipe - A53 Grade A ERW Carbon Steel Imported Schedule 80 Black (BE x BE)" u="1"/>
        <s v="Pipe - A53 Grade A ERW Carbon Steel Imported Schedule 80 Black (BE x GRV)" u="1"/>
        <s v="Pipe - A53 Grade A ERW Carbon Steel Imported Schedule 80 Black (GRV x GRV)" u="1"/>
        <s v="Pipe - A53 Grade A ERW Carbon Steel Imported Schedule 80 Black (MPT x MPT)" u="1"/>
        <s v="Pipe - A53 Grade A ERW Carbon Steel Imported Schedule 80 Black (PE x GRV)" u="1"/>
        <s v="Pipe - A53 Grade A ERW Carbon Steel Imported Schedule 80 Black (PE x PE)" u="1"/>
        <s v="Pipe - A53 Grade A ERW Carbon Steel Imported Schedule STD Black (BE x BE)" u="1"/>
        <s v="Pipe - A53 Grade A ERW Carbon Steel Imported Schedule STD Black (BE x GRV)" u="1"/>
        <s v="Pipe - A53 Grade A ERW Carbon Steel Imported Schedule STD Black (GRV x GRV)" u="1"/>
        <s v="Pipe - A53 Grade A ERW Carbon Steel Imported Schedule STD Black (MPT x MPT)" u="1"/>
        <s v="Pipe - A53 Grade A ERW Carbon Steel Imported Schedule STD Black (PE x GRV)" u="1"/>
        <s v="Pipe - A53 Grade A ERW Carbon Steel Imported Schedule STD Black (PE x PE)" u="1"/>
        <s v="Pipe - A53 Grade A ERW Carbon Steel Imported Schedule XH Black (BE x BE)" u="1"/>
        <s v="Pipe - A53 Grade A ERW Carbon Steel Imported Schedule XH Black (BE x GRV)" u="1"/>
        <s v="Pipe - A53 Grade A ERW Carbon Steel Imported Schedule XH Black (GRV x GRV)" u="1"/>
        <s v="Pipe - A53 Grade A ERW Carbon Steel Imported Schedule XH Black (MPT x MPT)" u="1"/>
        <s v="Pipe - A53 Grade A ERW Carbon Steel Imported Schedule XH Black (PE x GRV)" u="1"/>
        <s v="Pipe - A53 Grade A ERW Carbon Steel Imported Schedule XH Black (PE x PE)" u="1"/>
        <s v="Pipe - A53 Grade B ERW Carbon Steel Imported Schedule 40 Black (BE x BE)" u="1"/>
        <s v="Pipe - A53 Grade B ERW Carbon Steel Imported Schedule 40 Black (BE x GRV)" u="1"/>
        <s v="Pipe - A53 Grade B ERW Carbon Steel Imported Schedule 40 Black (GRV x GRV)" u="1"/>
        <s v="Pipe - A53 Grade B ERW Carbon Steel Imported Schedule 40 Black (MPT x MPT)" u="1"/>
        <s v="Pipe - A53 Grade B ERW Carbon Steel Imported Schedule 40 Black (PE x GRV)" u="1"/>
        <s v="Pipe - A53 Grade B ERW Carbon Steel Imported Schedule 40 Black (PE x PE)" u="1"/>
        <s v="Pipe - A53 Grade B ERW Carbon Steel Imported Schedule 80 Black (BE x BE)" u="1"/>
        <s v="Pipe - A53 Grade B ERW Carbon Steel Imported Schedule 80 Black (BE x GRV)" u="1"/>
        <s v="Pipe - A53 Grade B ERW Carbon Steel Imported Schedule 80 Black (GRV x GRV)" u="1"/>
        <s v="Pipe - A53 Grade B ERW Carbon Steel Imported Schedule 80 Black (MPT x MPT)" u="1"/>
        <s v="Pipe - A53 Grade B ERW Carbon Steel Imported Schedule 80 Black (PE x GRV)" u="1"/>
        <s v="Pipe - A53 Grade B ERW Carbon Steel Imported Schedule 80 Black (PE x PE)" u="1"/>
        <s v="Pipe - A53 Grade B ERW Carbon Steel Imported Schedule STD Black (BE x BE)" u="1"/>
        <s v="Pipe - A53 Grade B ERW Carbon Steel Imported Schedule STD Black (BE x GRV)" u="1"/>
        <s v="Pipe - A53 Grade B ERW Carbon Steel Imported Schedule STD Black (GRV x GRV)" u="1"/>
        <s v="Pipe - A53 Grade B ERW Carbon Steel Imported Schedule STD Black (MPT x MPT)" u="1"/>
        <s v="Pipe - A53 Grade B ERW Carbon Steel Imported Schedule STD Black (PE x GRV)" u="1"/>
        <s v="Pipe - A53 Grade B ERW Carbon Steel Imported Schedule STD Black (PE x PE)" u="1"/>
        <s v="Pipe - A53 Grade B ERW Carbon Steel Imported Schedule XH Black (BE x BE)" u="1"/>
        <s v="Pipe - A53 Grade B ERW Carbon Steel Imported Schedule XH Black (BE x GRV)" u="1"/>
        <s v="Pipe - A53 Grade B ERW Carbon Steel Imported Schedule XH Black (GRV x GRV)" u="1"/>
        <s v="Pipe - A53 Grade B ERW Carbon Steel Imported Schedule XH Black (MPT x MPT)" u="1"/>
        <s v="Pipe - A53 Grade B ERW Carbon Steel Imported Schedule XH Black (PE x GRV)" u="1"/>
        <s v="Pipe - A53 Grade B ERW Carbon Steel Imported Schedule XH Black (PE x PE)" u="1"/>
        <s v="Pipe - A53 Grade A Continuous Weld Carbon Steel Imported Schedule 40 Black (BE x BE)" u="1"/>
        <s v="Pipe - A53 Grade A Continuous Weld Carbon Steel Imported Schedule 40 Black (BE x GRV)" u="1"/>
        <s v="Pipe - A53 Grade A Continuous Weld Carbon Steel Imported Schedule 40 Black (GRV x GRV)" u="1"/>
        <s v="Pipe - A53 Grade A Continuous Weld Carbon Steel Imported Schedule 40 Black (MPT x MPT)" u="1"/>
        <s v="Pipe - A53 Grade A Continuous Weld Carbon Steel Imported Schedule 40 Black (PE x GRV)" u="1"/>
        <s v="Pipe - A53 Grade A Continuous Weld Carbon Steel Imported Schedule 40 Black (PE x PE)" u="1"/>
        <s v="Pipe - A53 Grade A Continuous Weld Carbon Steel Imported Schedule 80 Black (BE x BE)" u="1"/>
        <s v="Pipe - A53 Grade A Continuous Weld Carbon Steel Imported Schedule 80 Black (BE x GRV)" u="1"/>
        <s v="Pipe - A53 Grade A Continuous Weld Carbon Steel Imported Schedule 80 Black (GRV x GRV)" u="1"/>
        <s v="Pipe - A53 Grade A Continuous Weld Carbon Steel Imported Schedule 80 Black (MPT x MPT)" u="1"/>
        <s v="Pipe - A53 Grade A Continuous Weld Carbon Steel Imported Schedule 80 Black (PE x GRV)" u="1"/>
        <s v="Pipe - A53 Grade A Continuous Weld Carbon Steel Imported Schedule 80 Black (PE x PE)" u="1"/>
        <s v="Pipe - A53 Grade A Continuous Weld Carbon Steel Imported Schedule STD Black (BE x BE)" u="1"/>
        <s v="Pipe - A53 Grade A Continuous Weld Carbon Steel Imported Schedule STD Black (BE x GRV)" u="1"/>
        <s v="Pipe - A53 Grade A Continuous Weld Carbon Steel Imported Schedule STD Black (GRV x GRV)" u="1"/>
        <s v="Pipe - A53 Grade A Continuous Weld Carbon Steel Imported Schedule STD Black (MPT x MPT)" u="1"/>
        <s v="Pipe - A53 Grade A Continuous Weld Carbon Steel Imported Schedule STD Black (PE x GRV)" u="1"/>
        <s v="Pipe - A53 Grade A Continuous Weld Carbon Steel Imported Schedule STD Black (PE x PE)" u="1"/>
        <s v="Pipe - A53 Grade A Continuous Weld Carbon Steel Imported Schedule XH Black (BE x BE)" u="1"/>
        <s v="Pipe - A53 Grade A Continuous Weld Carbon Steel Imported Schedule XH Black (BE x GRV)" u="1"/>
        <s v="Pipe - A53 Grade A Continuous Weld Carbon Steel Imported Schedule XH Black (GRV x GRV)" u="1"/>
        <s v="Pipe - A53 Grade A Continuous Weld Carbon Steel Imported Schedule XH Black (MPT x MPT)" u="1"/>
        <s v="Pipe - A53 Grade A Continuous Weld Carbon Steel Imported Schedule XH Black (PE x GRV)" u="1"/>
        <s v="Pipe - A53 Grade A Continuous Weld Carbon Steel Imported Schedule XH Black (PE x PE)" u="1"/>
        <s v="Pulled Tee - T-Drill (BRZ)" u="1"/>
        <s v="Pipe - A312 Seamless Stainless Steel 316L Domestic Schedule 10 (BE x BE)" u="1"/>
        <s v="Pipe - A312 Seamless Stainless Steel 316L Domestic Schedule 10 (BE x GRV)" u="1"/>
        <s v="Pipe - A312 Seamless Stainless Steel 316L Domestic Schedule 10 (GRV x GRV)" u="1"/>
        <s v="Pipe - A312 Seamless Stainless Steel 316L Domestic Schedule 10 (MPT x MPT)" u="1"/>
        <s v="Pipe - A312 Seamless Stainless Steel 316L Domestic Schedule 40 (BE x BE)" u="1"/>
        <s v="Pipe - A312 Seamless Stainless Steel 316L Domestic Schedule 40 (BE x GRV)" u="1"/>
        <s v="Pipe - A312 Seamless Stainless Steel 316L Domestic Schedule 40 (GRV x GRV)" u="1"/>
        <s v="Pipe - A312 Seamless Stainless Steel 316L Domestic Schedule 40 (MPT x MPT)" u="1"/>
        <s v="Pipe - A312 Seamless Stainless Steel 316L Domestic Schedule 5 (BE x BE)" u="1"/>
        <s v="Pipe - A312 Seamless Stainless Steel 316L Domestic Schedule 5 (BE x GRV)" u="1"/>
        <s v="Pipe - A312 Seamless Stainless Steel 316L Domestic Schedule 5 (GRV x GRV)" u="1"/>
        <s v="Pipe - A312 Seamless Stainless Steel 316L Domestic Schedule 5 (MPT x MPT)" u="1"/>
        <s v="Pipe - A312 Seamless Stainless Steel 316L Domestic Schedule 80 (BE x BE)" u="1"/>
        <s v="Pipe - A312 Seamless Stainless Steel 316L Domestic Schedule 80 (BE x GRV)" u="1"/>
        <s v="Pipe - A312 Seamless Stainless Steel 316L Domestic Schedule 80 (GRV x GRV)" u="1"/>
        <s v="Pipe - A312 Seamless Stainless Steel 316L Domestic Schedule 80 (MPT x MPT)" u="1"/>
        <s v="Pipe - A312 Welded Stainless Steel 316L Domestic Schedule 10 (BE x BE)" u="1"/>
        <s v="Pipe - A312 Welded Stainless Steel 316L Domestic Schedule 10 (BE x GRV)" u="1"/>
        <s v="Pipe - A312 Welded Stainless Steel 316L Domestic Schedule 10 (GRV x GRV)" u="1"/>
        <s v="Pipe - A312 Welded Stainless Steel 316L Domestic Schedule 10 (MPT x MPT)" u="1"/>
        <s v="Pipe - A312 Welded Stainless Steel 316L Domestic Schedule 40 (BE x BE)" u="1"/>
        <s v="Pipe - A312 Welded Stainless Steel 316L Domestic Schedule 40 (BE x GRV)" u="1"/>
        <s v="Pipe - A312 Welded Stainless Steel 316L Domestic Schedule 40 (GRV x GRV)" u="1"/>
        <s v="Pipe - A312 Welded Stainless Steel 316L Domestic Schedule 40 (MPT x MPT)" u="1"/>
        <s v="Pipe - A312 Welded Stainless Steel 316L Domestic Schedule 5 (BE x BE)" u="1"/>
        <s v="Pipe - A312 Welded Stainless Steel 316L Domestic Schedule 5 (BE x GRV)" u="1"/>
        <s v="Pipe - A312 Welded Stainless Steel 316L Domestic Schedule 5 (GRV x GRV)" u="1"/>
        <s v="Pipe - A312 Welded Stainless Steel 316L Domestic Schedule 5 (MPT x MPT)" u="1"/>
        <s v="Pipe - A312 Welded Stainless Steel 316L Domestic Schedule 80 (BE x BE)" u="1"/>
        <s v="Pipe - A312 Welded Stainless Steel 316L Domestic Schedule 80 (BE x GRV)" u="1"/>
        <s v="Pipe - A312 Welded Stainless Steel 316L Domestic Schedule 80 (GRV x GRV)" u="1"/>
        <s v="Pipe - A312 Welded Stainless Steel 316L Domestic Schedule 80 (MPT x MPT)" u="1"/>
        <s v="Pipe - A312 Seamless Stainless Steel 316L Imported Schedule 10 (BE x BE)" u="1"/>
        <s v="Pipe - A312 Seamless Stainless Steel 316L Imported Schedule 10 (BE x GRV)" u="1"/>
        <s v="Pipe - A312 Seamless Stainless Steel 316L Imported Schedule 10 (GRV x GRV)" u="1"/>
        <s v="Pipe - A312 Seamless Stainless Steel 316L Imported Schedule 10 (MPT x MPT)" u="1"/>
        <s v="Pipe - A312 Seamless Stainless Steel 316L Imported Schedule 40 (BE x BE)" u="1"/>
        <s v="Pipe - A312 Seamless Stainless Steel 316L Imported Schedule 40 (BE x GRV)" u="1"/>
        <s v="Pipe - A312 Seamless Stainless Steel 316L Imported Schedule 40 (GRV x GRV)" u="1"/>
        <s v="Pipe - A312 Seamless Stainless Steel 316L Imported Schedule 40 (MPT x MPT)" u="1"/>
        <s v="Pipe - A312 Seamless Stainless Steel 316L Imported Schedule 5 (BE x BE)" u="1"/>
        <s v="Pipe - A312 Seamless Stainless Steel 316L Imported Schedule 5 (BE x GRV)" u="1"/>
        <s v="Pipe - A312 Seamless Stainless Steel 316L Imported Schedule 5 (GRV x GRV)" u="1"/>
        <s v="Pipe - A312 Seamless Stainless Steel 316L Imported Schedule 5 (MPT x MPT)" u="1"/>
        <s v="Pipe - A312 Seamless Stainless Steel 316L Imported Schedule 80 (BE x BE)" u="1"/>
        <s v="Pipe - A312 Seamless Stainless Steel 316L Imported Schedule 80 (BE x GRV)" u="1"/>
        <s v="Pipe - A312 Seamless Stainless Steel 316L Imported Schedule 80 (GRV x GRV)" u="1"/>
        <s v="Pipe - A312 Seamless Stainless Steel 316L Imported Schedule 80 (MPT x MPT)" u="1"/>
        <s v="Pipe - A312 Welded Stainless Steel 316L Imported Schedule 10 (BE x BE)" u="1"/>
        <s v="Pipe - A312 Welded Stainless Steel 316L Imported Schedule 10 (BE x GRV)" u="1"/>
        <s v="Pipe - A312 Welded Stainless Steel 316L Imported Schedule 10 (GRV x GRV)" u="1"/>
        <s v="Pipe - A312 Welded Stainless Steel 316L Imported Schedule 10 (MPT x MPT)" u="1"/>
        <s v="Pipe - A312 Welded Stainless Steel 316L Imported Schedule 40 (BE x BE)" u="1"/>
        <s v="Pipe - A312 Welded Stainless Steel 316L Imported Schedule 40 (BE x GRV)" u="1"/>
        <s v="Pipe - A312 Welded Stainless Steel 316L Imported Schedule 40 (GRV x GRV)" u="1"/>
        <s v="Pipe - A312 Welded Stainless Steel 316L Imported Schedule 40 (MPT x MPT)" u="1"/>
        <s v="Pipe - A312 Welded Stainless Steel 316L Imported Schedule 5 (BE x BE)" u="1"/>
        <s v="Pipe - A312 Welded Stainless Steel 316L Imported Schedule 5 (BE x GRV)" u="1"/>
        <s v="Pipe - A312 Welded Stainless Steel 316L Imported Schedule 5 (GRV x GRV)" u="1"/>
        <s v="Pipe - A312 Welded Stainless Steel 316L Imported Schedule 5 (MPT x MPT)" u="1"/>
        <s v="Pipe - A312 Welded Stainless Steel 316L Imported Schedule 80 (BE x BE)" u="1"/>
        <s v="Pipe - A312 Welded Stainless Steel 316L Imported Schedule 80 (BE x GRV)" u="1"/>
        <s v="Pipe - A312 Welded Stainless Steel 316L Imported Schedule 80 (GRV x GRV)" u="1"/>
        <s v="Pipe - A312 Welded Stainless Steel 316L Imported Schedule 80 (MPT x MPT)" u="1"/>
        <s v="Pipe - A312 Seamless Stainless Steel 304L Domestic Schedule 10 (BE x BE)" u="1"/>
        <s v="Pipe - A312 Seamless Stainless Steel 304L Domestic Schedule 10 (BE x GRV)" u="1"/>
        <s v="Pipe - A312 Seamless Stainless Steel 304L Domestic Schedule 10 (GRV x GRV)" u="1"/>
        <s v="Pipe - A312 Seamless Stainless Steel 304L Domestic Schedule 10 (MPT x MPT)" u="1"/>
        <s v="Pipe - A312 Seamless Stainless Steel 304L Domestic Schedule 40 (BE x BE)" u="1"/>
        <s v="Pipe - A312 Seamless Stainless Steel 304L Domestic Schedule 40 (BE x GRV)" u="1"/>
        <s v="Pipe - A312 Seamless Stainless Steel 304L Domestic Schedule 40 (GRV x GRV)" u="1"/>
        <s v="Pipe - A312 Seamless Stainless Steel 304L Domestic Schedule 40 (MPT x MPT)" u="1"/>
        <s v="Pipe - A312 Seamless Stainless Steel 304L Domestic Schedule 5 (BE x BE)" u="1"/>
        <s v="Pipe - A312 Seamless Stainless Steel 304L Domestic Schedule 5 (BE x GRV)" u="1"/>
        <s v="Pipe - A312 Seamless Stainless Steel 304L Domestic Schedule 5 (GRV x GRV)" u="1"/>
        <s v="Pipe - A312 Seamless Stainless Steel 304L Domestic Schedule 5 (MPT x MPT)" u="1"/>
        <s v="Pipe - A312 Seamless Stainless Steel 304L Domestic Schedule 80 (BE x BE)" u="1"/>
        <s v="Pipe - A312 Seamless Stainless Steel 304L Domestic Schedule 80 (BE x GRV)" u="1"/>
        <s v="Pipe - A312 Seamless Stainless Steel 304L Domestic Schedule 80 (GRV x GRV)" u="1"/>
        <s v="Pipe - A312 Seamless Stainless Steel 304L Domestic Schedule 80 (MPT x MPT)" u="1"/>
        <s v="Pipe - A312 Welded Stainless Steel 304L Domestic Schedule 10 (BE x BE)" u="1"/>
        <s v="Pipe - A312 Welded Stainless Steel 304L Domestic Schedule 10 (BE x GRV)" u="1"/>
        <s v="Pipe - A312 Welded Stainless Steel 304L Domestic Schedule 10 (GRV x GRV)" u="1"/>
        <s v="Pipe - A312 Welded Stainless Steel 304L Domestic Schedule 10 (MPT x MPT)" u="1"/>
        <s v="Pipe - A312 Welded Stainless Steel 304L Domestic Schedule 40 (BE x BE)" u="1"/>
        <s v="Pipe - A312 Welded Stainless Steel 304L Domestic Schedule 40 (BE x GRV)" u="1"/>
        <s v="Pipe - A312 Welded Stainless Steel 304L Domestic Schedule 40 (GRV x GRV)" u="1"/>
        <s v="Pipe - A312 Welded Stainless Steel 304L Domestic Schedule 40 (MPT x MPT)" u="1"/>
        <s v="Pipe - A312 Welded Stainless Steel 304L Domestic Schedule 5 (BE x BE)" u="1"/>
        <s v="Pipe - A312 Welded Stainless Steel 304L Domestic Schedule 5 (BE x GRV)" u="1"/>
        <s v="Pipe - A312 Welded Stainless Steel 304L Domestic Schedule 5 (GRV x GRV)" u="1"/>
        <s v="Pipe - A312 Welded Stainless Steel 304L Domestic Schedule 5 (MPT x MPT)" u="1"/>
        <s v="Pipe - A312 Welded Stainless Steel 304L Domestic Schedule 80 (BE x BE)" u="1"/>
        <s v="Pipe - A312 Welded Stainless Steel 304L Domestic Schedule 80 (BE x GRV)" u="1"/>
        <s v="Pipe - A312 Welded Stainless Steel 304L Domestic Schedule 80 (GRV x GRV)" u="1"/>
        <s v="Pipe - A312 Welded Stainless Steel 304L Domestic Schedule 80 (MPT x MPT)" u="1"/>
        <s v="Pipe - A312 Seamless Stainless Steel 304L Imported Schedule 10 (BE x BE)" u="1"/>
        <s v="Pipe - A312 Seamless Stainless Steel 304L Imported Schedule 10 (BE x GRV)" u="1"/>
        <s v="Pipe - A312 Seamless Stainless Steel 304L Imported Schedule 10 (GRV x GRV)" u="1"/>
        <s v="Pipe - A312 Seamless Stainless Steel 304L Imported Schedule 10 (MPT x MPT)" u="1"/>
        <s v="Pipe - A312 Seamless Stainless Steel 304L Imported Schedule 40 (BE x BE)" u="1"/>
        <s v="Pipe - A312 Seamless Stainless Steel 304L Imported Schedule 40 (BE x GRV)" u="1"/>
        <s v="Pipe - A312 Seamless Stainless Steel 304L Imported Schedule 40 (GRV x GRV)" u="1"/>
        <s v="Pipe - A312 Seamless Stainless Steel 304L Imported Schedule 40 (MPT x MPT)" u="1"/>
        <s v="Pipe - A312 Seamless Stainless Steel 304L Imported Schedule 5 (BE x BE)" u="1"/>
        <s v="Pipe - A312 Seamless Stainless Steel 304L Imported Schedule 5 (BE x GRV)" u="1"/>
        <s v="Pipe - A312 Seamless Stainless Steel 304L Imported Schedule 5 (GRV x GRV)" u="1"/>
        <s v="Pipe - A312 Seamless Stainless Steel 304L Imported Schedule 5 (MPT x MPT)" u="1"/>
        <s v="Pipe - A312 Seamless Stainless Steel 304L Imported Schedule 80 (BE x BE)" u="1"/>
        <s v="Pipe - A312 Seamless Stainless Steel 304L Imported Schedule 80 (BE x GRV)" u="1"/>
        <s v="Pipe - A312 Seamless Stainless Steel 304L Imported Schedule 80 (GRV x GRV)" u="1"/>
        <s v="Pipe - A312 Seamless Stainless Steel 304L Imported Schedule 80 (MPT x MPT)" u="1"/>
        <s v="Pipe - A312 Welded Stainless Steel 304L Imported Schedule 10 (BE x BE)" u="1"/>
        <s v="Pipe - A312 Welded Stainless Steel 304L Imported Schedule 10 (BE x GRV)" u="1"/>
        <s v="Pipe - A312 Welded Stainless Steel 304L Imported Schedule 10 (GRV x GRV)" u="1"/>
        <s v="Pipe - A312 Welded Stainless Steel 304L Imported Schedule 10 (MPT x MPT)" u="1"/>
        <s v="Pipe - A312 Welded Stainless Steel 304L Imported Schedule 40 (BE x BE)" u="1"/>
        <s v="Pipe - A312 Welded Stainless Steel 304L Imported Schedule 40 (BE x GRV)" u="1"/>
        <s v="Pipe - A312 Welded Stainless Steel 304L Imported Schedule 40 (GRV x GRV)" u="1"/>
        <s v="Pipe - A312 Welded Stainless Steel 304L Imported Schedule 40 (MPT x MPT)" u="1"/>
        <s v="Pipe - A312 Welded Stainless Steel 304L Imported Schedule 5 (BE x BE)" u="1"/>
        <s v="Pipe - A312 Welded Stainless Steel 304L Imported Schedule 5 (BE x GRV)" u="1"/>
        <s v="Pipe - A312 Welded Stainless Steel 304L Imported Schedule 5 (GRV x GRV)" u="1"/>
        <s v="Pipe - A312 Welded Stainless Steel 304L Imported Schedule 5 (MPT x MPT)" u="1"/>
        <s v="Pipe - A312 Welded Stainless Steel 304L Imported Schedule 80 (BE x BE)" u="1"/>
        <s v="Pipe - A312 Welded Stainless Steel 304L Imported Schedule 80 (BE x GRV)" u="1"/>
        <s v="Pipe - A312 Welded Stainless Steel 304L Imported Schedule 80 (GRV x GRV)" u="1"/>
        <s v="Pipe - A312 Welded Stainless Steel 304L Imported Schedule 80 (MPT x MPT)" u="1"/>
        <s v="Pipe - B88 Copper Type K (GRV x GRV)" u="1"/>
        <s v="Pipe - B88 Copper Type K (GRV x GRV) - Pup Piece" u="1"/>
        <s v="Pipe - B88 Copper Type K (PE x PE)" u="1"/>
        <s v="Pipe - B88 Copper Type K (PE x PE) - Pup Piece" u="1"/>
        <s v="Pipe - B88 Copper Type L (GRV x GRV)" u="1"/>
        <s v="Pipe - B88 Copper Type L (GRV x GRV) - Pup Piece" u="1"/>
        <s v="Pipe - B88 Copper Type L (PE x PE)" u="1"/>
        <s v="Pipe - B88 Copper Type L (PE x PE) - Pup Piece" u="1"/>
        <s v="Pipe - B88 Copper Type M (GRV x GRV)" u="1"/>
        <s v="Pipe - B88 Copper Type M (GRV x GRV) - Pup Piece" u="1"/>
        <s v="Pipe - B88 Copper Type M (PE x PE)" u="1"/>
        <s v="Pipe - B88 Copper Type M (PE x PE) - Pup Piece" u="1"/>
        <s v="Nipple - Brass (MPT x MPT) - 2in" u="1"/>
        <s v="Nipple - Brass (MPT x MPT) - 3in" u="1"/>
        <s v="Nipple - Brass (MPT x MPT) - 4in" u="1"/>
        <s v="Nipple - Brass (MPT x MPT) - 6in" u="1"/>
        <s v="Nipple - Carbon Steel Schedule 40 (MPT x MPT) - 2in" u="1"/>
        <s v="Nipple - Carbon Steel Schedule 40 (MPT x MPT) - 3in" u="1"/>
        <s v="Nipple - Carbon Steel Schedule 40 (MPT x MPT) - 4in" u="1"/>
        <s v="Nipple - Carbon Steel Schedule 40 (MPT x MPT) - 6in" u="1"/>
        <s v="Nipple - Carbon Steel Schedule 80 (MPT x MPT) - 2in" u="1"/>
        <s v="Nipple - Carbon Steel Schedule 80 (MPT x MPT) - 3in" u="1"/>
        <s v="Nipple - Carbon Steel Schedule 80 (MPT x MPT) - 4in" u="1"/>
        <s v="Nipple - Carbon Steel Schedule 80 (MPT x MPT) - 6in" u="1"/>
        <s v="Nipple - Carbon Steel STD (BE x GRV) - 4in" u="1"/>
        <s v="Nipple - Carbon Steel STD (MPT x MPT) - 3in" u="1"/>
        <s v="Nipple - Carbon Steel STD (MPT x MPT) - 6in" u="1"/>
        <s v="Nipple - Carbon Steel STD TOE (BE x MPT) - Adjustable" u="1"/>
        <s v="Nipple - Carbon Steel XH (MPT x MPT) - 2in" u="1"/>
        <s v="Nipple - Carbon Steel XH (MPT x MPT) - 3in" u="1"/>
        <s v="Nipple - Carbon Steel XH (MPT x MPT) - 4in" u="1"/>
        <s v="Nipple - Carbon Steel XH (MPT x MPT) - 6in" u="1"/>
        <s v="Nipple - Carbon Steel XH TOE (BE x MPT) - 4in" u="1"/>
        <s v="Nipple - Carbon Steel XH TOE (BE x MPT) - Adjustable" u="1"/>
        <s v="Nipple - Stainless Steel 304L (BE x GRV) - 4in" u="1"/>
        <s v="Nipple - Stainless Steel 304L (MPT x MPT) - 2in" u="1"/>
        <s v="Nipple - Stainless Steel 304L (MPT x MPT) - 3in" u="1"/>
        <s v="Nipple - Stainless Steel 304L (MPT x MPT) - 4in" u="1"/>
        <s v="Nipple - Stainless Steel 304L (MPT x MPT) - 6in" u="1"/>
        <s v="Nipple - Stainless Steel 304L TOE (BE x MPT) - 4in" u="1"/>
        <s v="Nipple - Stainless Steel 316L (BE x GRV) - 4in" u="1"/>
        <s v="Nipple - Stainless Steel 316L (MPT x MPT) - 2in" u="1"/>
        <s v="Nipple - Stainless Steel 316L (MPT x MPT) - 3in" u="1"/>
        <s v="Nipple - Stainless Steel 316L (MPT x MPT) - 4in" u="1"/>
        <s v="Nipple - Stainless Steel 316L (MPT x MPT) - 6in" u="1"/>
        <s v="Nipple - Stainless Steel 316L TOE (BE x MPT) - 4in" u="1"/>
        <s v="Fishmouth - Carbon Steel STD (BE)" u="1"/>
        <s v="Fishmouth - Carbon Steel STD (GRV)" u="1"/>
        <s v="Fishmouth - Carbon Steel XH (BE)" u="1"/>
        <s v="Bullet - Copper Type DWV (BRZ) - 6in" u="1"/>
        <s v="Bullet - Copper Type DWV (BRZ) - 8in" u="1"/>
        <s v="Bullet - Copper Type DWV (BRZ) - Adjustable" u="1"/>
        <s v="Bullet - Copper Type K (BRZ) - 6in" u="1"/>
        <s v="Bullet - Copper Type K (BRZ) - 8in" u="1"/>
        <s v="Bullet - Copper Type K (BRZ) - Adjustable" u="1"/>
        <s v="Bullet - Copper Type L (BRZ) - 6in" u="1"/>
        <s v="Bullet - Copper Type L (BRZ) - 8in" u="1"/>
        <s v="Bullet - Copper Type L (BRZ) - Adjustable" u="1"/>
        <s v="Bullet - Copper Type M (BRZ) - 6in" u="1"/>
        <s v="Bullet - Copper Type M (BRZ) - 8in" u="1"/>
        <s v="Bullet - Copper Type M (BRZ) - Adjustable" u="1"/>
        <s v="Bullet - Copper Type DWV (PE) - 6in" u="1"/>
        <s v="Bullet - Copper Type DWV (PE) - 8in" u="1"/>
        <s v="Bullet - Copper Type DWV (PE) - Adjustable" u="1"/>
        <s v="Bullet - Copper Type K (PE) - 6in" u="1"/>
        <s v="Bullet - Copper Type K (PE) - 8in" u="1"/>
        <s v="Bullet - Copper Type K (PE) - Adjustable" u="1"/>
        <s v="Bullet - Copper Type L (PE) - 6in" u="1"/>
        <s v="Bullet - Copper Type L (PE) - 8in" u="1"/>
        <s v="Bullet - Copper Type L (PE) - Adjustable" u="1"/>
        <s v="Bullet - Copper Type M (PE) - 6in" u="1"/>
        <s v="Bullet - Copper Type M (PE) - 8in" u="1"/>
        <s v="Bullet - Copper Type M (PE) - Adjustable" u="1"/>
      </sharedItems>
    </cacheField>
    <cacheField name="Schedule/Rating" numFmtId="0">
      <sharedItems count="67">
        <s v="DWV"/>
        <s v="Wrot"/>
        <s v="Type M"/>
        <s v="Standard"/>
        <s v="Schedule/Rating" u="1"/>
        <s v="Type L" u="1"/>
        <s v="Schedule 40" u="1"/>
        <s v="Cast" u="1"/>
        <s v="Type K" u="1"/>
        <s v="Class 3000" u="1"/>
        <s v="Accessories" u="1"/>
        <s v="Nitrile Binder Class 150" u="1"/>
        <s v="" u="1"/>
        <s v="Pressure" u="1"/>
        <s v="None" u="1"/>
        <s v="STD" u="1"/>
        <s v="Sch40" u="1"/>
        <s v="Class 150" u="1"/>
        <s v="No Hub" u="1"/>
        <s v="Fernco 1056 Series Coupling" u="1"/>
        <s v="Extra Strong" u="1"/>
        <s v="316/316L Standard" u="1"/>
        <s v="304/304L Schedule 10S" u="1"/>
        <s v="304/304L Schedule 40S" u="1"/>
        <s v="316/316L Schedule 10S" u="1"/>
        <s v="316/316L Schedule 40S" u="1"/>
        <s v="Class 250" u="1"/>
        <s v="Class 300" u="1"/>
        <s v="Class 350" u="1"/>
        <s v="Class 200" u="1"/>
        <s v="ProPEX Ring" u="1"/>
        <s v="ProPEX" u="1"/>
        <s v="AquaPEX" u="1"/>
        <s v="304/304L Standard" u="1"/>
        <s v="Neoprene" u="1"/>
        <s v="Service Weight (Hub &amp; Spigot)" u="1"/>
        <s v="Schedule 80" u="1"/>
        <s v="304/304L Class 150" u="1"/>
        <s v="304/304L Schedule 80S" u="1"/>
        <s v="316/316L Class 150" u="1"/>
        <s v="316/316L Schedule 80S" u="1"/>
        <s v="304/304L Class 3000" u="1"/>
        <s v="316/316L Class 3000" u="1"/>
        <s v="ACR" u="1"/>
        <s v="GF Fuseal 25/50" u="1"/>
        <s v="SDR 11 (PN 10)" u="1"/>
        <s v="SDR 17.6 (PN 6)" u="1"/>
        <s v="Fernco 3000 Series Coupling" u="1"/>
        <s v="316/316L Tube" u="1"/>
        <s v="Class 6000" u="1"/>
        <s v="Schedule 160" u="1"/>
        <s v="Double Extra Strong" u="1"/>
        <s v="Class 125" u="1"/>
        <s v="304/304L Tube" u="1"/>
        <s v="Hanger" u="1"/>
        <s v="304/304L Hanger" u="1"/>
        <s v="316/316L Hanger" u="1"/>
        <s v="Red Rubber" u="1"/>
        <s v="Flexicarb" u="1"/>
        <s v="Class 9000" u="1"/>
        <s v="304/304L Schedule 160S" u="1"/>
        <s v="304/304L Class 6000" u="1"/>
        <s v="316/316L Schedule 160S" u="1"/>
        <s v="316/316L Class 6000" u="1"/>
        <s v="316/316L Schedule 5S" u="1"/>
        <s v="304/304L Schedule 5S" u="1"/>
        <s v="Red Brass Standard" u="1"/>
      </sharedItems>
    </cacheField>
    <cacheField name="Alias" numFmtId="0">
      <sharedItems count="4">
        <s v=""/>
        <s v="90"/>
        <s v="45"/>
        <s v="T"/>
      </sharedItems>
    </cacheField>
    <cacheField name="Manufacturer" numFmtId="0">
      <sharedItems count="4">
        <s v="Mueller"/>
        <s v="Nibco"/>
        <s v="(Generic)"/>
        <s v="Joint"/>
      </sharedItems>
    </cacheField>
    <cacheField name="Material Group" numFmtId="0">
      <sharedItems count="1">
        <s v="BIMrxDBS"/>
      </sharedItems>
    </cacheField>
    <cacheField name="Material Data" numFmtId="0">
      <sharedItems count="23">
        <s v="Copper"/>
        <s v="Carbon Steel"/>
        <s v="Material Data" u="1"/>
        <s v="PVC" u="1"/>
        <s v="Brass" u="1"/>
        <s v="Bronze" u="1"/>
        <s v="Galvanized Steel" u="1"/>
        <s v="Forged Steel" u="1"/>
        <s v="Ductile Iron" u="1"/>
        <s v="Aramid Fibers" u="1"/>
        <s v="" u="1"/>
        <s v="Wrot Copper" u="1"/>
        <s v="Metal Alloy" u="1"/>
        <s v="Cast Iron" u="1"/>
        <s v="Malleable Iron" u="1"/>
        <s v="Rubber" u="1"/>
        <s v="Stainless Steel" u="1"/>
        <s v="Crosslinked Polyethylene" u="1"/>
        <s v="Engineered Polymer (EP)" u="1"/>
        <s v="CPVC" u="1"/>
        <s v="PVDF" u="1"/>
        <s v="Polypropylene" u="1"/>
        <s v="Flexible Graphite" u="1"/>
      </sharedItems>
    </cacheField>
    <cacheField name="Material Abbreviation" numFmtId="0">
      <sharedItems count="2">
        <s v="Cu"/>
        <s v="CS"/>
      </sharedItems>
    </cacheField>
    <cacheField name="Size (inch)" numFmtId="0">
      <sharedItems count="1289">
        <s v="1-1/2"/>
        <s v="3/4"/>
        <s v="1-1/4"/>
        <s v="1-1/4x3/4"/>
        <s v="2-1/2" u="1"/>
        <s v="2" u="1"/>
        <s v="2x1-1/4x1-1/4" u="1"/>
        <s v="1" u="1"/>
        <s v="2x1-1/2x2" u="1"/>
        <s v="1-1/2x3/4" u="1"/>
        <s v="1x1x3/4" u="1"/>
        <s v="1x3/4" u="1"/>
        <s v="2-1/2x2" u="1"/>
        <s v="2x1/2x2" u="1"/>
        <s v="2x3/4x2" u="1"/>
        <s v="2x1x1" u="1"/>
        <s v="1x1/2x1" u="1"/>
        <s v="1x3/4x1" u="1"/>
        <s v="3/4x1/2x3/4" u="1"/>
        <s v="2x2x1" u="1"/>
        <s v="2x2x3/4" u="1"/>
        <s v="1x3/4x3/4" u="1"/>
        <s v="3/4x2-1/2" u="1"/>
        <s v="1x2-1/2" u="1"/>
        <s v="1/2x2-1/2" u="1"/>
        <s v="1-1/2x1x1" u="1"/>
        <s v="1-1/2x1-1/2x1" u="1"/>
        <s v="1-1/2x3/4x1-1/2" u="1"/>
        <s v="1/2" u="1"/>
        <s v="2x1-1/2x3/4" u="1"/>
        <s v="4" u="1"/>
        <s v="3/4x4" u="1"/>
        <s v="3/4x3/4x1/2" u="1"/>
        <s v="1-1/2x1/2x1-1/2" u="1"/>
        <s v="2-1/2x4" u="1"/>
        <s v="4x2-1/2" u="1"/>
        <s v="5" u="1"/>
        <s v="6" u="1"/>
        <s v="6x5" u="1"/>
        <s v="6x3" u="1"/>
        <s v="3" u="1"/>
        <s v="3x2-1/2" u="1"/>
        <s v="3x2" u="1"/>
        <s v="1/2x6" u="1"/>
        <s v="2x2x1/2" u="1"/>
        <s v="2x2x1-1/4" u="1"/>
        <s v="2x6" u="1"/>
        <s v="2x1-1/2" u="1"/>
        <s v="" u="1"/>
        <s v="1-1/2x1x1-1/2" u="1"/>
        <s v="1-1/4x1/2x1-1/4" u="1"/>
        <s v="1x1/2" u="1"/>
        <s v="2x1-1/4" u="1"/>
        <s v="2x1-1/2x1" u="1"/>
        <s v="1-1/2x1-1/4" u="1"/>
        <s v="1-1/2x1" u="1"/>
        <s v="2x3/4" u="1"/>
        <s v="1-1/2x2" u="1"/>
        <s v="8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2-1/2x1-1/4" u="1"/>
        <s v="2-1/2x1" u="1"/>
        <s v="3x1/2" u="1"/>
        <s v="1x1/2x3/4" u="1"/>
        <s v="3/4x1/2x1/2" u="1"/>
        <s v="2-1/2x1-1/2x2-1/2" u="1"/>
        <s v="2x1" u="1"/>
        <s v="2x1/2" u="1"/>
        <s v="2-1/2x1/2" u="1"/>
        <s v="3/4x1/2" u="1"/>
        <s v="1-1/4x1/2" u="1"/>
        <s v="1-1/4x1x3/4" u="1"/>
        <s v="1-1/2x1/2" u="1"/>
        <s v="1-1/4x3/4x1" u="1"/>
        <s v="1x3/4x1/2" u="1"/>
        <s v="1-1/4x1" u="1"/>
        <s v="4x2" u="1"/>
        <s v="4x3" u="1"/>
        <s v="Size (inch)" u="1"/>
        <s v="3x3/4" u="1"/>
        <s v="4x3/4" u="1"/>
        <s v="8x6" u="1"/>
        <s v="8x3/4" u="1"/>
        <s v="8x1" u="1"/>
        <s v="6x4" u="1"/>
        <s v="6x3/4" u="1"/>
        <s v="6x1/2" u="1"/>
        <s v="10" u="1"/>
        <s v="10x3/4" u="1"/>
        <s v="10x1/2" u="1"/>
        <s v="2-Jan" u="1"/>
        <s v="1/1/2004" u="1"/>
        <s v="4-Mar" u="1"/>
        <s v="1-1/4x1x1/2" u="1"/>
        <s v="1x1x1/2" u="1"/>
        <s v="1-1/4x1-1/4x1/2" u="1"/>
        <s v="1-1/4x3/4x1/2" u="1"/>
        <s v="1-1/4x1-1/4x3/4" u="1"/>
        <s v="2x8" u="1"/>
        <s v="2x1x2" u="1"/>
        <s v="8x8x6" u="1"/>
        <s v="8x8x4" u="1"/>
        <s v="6x6x4" u="1"/>
        <s v="1x4" u="1"/>
        <s v="3x3x2" u="1"/>
        <s v="4x4x3" u="1"/>
        <s v="1/1/2002" u="1"/>
        <s v="4x4x1-1/2" u="1"/>
        <s v="4x1" u="1"/>
        <s v="3-1/2" u="1"/>
        <s v="12" u="1"/>
        <s v="14" u="1"/>
        <s v="16" u="1"/>
        <s v="18" u="1"/>
        <s v="20" u="1"/>
        <s v="24" u="1"/>
        <s v="30" u="1"/>
        <s v="36" u="1"/>
        <s v="42" u="1"/>
        <s v="3-1/2x2" u="1"/>
        <s v="3-1/2x2-1/2" u="1"/>
        <s v="3-1/2x3" u="1"/>
        <s v="4x3-1/2" u="1"/>
        <s v="5x2-1/2" u="1"/>
        <s v="5x3" u="1"/>
        <s v="5x3-1/2" u="1"/>
        <s v="5x4" u="1"/>
        <s v="6x3-1/2" u="1"/>
        <s v="8x5" u="1"/>
        <s v="10x5" u="1"/>
        <s v="10x6" u="1"/>
        <s v="10x8" u="1"/>
        <s v="12x6" u="1"/>
        <s v="12x8" u="1"/>
        <s v="3x1-1/4" u="1"/>
        <s v="3-1/2x1-1/4" u="1"/>
        <s v="3-1/2x1-1/2" u="1"/>
        <s v="5x2" u="1"/>
        <s v="6x2" u="1"/>
        <s v="6x2-1/2" u="1"/>
        <s v="8x3-1/2" u="1"/>
        <s v="10x4" u="1"/>
        <s v="12x4" u="1"/>
        <s v="12x5" u="1"/>
        <s v="12x10" u="1"/>
        <s v="14x6" u="1"/>
        <s v="14x8" u="1"/>
        <s v="14x10" u="1"/>
        <s v="14x12" u="1"/>
        <s v="16x6" u="1"/>
        <s v="16x8" u="1"/>
        <s v="16x10" u="1"/>
        <s v="16x12" u="1"/>
        <s v="16x14" u="1"/>
        <s v="18x8" u="1"/>
        <s v="18x10" u="1"/>
        <s v="18x12" u="1"/>
        <s v="18x14" u="1"/>
        <s v="18x16" u="1"/>
        <s v="20x10" u="1"/>
        <s v="20x12" u="1"/>
        <s v="20x14" u="1"/>
        <s v="20x16" u="1"/>
        <s v="20x18" u="1"/>
        <s v="24x10" u="1"/>
        <s v="24x12" u="1"/>
        <s v="24x14" u="1"/>
        <s v="24x16" u="1"/>
        <s v="24x18" u="1"/>
        <s v="24x20" u="1"/>
        <s v="30x18" u="1"/>
        <s v="30x20" u="1"/>
        <s v="30x24" u="1"/>
        <s v="36x20" u="1"/>
        <s v="36x24" u="1"/>
        <s v="36x30" u="1"/>
        <s v="42x24" u="1"/>
        <s v="42x30" u="1"/>
        <s v="42x36" u="1"/>
        <s v="48x24" u="1"/>
        <s v="48x30" u="1"/>
        <s v="48x36" u="1"/>
        <s v="1-1/4x1-1/4x1" u="1"/>
        <s v="1-1/2x1-1/2x1/2" u="1"/>
        <s v="1-1/2x1-1/2x3/4" u="1"/>
        <s v="1-1/2x1-1/2x1-1/4" u="1"/>
        <s v="2x2x1-1/2" u="1"/>
        <s v="2-1/2x2-1/2x1" u="1"/>
        <s v="2-1/2x2-1/2x1-1/4" u="1"/>
        <s v="2-1/2x2-1/2x1-1/2" u="1"/>
        <s v="2-1/2x2-1/2x2" u="1"/>
        <s v="3x3x1" u="1"/>
        <s v="3x3x1-1/4" u="1"/>
        <s v="3x3x1-1/2" u="1"/>
        <s v="3-1/2x3-1/2x1-1/2" u="1"/>
        <s v="3-1/2x3-1/2x2" u="1"/>
        <s v="4x4x2" u="1"/>
        <s v="5x5x2" u="1"/>
        <s v="3x3x2-1/2" u="1"/>
        <s v="3-1/2x3-1/2x2-1/2" u="1"/>
        <s v="3-1/2x3-1/2x3" u="1"/>
        <s v="4x4x2-1/2" u="1"/>
        <s v="4x4x3-1/2" u="1"/>
        <s v="5x5x2-1/2" u="1"/>
        <s v="5x5x3" u="1"/>
        <s v="5x5x3-1/2" u="1"/>
        <s v="5x5x4" u="1"/>
        <s v="6x6x2-1/2" u="1"/>
        <s v="6x6x3" u="1"/>
        <s v="6x6x3-1/2" u="1"/>
        <s v="6x6x5" u="1"/>
        <s v="8x8x3" u="1"/>
        <s v="8x8x3-1/2" u="1"/>
        <s v="8x8x5" u="1"/>
        <s v="10x10x3" u="1"/>
        <s v="10x10x4" u="1"/>
        <s v="10x10x5" u="1"/>
        <s v="10x10x6" u="1"/>
        <s v="10x10x8" u="1"/>
        <s v="12x12x4" u="1"/>
        <s v="12x12x5" u="1"/>
        <s v="12x12x6" u="1"/>
        <s v="12x12x8" u="1"/>
        <s v="12x12x10" u="1"/>
        <s v="14x14x6" u="1"/>
        <s v="14x14x8" u="1"/>
        <s v="14x14x10" u="1"/>
        <s v="14x14x12" u="1"/>
        <s v="16x16x6" u="1"/>
        <s v="16x16x8" u="1"/>
        <s v="16x16x10" u="1"/>
        <s v="16x16x12" u="1"/>
        <s v="16x16x14" u="1"/>
        <s v="18x18x8" u="1"/>
        <s v="18x18x10" u="1"/>
        <s v="18x18x12" u="1"/>
        <s v="18x18x14" u="1"/>
        <s v="18x18x16" u="1"/>
        <s v="20x20x8" u="1"/>
        <s v="20x20x10" u="1"/>
        <s v="20x20x12" u="1"/>
        <s v="20x20x14" u="1"/>
        <s v="20x20x16" u="1"/>
        <s v="20x20x18" u="1"/>
        <s v="24x24x10" u="1"/>
        <s v="24x24x12" u="1"/>
        <s v="24x24x14" u="1"/>
        <s v="24x24x16" u="1"/>
        <s v="24x24x18" u="1"/>
        <s v="24x24x20" u="1"/>
        <s v="30x30x16" u="1"/>
        <s v="30x30x18" u="1"/>
        <s v="30x30x20" u="1"/>
        <s v="30x30x24" u="1"/>
        <s v="36x36x18" u="1"/>
        <s v="36x36x20" u="1"/>
        <s v="36x36x24" u="1"/>
        <s v="36x36x30" u="1"/>
        <s v="42x42x20" u="1"/>
        <s v="42x42x24" u="1"/>
        <s v="42x42x30" u="1"/>
        <s v="42x42x36" u="1"/>
        <s v="48x48x24" u="1"/>
        <s v="48x48x30" u="1"/>
        <s v="48x48x36" u="1"/>
        <s v="48" u="1"/>
        <s v="48x42" u="1"/>
        <s v="6x6x2" u="1"/>
        <s v="48x48x42" u="1"/>
        <s v="1/4  (0-15 PSI)" u="1"/>
        <s v="1/4  (0-30 PSI)" u="1"/>
        <s v="1/4  (0-60 PSI)" u="1"/>
        <s v="1/4  (0-100 PSI)" u="1"/>
        <s v="1/4  (0-160 PSI)" u="1"/>
        <s v="1/4  (0-200 PSI)" u="1"/>
        <s v="1/4  (0-300 PSI)" u="1"/>
        <s v="1/4  (0-400 PSI)" u="1"/>
        <s v="1/4  (0-600 PSI)" u="1"/>
        <s v="1/2  (0-15 PSI)" u="1"/>
        <s v="1/2  (0-30 PSI)" u="1"/>
        <s v="1/2  (0-60 PSI)" u="1"/>
        <s v="1/2  (0-100 PSI)" u="1"/>
        <s v="1/2  (0-160 PSI)" u="1"/>
        <s v="1/2  (0-200 PSI)" u="1"/>
        <s v="1/2  (0-300 PSI)" u="1"/>
        <s v="1/2  (0-400 PSI)" u="1"/>
        <s v="1/4" u="1"/>
        <s v="1/2  (0-600 PSI)" u="1"/>
        <s v="1/2x3/8" u="1"/>
        <s v="2-1/2x2-1/2x3/4" u="1"/>
        <s v="3x3x3/4" u="1"/>
        <s v="1/2x3/4" u="1"/>
        <s v="3/4x1" u="1"/>
        <s v="1x1-1/4" u="1"/>
        <s v="1-1/4x1-1/2" u="1"/>
        <s v="3/4x3/4x1/4" u="1"/>
        <s v="1/2x1/8x1/2" u="1"/>
        <s v="1/2x1/2x3/4" u="1"/>
        <s v="1/2x1/2x1" u="1"/>
        <s v="3/4x3/4x1" u="1"/>
        <s v="1-1/4x3/4x3/4" u="1"/>
        <s v="1-1/4x3/4x1-1/4" u="1"/>
        <s v="1-1/4x1x1" u="1"/>
        <s v="1-1/2x1x3/4" u="1"/>
        <s v="1-1/2x1-1/4x3/4" u="1"/>
        <s v="1-1/2x1-1/4x1" u="1"/>
        <s v="1-1/2x1-1/4x1-1/4" u="1"/>
        <s v="2x1-1/2x1-1/4" u="1"/>
        <s v="2x1-1/2x1-1/2" u="1"/>
        <s v="1/2x1" u="1"/>
        <s v="4x4x3/4" u="1"/>
        <s v="2-1/2x3/4x2-1/2" u="1"/>
        <s v="2-1/2x1x2-1/2" u="1"/>
        <s v="2-1/2x1-1/4x2-1/2" u="1"/>
        <s v="2-1/2x2x3/4" u="1"/>
        <s v="2-1/2x2x1" u="1"/>
        <s v="2-1/2x2x1-1/2" u="1"/>
        <s v="2-1/2x2x2" u="1"/>
        <s v="2-1/2x2x2-1/2" u="1"/>
        <s v="2-1/2x2-1/2x1/2" u="1"/>
        <s v="3x3/4x3" u="1"/>
        <s v="3x1x3" u="1"/>
        <s v="3x1-1/4x3" u="1"/>
        <s v="3x1-1/2x3" u="1"/>
        <s v="3x2x2" u="1"/>
        <s v="3x2x2-1/2" u="1"/>
        <s v="3x2x3" u="1"/>
        <s v="3x2-1/2x2" u="1"/>
        <s v="3x2-1/2x2-1/2" u="1"/>
        <s v="3x2-1/2x3" u="1"/>
        <s v="3x3x1/2" u="1"/>
        <s v="4x3x2" u="1"/>
        <s v="4x3x3" u="1"/>
        <s v="4x4x1/2" u="1"/>
        <s v="4x4x1" u="1"/>
        <s v="4x4x1-1/4" u="1"/>
        <s v="3/4x1/8x3/4" u="1"/>
        <s v="1x1x1-1/4" u="1"/>
        <s v="1x1x1/2x1/2x1/2" u="1"/>
        <s v="2x2x2x4-1/4" u="1"/>
        <s v="2x2x2x5" u="1"/>
        <s v="3x3x3x5" u="1"/>
        <s v="3x3x3x6-1/2" u="1"/>
        <s v="2-1/2x3/4" u="1"/>
        <s v="4-1/2" u="1"/>
        <s v="15" u="1"/>
        <s v="22" u="1"/>
        <s v="26" u="1"/>
        <s v="28" u="1"/>
        <s v="32" u="1"/>
        <s v="40" u="1"/>
        <s v="46" u="1"/>
        <s v="54" u="1"/>
        <s v="56" u="1"/>
        <s v="38" u="1"/>
        <s v="18x6" u="1"/>
        <s v="20x6" u="1"/>
        <s v="20x8" u="1"/>
        <s v="24x6" u="1"/>
        <s v="24x8" u="1"/>
        <s v="26x14" u="1"/>
        <s v="26x16" u="1"/>
        <s v="26x18" u="1"/>
        <s v="26x20" u="1"/>
        <s v="26x22" u="1"/>
        <s v="26x24" u="1"/>
        <s v="28x14" u="1"/>
        <s v="28x16" u="1"/>
        <s v="28x18" u="1"/>
        <s v="28x20" u="1"/>
        <s v="28x22" u="1"/>
        <s v="28x24" u="1"/>
        <s v="28x26" u="1"/>
        <s v="30x14" u="1"/>
        <s v="30x16" u="1"/>
        <s v="30x22" u="1"/>
        <s v="30x26" u="1"/>
        <s v="30x28" u="1"/>
        <s v="32x16" u="1"/>
        <s v="32x18" u="1"/>
        <s v="32x20" u="1"/>
        <s v="32x22" u="1"/>
        <s v="32x24" u="1"/>
        <s v="32x26" u="1"/>
        <s v="32x28" u="1"/>
        <s v="32x30" u="1"/>
        <s v="36x18" u="1"/>
        <s v="36x22" u="1"/>
        <s v="36x26" u="1"/>
        <s v="36x28" u="1"/>
        <s v="36x32" u="1"/>
        <s v="38x18" u="1"/>
        <s v="38x20" u="1"/>
        <s v="38x22" u="1"/>
        <s v="38x24" u="1"/>
        <s v="38x26" u="1"/>
        <s v="38x28" u="1"/>
        <s v="38x30" u="1"/>
        <s v="38x32" u="1"/>
        <s v="38x36" u="1"/>
        <s v="40x20" u="1"/>
        <s v="40x22" u="1"/>
        <s v="40x24" u="1"/>
        <s v="40x26" u="1"/>
        <s v="40x28" u="1"/>
        <s v="40x30" u="1"/>
        <s v="40x32" u="1"/>
        <s v="40x36" u="1"/>
        <s v="40x38" u="1"/>
        <s v="42x20" u="1"/>
        <s v="42x22" u="1"/>
        <s v="42x26" u="1"/>
        <s v="42x28" u="1"/>
        <s v="42x32" u="1"/>
        <s v="42x38" u="1"/>
        <s v="42x40" u="1"/>
        <s v="46x22" u="1"/>
        <s v="46x24" u="1"/>
        <s v="46x26" u="1"/>
        <s v="46x28" u="1"/>
        <s v="46x30" u="1"/>
        <s v="46x32" u="1"/>
        <s v="46x36" u="1"/>
        <s v="46x38" u="1"/>
        <s v="46x40" u="1"/>
        <s v="46x42" u="1"/>
        <s v="48x26" u="1"/>
        <s v="48x28" u="1"/>
        <s v="48x32" u="1"/>
        <s v="48x38" u="1"/>
        <s v="48x40" u="1"/>
        <s v="48x46" u="1"/>
        <s v="54x26" u="1"/>
        <s v="54x28" u="1"/>
        <s v="54x30" u="1"/>
        <s v="54x32" u="1"/>
        <s v="54x36" u="1"/>
        <s v="54x38" u="1"/>
        <s v="54x40" u="1"/>
        <s v="54x42" u="1"/>
        <s v="54x46" u="1"/>
        <s v="54x48" u="1"/>
        <s v="56x28" u="1"/>
        <s v="56x30" u="1"/>
        <s v="56x32" u="1"/>
        <s v="56x36" u="1"/>
        <s v="56x38" u="1"/>
        <s v="56x40" u="1"/>
        <s v="56x42" u="1"/>
        <s v="56x46" u="1"/>
        <s v="56x48" u="1"/>
        <s v="56x54" u="1"/>
        <s v="60x30" u="1"/>
        <s v="60x32" u="1"/>
        <s v="60x36" u="1"/>
        <s v="60x38" u="1"/>
        <s v="60x40" u="1"/>
        <s v="60x42" u="1"/>
        <s v="60x46" u="1"/>
        <s v="60x48" u="1"/>
        <s v="60x54" u="1"/>
        <s v="14x4" u="1"/>
        <s v="34" u="1"/>
        <s v="44" u="1"/>
        <s v="50" u="1"/>
        <s v="60" u="1"/>
        <s v="62" u="1"/>
        <s v="5x5x8" u="1"/>
        <s v="5x1" u="1"/>
        <s v="5x1-1/2" u="1"/>
        <s v="6x1" u="1"/>
        <s v="6x1-1/2" u="1"/>
        <s v="6-1/2x3" u="1"/>
        <s v="6-1/2x4" u="1"/>
        <s v="10x1-1/2" u="1"/>
        <s v="10x2" u="1"/>
        <s v="10x2-1/2" u="1"/>
        <s v="10x3" u="1"/>
        <s v="12x1" u="1"/>
        <s v="12x2" u="1"/>
        <s v="12x2-1/2" u="1"/>
        <s v="12x3" u="1"/>
        <s v="18x4" u="1"/>
        <s v="4x1/2" u="1"/>
        <s v="6x1-1/4" u="1"/>
        <s v="6x4-1/2" u="1"/>
        <s v="10x1" u="1"/>
        <s v="14x14x4" u="1"/>
        <s v="16x16x4" u="1"/>
        <s v="18x18x6" u="1"/>
        <s v="20x20x6" u="1"/>
        <s v="24x24x6" u="1"/>
        <s v="24x24x8" u="1"/>
        <s v="8x8x2-1/2" u="1"/>
        <s v="4x4x4" u="1"/>
        <s v="60x56" u="1"/>
        <s v="72" u="1"/>
        <s v="6x6x8" u="1"/>
        <s v="3/4x3/4" u="1"/>
        <s v="1/2 (8)" u="1"/>
        <s v="1/2 (15)" u="1"/>
        <s v="2-1/2 (12)" u="1"/>
        <s v="1/2 (3-1/2x8)" u="1"/>
        <s v="1/2 (8x13)" u="1"/>
        <s v="1/2 (13x8)" u="1"/>
        <s v="3/4 (4x8)" u="1"/>
        <s v="1/2 (3x4)" u="1"/>
        <s v="1x3/4x1-1/4" u="1"/>
        <s v="1-1/2x3/4x3/4" u="1"/>
        <s v="3x2-1/2x1-1/2" u="1"/>
        <s v="1x1" u="1"/>
        <s v="3/4x3/4x3/4" u="1"/>
        <s v="3 (14)" u="1"/>
        <s v="1 (13x8)" u="1"/>
        <s v="1/2 (3x6)" u="1"/>
        <s v="4-6" u="1"/>
        <s v="4-12" u="1"/>
        <s v="4-24" u="1"/>
        <s v="6-6" u="1"/>
        <s v="6-12" u="1"/>
        <s v="6-18" u="1"/>
        <s v="6-24" u="1"/>
        <s v="8-6" u="1"/>
        <s v="8-12" u="1"/>
        <s v="8-18" u="1"/>
        <s v="8-24" u="1"/>
        <s v="10-12" u="1"/>
        <s v="10-18" u="1"/>
        <s v="12-12" u="1"/>
        <s v="12-18" u="1"/>
        <s v="12-24" u="1"/>
        <s v="4-18" u="1"/>
        <s v="10-24" u="1"/>
        <s v="16-12" u="1"/>
        <s v="16-18" u="1"/>
        <s v="20-12" u="1"/>
        <s v="16x2" u="1"/>
        <s v="18x2" u="1"/>
        <s v="20x2" u="1"/>
        <s v="14x2" u="1"/>
        <s v="4x4x6" u="1"/>
        <s v="8x8x2" u="1"/>
        <s v="10x10x2" u="1"/>
        <s v="20-18" u="1"/>
        <s v="24x2" u="1"/>
        <s v="12x12x2" u="1"/>
        <s v="3/8" u="1"/>
        <s v="3x4 (L)" u="1"/>
        <s v="3x4 (M)" u="1"/>
        <s v="4x6 (N)" u="1"/>
        <s v="4x6 (P)" u="1"/>
        <s v="6x8 (Q)" u="1"/>
        <s v="6x8 (R)" u="1"/>
        <s v="3/8x1/4" u="1"/>
        <s v="1/2x1/8" u="1"/>
        <s v="1/2x1/4" u="1"/>
        <s v="3/4x1/4" u="1"/>
        <s v="3/4x3/8" u="1"/>
        <s v="1x3/8" u="1"/>
        <s v="1-1/2x1/4" u="1"/>
        <s v="1/4x1/8" u="1"/>
        <s v="1x1/4" u="1"/>
        <s v="1x1x1/2x1/2" u="1"/>
        <s v="1x1x1/2x3/4" u="1"/>
        <s v="1-1/4x1-1/4x1/2x1/2" u="1"/>
        <s v="1-1/4x1-1/4x3/4x3/4" u="1"/>
        <s v="1-1/2x1-1/2x1/2x1/2" u="1"/>
        <s v="1-1/2x1-1/2x3/4x3/4" u="1"/>
        <s v="1-1/2x1-1/2x1x1" u="1"/>
        <s v="2x2x3/4x3/4" u="1"/>
        <s v="2-1/2x2-1/2x1x1" u="1"/>
        <s v="2-1/2x2-1/2x1-1/2x1-1/2" u="1"/>
        <s v="3x3x1-1/4x1-1/4" u="1"/>
        <s v="3x3x2x2" u="1"/>
        <s v="4x4x2x2" u="1"/>
        <s v="6x6x1" u="1"/>
        <s v="1-1/4x1x1-1/4" u="1"/>
        <s v="6x6x3/4" u="1"/>
        <s v="6x6x1-1/4" u="1"/>
        <s v="6x6x1-1/2" u="1"/>
        <s v="8x8x1" u="1"/>
        <s v="1x1/8" u="1"/>
        <s v="1-1/2x1/8" u="1"/>
        <s v="2x2x1-1/2x1-1/2" u="1"/>
        <s v="5x5x1-1/2" u="1"/>
        <s v="6x6x1/2" u="1"/>
        <s v="1/8" u="1"/>
        <s v="4x4x3x3" u="1"/>
        <s v="1/4x3/8" u="1"/>
        <s v="1/4x1/2" u="1"/>
        <s v="1/4x3/4" u="1"/>
        <s v="1/4x1" u="1"/>
        <s v="1/4x1-1/4" u="1"/>
        <s v="1/4x1-1/2" u="1"/>
        <s v="1/4x2" u="1"/>
        <s v="1/4x2-1/2" u="1"/>
        <s v="1/4x3" u="1"/>
        <s v="1/4x3-1/2" u="1"/>
        <s v="1/4x4" u="1"/>
        <s v="1/4x5" u="1"/>
        <s v="1/4x6" u="1"/>
        <s v="1/4x8" u="1"/>
        <s v="1/4x10" u="1"/>
        <s v="1/4x12" u="1"/>
        <s v="1/4x14" u="1"/>
        <s v="1/4x16" u="1"/>
        <s v="1/4x18" u="1"/>
        <s v="1/4x20" u="1"/>
        <s v="1/4x24" u="1"/>
        <s v="1/4x26" u="1"/>
        <s v="1/4x28" u="1"/>
        <s v="1/4x30" u="1"/>
        <s v="1/4x32" u="1"/>
        <s v="1/4x36" u="1"/>
        <s v="3/8x1/2" u="1"/>
        <s v="3/8x3/4" u="1"/>
        <s v="3/8x1" u="1"/>
        <s v="3/8x1-1/4" u="1"/>
        <s v="3/8x1-1/2" u="1"/>
        <s v="3/8x2" u="1"/>
        <s v="3/8x2-1/2" u="1"/>
        <s v="3/8x3" u="1"/>
        <s v="3/8x3-1/2" u="1"/>
        <s v="3/8x4" u="1"/>
        <s v="3/8x5" u="1"/>
        <s v="3/8x6" u="1"/>
        <s v="3/8x8" u="1"/>
        <s v="3/8x10" u="1"/>
        <s v="3/8x12" u="1"/>
        <s v="3/8x14" u="1"/>
        <s v="3/8x16" u="1"/>
        <s v="3/8x18" u="1"/>
        <s v="3/8x20" u="1"/>
        <s v="3/8x24" u="1"/>
        <s v="3/8x26" u="1"/>
        <s v="3/8x28" u="1"/>
        <s v="3/8x30" u="1"/>
        <s v="3/8x32" u="1"/>
        <s v="3/8x36" u="1"/>
        <s v="1/2x1-1/4" u="1"/>
        <s v="1/2x1-1/2" u="1"/>
        <s v="1/2x2" u="1"/>
        <s v="1/2x3" u="1"/>
        <s v="1/2x3-1/2" u="1"/>
        <s v="1/2x4" u="1"/>
        <s v="1/2x5" u="1"/>
        <s v="1/2x8" u="1"/>
        <s v="1/2x10" u="1"/>
        <s v="1/2x12" u="1"/>
        <s v="1/2x14" u="1"/>
        <s v="1/2x16" u="1"/>
        <s v="1/2x18" u="1"/>
        <s v="1/2x20" u="1"/>
        <s v="1/2x24" u="1"/>
        <s v="1/2x26" u="1"/>
        <s v="1/2x28" u="1"/>
        <s v="1/2x30" u="1"/>
        <s v="1/2x32" u="1"/>
        <s v="1/2x36" u="1"/>
        <s v="3/4x1-1/2" u="1"/>
        <s v="3/4x2" u="1"/>
        <s v="3/4x3" u="1"/>
        <s v="3/4x3-1/2" u="1"/>
        <s v="3/4x5" u="1"/>
        <s v="3/4x6" u="1"/>
        <s v="3/4x8" u="1"/>
        <s v="3/4x10" u="1"/>
        <s v="3/4x12" u="1"/>
        <s v="3/4x14" u="1"/>
        <s v="3/4x16" u="1"/>
        <s v="3/4x18" u="1"/>
        <s v="3/4x20" u="1"/>
        <s v="3/4x24" u="1"/>
        <s v="3/4x26" u="1"/>
        <s v="3/4x28" u="1"/>
        <s v="3/4x30" u="1"/>
        <s v="3/4x32" u="1"/>
        <s v="3/4x36" u="1"/>
        <s v="1x3" u="1"/>
        <s v="1x3-1/2" u="1"/>
        <s v="1x5" u="1"/>
        <s v="1x6" u="1"/>
        <s v="1x8" u="1"/>
        <s v="1x10" u="1"/>
        <s v="1x12" u="1"/>
        <s v="1x14" u="1"/>
        <s v="1x16" u="1"/>
        <s v="1x18" u="1"/>
        <s v="1x20" u="1"/>
        <s v="1x24" u="1"/>
        <s v="1x26" u="1"/>
        <s v="1x28" u="1"/>
        <s v="1x30" u="1"/>
        <s v="1x32" u="1"/>
        <s v="1x36" u="1"/>
        <s v="1-1/4x4" u="1"/>
        <s v="1-1/4x5" u="1"/>
        <s v="1-1/4x6" u="1"/>
        <s v="1-1/4x8" u="1"/>
        <s v="1-1/4x10" u="1"/>
        <s v="1-1/4x12" u="1"/>
        <s v="1-1/4x14" u="1"/>
        <s v="1-1/4x16" u="1"/>
        <s v="1-1/4x18" u="1"/>
        <s v="1-1/4x20" u="1"/>
        <s v="1-1/4x24" u="1"/>
        <s v="1-1/4x26" u="1"/>
        <s v="1-1/4x28" u="1"/>
        <s v="1-1/4x30" u="1"/>
        <s v="1-1/4x32" u="1"/>
        <s v="1-1/4x36" u="1"/>
        <s v="1-1/2x6" u="1"/>
        <s v="1-1/2x8" u="1"/>
        <s v="1-1/2x10" u="1"/>
        <s v="1-1/2x12" u="1"/>
        <s v="1-1/2x14" u="1"/>
        <s v="1-1/2x16" u="1"/>
        <s v="1-1/2x18" u="1"/>
        <s v="1-1/2x20" u="1"/>
        <s v="1-1/2x24" u="1"/>
        <s v="1-1/2x26" u="1"/>
        <s v="1-1/2x28" u="1"/>
        <s v="1-1/2x30" u="1"/>
        <s v="1-1/2x32" u="1"/>
        <s v="1-1/2x36" u="1"/>
        <s v="2x10" u="1"/>
        <s v="2x12" u="1"/>
        <s v="2x14" u="1"/>
        <s v="2x16" u="1"/>
        <s v="2x18" u="1"/>
        <s v="2x20" u="1"/>
        <s v="2x24" u="1"/>
        <s v="2x26" u="1"/>
        <s v="2x28" u="1"/>
        <s v="2x30" u="1"/>
        <s v="2x32" u="1"/>
        <s v="2x36" u="1"/>
        <s v="2-1/2x10" u="1"/>
        <s v="2-1/2x12" u="1"/>
        <s v="2-1/2x14" u="1"/>
        <s v="2-1/2x16" u="1"/>
        <s v="2-1/2x18" u="1"/>
        <s v="2-1/2x20" u="1"/>
        <s v="2-1/2x24" u="1"/>
        <s v="2-1/2x26" u="1"/>
        <s v="2-1/2x28" u="1"/>
        <s v="2-1/2x30" u="1"/>
        <s v="2-1/2x32" u="1"/>
        <s v="2-1/2x36" u="1"/>
        <s v="3x16" u="1"/>
        <s v="3x18" u="1"/>
        <s v="3x20" u="1"/>
        <s v="3x24" u="1"/>
        <s v="3x26" u="1"/>
        <s v="3x28" u="1"/>
        <s v="3x30" u="1"/>
        <s v="3x32" u="1"/>
        <s v="1x2" u="1"/>
        <s v="1-1/4x3-1/2" u="1"/>
        <s v="1-1/2x5" u="1"/>
        <s v="3x8" u="1"/>
        <s v="3x10" u="1"/>
        <s v="3x12" u="1"/>
        <s v="3x14" u="1"/>
        <s v="3/4x1-1/4" u="1"/>
        <s v="3x36" u="1"/>
        <s v="1/2 (6-1/4in)" u="1"/>
        <s v="3/4 (7-1/4in)" u="1"/>
        <s v="1 (9-1/4in)" u="1"/>
        <s v="1 (9-1/2in)" u="1"/>
        <s v="1 (11-1/4in)" u="1"/>
        <s v="1/2 (7-1/8in)" u="1"/>
        <s v="3/4 (9-7/16in)" u="1"/>
        <s v="1 (11-1/2in)" u="1"/>
        <s v="1 (10-5/8in)" u="1"/>
        <s v="1 (12-5/8in)" u="1"/>
        <s v="1 (12in)" u="1"/>
        <s v="1 (13-3/8in)" u="1"/>
        <s v="1/4 (1.5in)" u="1"/>
        <s v="1/4 (3in)" u="1"/>
        <s v="3/8 (1.5in)" u="1"/>
        <s v="1/2 (1.5in)" u="1"/>
        <s v="1/2 (3in)" u="1"/>
        <s v="3/4 (1.5in)" u="1"/>
        <s v="1 -1/2" u="1"/>
        <s v="1/8x3/16O.D." u="1"/>
        <s v="5/16O.D.x1/8" u="1"/>
        <s v="1/4x5/16O.D." u="1"/>
        <s v="3/8x1/8" u="1"/>
        <s v="3/8x5/16O.D." u="1"/>
        <s v="5/8x1/4" u="1"/>
        <s v="5/8x3/8" u="1"/>
        <s v="5/8x1/2" u="1"/>
        <s v="3/4x5/8" u="1"/>
        <s v="1x5/8" u="1"/>
        <s v="1-1/4x5/8" u="1"/>
        <s v="3/16O.D." u="1"/>
        <s v="5/16O.D." u="1"/>
        <s v="5/8" u="1"/>
        <s v="7/8" u="1"/>
        <s v="1/8x1/4" u="1"/>
        <s v="5/8x3/4" u="1"/>
        <s v="1x1-1/2" u="1"/>
        <s v="1/8x1/8x1/4" u="1"/>
        <s v="1/4x1/4x3/8" u="1"/>
        <s v="1/4x1/4x1/2" u="1"/>
        <s v="3/8x3/8x1/2" u="1"/>
        <s v="1/2x1/2x5/8" u="1"/>
        <s v="5/8x5/8x3/4" u="1"/>
        <s v="1x1x1-1/2" u="1"/>
        <s v="1-1/4x1-1/4x1-1/2" u="1"/>
        <s v="1-1/4x1-1/4x2" u="1"/>
        <s v="1-1/2x1-1/2x2" u="1"/>
        <s v="3/16.O.D." u="1"/>
        <s v="1/8x1/8x3/16.O.D." u="1"/>
        <s v="1/8x3/16.O.D.x1/8" u="1"/>
        <s v="5/16.O.D." u="1"/>
        <s v="5/16.O.D.x1/8x1/8" u="1"/>
        <s v="5/16.O.D.x1/8x5/16.O.D." u="1"/>
        <s v="5/16.O.D.x5/16.O.D.x1/8" u="1"/>
        <s v="5/16.O.D.x5/16.O.D.x1/4" u="1"/>
        <s v="1/4x1/8x1/8" u="1"/>
        <s v="1/4x1/8x1/4" u="1"/>
        <s v="1/4x5/16.O.D.x1/4" u="1"/>
        <s v="1/4x1/4x1/8" u="1"/>
        <s v="1/4x1/4x3/16.O.D." u="1"/>
        <s v="1/4x1/4x5/16.O.D." u="1"/>
        <s v="3/8x1/8x1/8" u="1"/>
        <s v="3/8x1/8x3/8" u="1"/>
        <s v="3/8x1/4x1/8" u="1"/>
        <s v="3/8x3/8x1/8" u="1"/>
        <s v="3/8x3/8x5/16.O.D." u="1"/>
        <s v="3/8x1/4x1/4" u="1"/>
        <s v="3/8x1/4x3/8" u="1"/>
        <s v="3/8x3/8x1/4" u="1"/>
        <s v="1/2x1/4x3/8" u="1"/>
        <s v="1/2x3/8x1/4" u="1"/>
        <s v="1/2x3/8x3/8" u="1"/>
        <s v="1/2x3/8x1/2" u="1"/>
        <s v="1/2x1/2x1/8" u="1"/>
        <s v="1/2x1/2x1/4" u="1"/>
        <s v="1/2x1/2x3/8" u="1"/>
        <s v="5/8x3/8x3/8" u="1"/>
        <s v="5/8x3/8x5/8" u="1"/>
        <s v="5/8x1/2x1/2" u="1"/>
        <s v="5/8x1/2x5/8" u="1"/>
        <s v="5/8x5/8x1/4" u="1"/>
        <s v="5/8x5/8x3/8" u="1"/>
        <s v="5/8x5/8x1/2" u="1"/>
        <s v="3/4x3/8x3/8" u="1"/>
        <s v="3/4x3/8x1/2" u="1"/>
        <s v="3/4x3/8x3/4" u="1"/>
        <s v="3/4x1/2x3/8" u="1"/>
        <s v="3/4x5/8x5/8" u="1"/>
        <s v="3/4x5/8x3/4" u="1"/>
        <s v="3/4x3/4x1/8" u="1"/>
        <s v="3/4x3/4x3/8" u="1"/>
        <s v="3/4x3/4x5/8" u="1"/>
        <s v="1x1/2x1/2" u="1"/>
        <s v="1x1x1/4" u="1"/>
        <s v="1x1x3/8" u="1"/>
        <s v="1x1x5/8" u="1"/>
        <s v="1-1/4x1-1/4x3/8" u="1"/>
        <s v="1-1/2x3/4x1/2" u="1"/>
        <s v="1-1/2x3/4x1" u="1"/>
        <s v="1-1/2x3/4x1-1/4" u="1"/>
        <s v="1-1/2x1x1/2" u="1"/>
        <s v="1-1/2x1x1-1/4" u="1"/>
        <s v="1-1/2x1-1/4x1/2" u="1"/>
        <s v="1-1/2x1-1/4x1-1/2" u="1"/>
        <s v="2x1-1/4x3/4" u="1"/>
        <s v="2x1-1/4x1" u="1"/>
        <s v="2x1-1/4x1-1/2" u="1"/>
        <s v="2x1-1/4x2" u="1"/>
        <s v="2x1-1/2x1/2" u="1"/>
        <s v="2-1/2x1-1/4x2" u="1"/>
        <s v="2-1/2x2x1-1/4" u="1"/>
        <s v="3x2-1/2x1" u="1"/>
        <s v="3x2-1/2x1-1/4" u="1"/>
        <s v="4x1x4" u="1"/>
        <s v="4x2x2" u="1"/>
        <s v="4x2x4" u="1"/>
        <s v="4x2-1/2x2-1/2" u="1"/>
        <s v="4x2-1/2x4" u="1"/>
        <s v="4x3x2-1/2" u="1"/>
        <s v="4x3x4" u="1"/>
        <s v="5x2x5" u="1"/>
        <s v="5x4x4" u="1"/>
        <s v="5x4x5" u="1"/>
        <s v="5x5x1" u="1"/>
        <s v="5x5x1-1/4" u="1"/>
        <s v="6x4x1-1/2" u="1"/>
        <s v="6x4x4" u="1"/>
        <s v="6x4x6" u="1"/>
        <s v="2x2x2-1/2" u="1"/>
        <s v="1-1/4x1/2x1" u="1"/>
        <s v="2-1/2x2-1/2x3" u="1"/>
        <s v="1/2x3/4x1/2" u="1"/>
        <s v="3x4x18" u="1"/>
        <s v="1/4x4-1/2" u="1"/>
        <s v="3/8x1-29/32" u="1"/>
        <s v="1/2x1-9/16" u="1"/>
        <s v="1/2x1-7/8" u="1"/>
        <s v="1/2x2-1/4" u="1"/>
        <s v="1/2x3-3/8" u="1"/>
        <s v="5/8x2" u="1"/>
        <s v="5/8x2-1/8" u="1"/>
        <s v="5/8x2-1/2" u="1"/>
        <s v="5/8x3-3/8" u="1"/>
        <s v="5/8x4" u="1"/>
        <s v="3/4x3-3/8" u="1"/>
        <s v="1x3-1/4" u="1"/>
        <s v="1-1/4x3-3/4" u="1"/>
        <s v="1-1/2x4-1/2" u="1"/>
        <s v="1/2x1/4x1/4" u="1"/>
        <s v="1/2x1/4x1/2" u="1"/>
        <s v="5/8x3/8x1/2" u="1"/>
        <s v="5/8x1/2x3/8" u="1"/>
        <s v="3/4x1/2x1/4" u="1"/>
        <s v="3/4x1/2x5/8" u="1"/>
        <s v="1x5/8x1/2" u="1"/>
        <s v="1x5/8x5/8" u="1"/>
        <s v="1x5/8x3/4" u="1"/>
        <s v="1x5/8x1" u="1"/>
        <s v="1x3/4x3/8" u="1"/>
        <s v="1x3/4x5/8" u="1"/>
        <s v="1-1/2x1-1/2x3/8" u="1"/>
        <s v="2x1-1/4x1/2" u="1"/>
        <s v="2-1/2x1x1" u="1"/>
        <s v="2-1/2x1x1-1/4" u="1"/>
        <s v="2-1/2x1x1-1/2" u="1"/>
        <s v="2-1/2x1x2" u="1"/>
        <s v="2-1/2x1-1/4x1/2" u="1"/>
        <s v="2-1/2x1-1/4x3/4" u="1"/>
        <s v="2-1/2x1-1/4x1" u="1"/>
        <s v="2-1/2x1-1/4x1-1/4" u="1"/>
        <s v="2-1/2x1-1/4x1-1/2" u="1"/>
        <s v="2-1/2x1-1/2x1/2" u="1"/>
        <s v="2-1/2x1-1/2x3/4" u="1"/>
        <s v="2-1/2x1-1/2x1" u="1"/>
        <s v="2-1/2x1-1/2x1-1/4" u="1"/>
        <s v="2-1/2x1-1/2x1-1/2" u="1"/>
        <s v="2-1/2x1-1/2x2" u="1"/>
        <s v="2-1/2x2x1/2" u="1"/>
        <s v="3x2x1" u="1"/>
        <s v="3x2x1-1/4" u="1"/>
        <s v="3x2x1-1/2" u="1"/>
        <s v="4x1-1/4x4" u="1"/>
        <s v="4x1-1/2x4" u="1"/>
        <s v="3/8&quot; OD (1/4)" u="1"/>
        <s v="1/2&quot; OD (3/8)" u="1"/>
        <s v="5/8&quot; OD (1/2)" u="1"/>
        <s v="3/4&quot; OD (5/8)" u="1"/>
        <s v="7/8&quot; OD (3/4)" u="1"/>
        <s v="1-1/8&quot; OD (1)" u="1"/>
        <s v="1-3/8&quot; OD (1-1/8)" u="1"/>
        <s v="1-5/8&quot; OD (1-1/2)" u="1"/>
        <s v="2-1/8&quot; OD (2)" u="1"/>
        <s v="2-5/8&quot; OD (2-1/2)" u="1"/>
        <s v="3/4x1-5/16" u="1"/>
        <s v="3x3x4" u="1"/>
        <s v="3x4x24" u="1"/>
        <s v="2x5-1/2" u="1"/>
        <s v="2x2x3" u="1"/>
        <s v="3-1/8&quot; OD (3)" u="1"/>
        <s v="3x3x1-1/2x1-1/2" u="1"/>
        <s v="9" u="1"/>
        <s v="15x12" u="1"/>
        <s v="5x5x4x4" u="1"/>
        <s v="6x6x4x4" u="1"/>
        <s v="6x6x3x3" u="1"/>
        <s v="8x8x4x4" u="1"/>
        <s v="8x8x6x6" u="1"/>
        <s v="10x10x6x6" u="1"/>
        <s v="10x10x8x8" u="1"/>
        <s v="12x12x6x6" u="1"/>
        <s v="12x12x8x8" u="1"/>
        <s v="4x4" u="1"/>
        <s v="4x6" u="1"/>
        <s v="2x4" u="1"/>
        <s v="3x4" u="1"/>
        <s v="4x5" u="1"/>
        <s v="4x8" u="1"/>
        <s v="5x6" u="1"/>
        <s v="6x8" u="1"/>
        <s v="4x12" u="1"/>
        <s v="4x16" u="1"/>
        <s v="4x18" u="1"/>
        <s v="3x3x3x2" u="1"/>
        <s v="4x4x4x2" u="1"/>
        <s v="4x4x4x3" u="1"/>
        <s v="5x5x5x4" u="1"/>
        <s v="6x6x6x4" u="1"/>
        <s v="2x2x1-1/2x22-7/8" u="1"/>
        <s v="2x2x1-1/2x1-1/2x22-7/8" u="1"/>
        <s v="2x2x1-1/2x31" u="1"/>
        <s v="2x2x1-1/2x1-1/2x31" u="1"/>
        <s v="3x2x3x3" u="1"/>
        <s v="3x3x3x3x2x2" u="1"/>
        <s v="4x4x1-1/2x1-1/2" u="1"/>
        <s v="2x3" u="1"/>
        <s v="4x14" u="1"/>
        <s v="8x14" u="1"/>
        <s v="8x16" u="1"/>
        <s v="10x14" u="1"/>
        <s v="10x16" u="1"/>
        <s v="12x14" u="1"/>
        <s v="12x16" u="1"/>
        <s v="1-1/2x3" u="1"/>
        <s v="3x6" u="1"/>
        <s v="4x10" u="1"/>
        <s v="6x10" u="1"/>
        <s v="6x12" u="1"/>
        <s v="8x10" u="1"/>
        <s v="8x12" u="1"/>
        <s v="16x4" u="1"/>
        <s v="10x10x4x4" u="1"/>
        <s v="12x12x4x4" u="1"/>
        <s v="3x3x3x1-1/2" u="1"/>
        <s v="3x3x3x2x2" u="1"/>
        <s v="3x3x3x3x2" u="1"/>
        <s v="2x1-1/2x1-1/2x1-1/2" u="1"/>
        <s v="12x12x10x10" u="1"/>
        <s v="14x14x6x6" u="1"/>
        <s v="14x14x8x8" u="1"/>
        <s v="14x14x10x10" u="1"/>
        <s v="14x14x12x12" u="1"/>
        <s v="16x16x6x6" u="1"/>
        <s v="16x16x8x8" u="1"/>
        <s v="16x16x10x10" u="1"/>
        <s v="2x2x1 1/4" u="1"/>
        <s v="2x2x1 1/2" u="1"/>
        <s v="4x4x4x4x2" u="1"/>
        <s v="4x24" u="1"/>
        <s v="6x18" u="1"/>
        <s v="4x4x4x2x2" u="1"/>
        <s v="2x2x18" u="1"/>
        <s v="2x34" u="1"/>
        <s v="2x22-7/8" u="1"/>
        <s v="2x31" u="1"/>
        <s v="4x2x4x4" u="1"/>
        <s v="4x4x4x4x2x2" u="1"/>
        <s v="2x2x1-1/4x1-1/4" u="1"/>
        <s v="4x3x3-1/2" u="1"/>
        <s v="14x16" u="1"/>
        <s v="10x12" u="1"/>
        <s v="4'" u="1"/>
        <s v="16x16x12x12" u="1"/>
        <s v="3x6x1-1/2" u="1"/>
        <s v="1/8x1/2" u="1"/>
        <s v="1/8x3/4" u="1"/>
        <s v="1/8x1" u="1"/>
        <s v="1/8x1-1/2" u="1"/>
        <s v="1/8x2" u="1"/>
        <s v="1/8x2-1/2" u="1"/>
        <s v="1/8x3" u="1"/>
        <s v="1/8x3-1/2" u="1"/>
        <s v="1/8x4" u="1"/>
        <s v="1/8x5" u="1"/>
        <s v="1/8x6" u="1"/>
        <s v="1/8x8" u="1"/>
        <s v="1-1/4x1/4" u="1"/>
        <s v="1-1/4x3/8" u="1"/>
        <s v="1/8x14" u="1"/>
        <s v="1/4x22" u="1"/>
        <s v="1/4x34" u="1"/>
        <s v="3/8x22" u="1"/>
        <s v="3/8x34" u="1"/>
        <s v="1/2x22" u="1"/>
        <s v="1/2x34" u="1"/>
        <s v="3/4x22" u="1"/>
        <s v="3/4x34" u="1"/>
        <s v="1x22" u="1"/>
        <s v="1x34" u="1"/>
        <s v="1-1/4x2-1/2" u="1"/>
        <s v="1-1/4x3" u="1"/>
        <s v="1-1/4x22" u="1"/>
        <s v="1-1/4x34" u="1"/>
        <s v="1-1/2x2-1/2" u="1"/>
        <s v="1-1/2x3-1/2" u="1"/>
        <s v="1-1/2x4" u="1"/>
        <s v="1-1/2x22" u="1"/>
        <s v="1-1/2x34" u="1"/>
        <s v="2x2-1/2" u="1"/>
        <s v="2x3-1/2" u="1"/>
        <s v="2x5" u="1"/>
        <s v="2x22" u="1"/>
        <s v="2-1/2x2-1/2" u="1"/>
        <s v="2-1/2x3" u="1"/>
        <s v="2-1/2x3-1/2" u="1"/>
        <s v="2-1/2x5" u="1"/>
        <s v="2-1/2x6" u="1"/>
        <s v="2-1/2x8" u="1"/>
        <s v="2-1/2x22" u="1"/>
        <s v="2-1/2x34" u="1"/>
        <s v="3x3" u="1"/>
        <s v="3x3-1/2" u="1"/>
        <s v="3x5" u="1"/>
        <s v="3x22" u="1"/>
        <s v="1/8x1/8" u="1"/>
        <s v="1/4x1/4" u="1"/>
        <s v="3/8x3/8" u="1"/>
        <s v="1/2x1/2" u="1"/>
        <s v="1-1/4x1-1/4" u="1"/>
        <s v="1-1/4x2" u="1"/>
        <s v="1-1/2x1-1/2" u="1"/>
        <s v="2x2" u="1"/>
        <s v="3x34" u="1"/>
        <s v="4x20" u="1"/>
        <s v="4x22" u="1"/>
        <s v="4x26" u="1"/>
        <s v="4x28" u="1"/>
        <s v="4x30" u="1"/>
        <s v="4x32" u="1"/>
        <s v="4x34" u="1"/>
        <s v="4x36" u="1"/>
        <s v="1/8x4-1/2" u="1"/>
        <s v="1/8x5-1/2" u="1"/>
        <s v="1/8x7" u="1"/>
        <s v="1/8x9" u="1"/>
        <s v="1/8x10" u="1"/>
        <s v="1/8x11" u="1"/>
        <s v="1/8x12" u="1"/>
        <s v="1/4x5-1/2" u="1"/>
        <s v="1/4x7" u="1"/>
        <s v="1/4x9" u="1"/>
        <s v="1/4x11" u="1"/>
        <s v="3/8x4-1/2" u="1"/>
        <s v="3/8x5-1/2" u="1"/>
        <s v="3/8x7" u="1"/>
        <s v="3/8x9" u="1"/>
        <s v="3/8x11" u="1"/>
        <s v="1/2x4-1/2" u="1"/>
        <s v="1/2x5-1/2" u="1"/>
        <s v="1/2x7" u="1"/>
        <s v="1/2x9" u="1"/>
        <s v="1/2x11" u="1"/>
        <s v="3/4x4-1/2" u="1"/>
        <s v="3/4x5-1/2" u="1"/>
        <s v="3/4x7" u="1"/>
        <s v="3/4x9" u="1"/>
        <s v="3/4x11" u="1"/>
        <s v="1x4-1/2" u="1"/>
        <s v="1x5-1/2" u="1"/>
        <s v="1x7" u="1"/>
        <s v="1x9" u="1"/>
        <s v="1x11" u="1"/>
        <s v="1-1/4x4-1/2" u="1"/>
        <s v="1-1/4x5-1/2" u="1"/>
        <s v="1-1/4x7" u="1"/>
        <s v="1-1/4x9" u="1"/>
        <s v="1-1/4x11" u="1"/>
        <s v="1-1/2x5-1/2" u="1"/>
        <s v="1-1/2x7" u="1"/>
        <s v="1-1/2x9" u="1"/>
        <s v="1-1/2x11" u="1"/>
        <s v="2x4-1/2" u="1"/>
        <s v="2x7" u="1"/>
        <s v="2x9" u="1"/>
        <s v="2x11" u="1"/>
        <s v="2-1/2x4-1/2" u="1"/>
        <s v="2-1/2x5-1/2" u="1"/>
        <s v="2-1/2x7" u="1"/>
        <s v="2-1/2x9" u="1"/>
        <s v="2-1/2x11" u="1"/>
        <s v="3x4-1/2" u="1"/>
        <s v="3x5-1/2" u="1"/>
        <s v="3x7" u="1"/>
        <s v="3x9" u="1"/>
        <s v="3x11" u="1"/>
        <s v="4x4-1/2" u="1"/>
        <s v="4x5-1/2" u="1"/>
        <s v="4x7" u="1"/>
        <s v="4x9" u="1"/>
        <s v="4x11" u="1"/>
        <s v="5x4-1/2" u="1"/>
        <s v="5x5" u="1"/>
        <s v="5x5-1/2" u="1"/>
        <s v="5x7" u="1"/>
        <s v="5x8" u="1"/>
        <s v="5x9" u="1"/>
        <s v="5x10" u="1"/>
        <s v="5x11" u="1"/>
        <s v="5x12" u="1"/>
        <s v="6x5-1/2" u="1"/>
        <s v="6x6" u="1"/>
        <s v="6x7" u="1"/>
        <s v="6x9" u="1"/>
        <s v="6x11" u="1"/>
        <s v="3-1/2x3-1/2" u="1"/>
        <s v="3-1/2x4" u="1"/>
        <s v="3-1/2x4-1/2" u="1"/>
        <s v="3-1/2x5" u="1"/>
        <s v="3-1/2x5-1/2" u="1"/>
        <s v="3-1/2x6" u="1"/>
        <s v="3-1/2x7" u="1"/>
        <s v="3-1/2x8" u="1"/>
        <s v="3-1/2x9" u="1"/>
        <s v="3-1/2x10" u="1"/>
        <s v="3-1/2x11" u="1"/>
        <s v="3-1/2x12" u="1"/>
        <s v="3/4x1/8" u="1"/>
        <s v="3/4x1/4x3/4" u="1"/>
        <s v="1x1/4x1" u="1"/>
        <s v="3/4x3/4x1-1/4" u="1"/>
        <s v="1x1x2" u="1"/>
        <s v="1-1/2x3/8" u="1"/>
        <s v="2x1/4" u="1"/>
        <s v="2-1/2x2-1/2x4" u="1"/>
        <s v="4x4x5" u="1"/>
        <s v="1-1/2x1-1/2x2-1/2" u="1"/>
        <s v="1x1x3/4x3/4" u="1"/>
        <s v="1-1/4x1-1/4x1x1" u="1"/>
        <s v="1-1/2x1x1x1" u="1"/>
        <s v="1-1/2x1-1/4x1x1" u="1"/>
        <s v="1-1/2x1-1/2x1-1/4x1" u="1"/>
        <s v="1-1/2x1-1/2x1-1/4x1-1/4" u="1"/>
        <s v="2x1-1/2x1x1" u="1"/>
        <s v="2x1-1/2x1-1/4x1" u="1"/>
        <s v="2x1-1/2x1-1/4x1-1/4" u="1"/>
        <s v="2x2x1x1" u="1"/>
        <s v="2x3/8" u="1"/>
        <s v="7" u="1"/>
        <s v="1-1/8" u="1"/>
        <s v="1-3/8" u="1"/>
        <s v="1-5/8" u="1"/>
        <s v="2-1/8" u="1"/>
        <s v="2-5/8" u="1"/>
        <s v="3-1/8" u="1"/>
        <s v="5x14" u="1"/>
        <s v="5x16" u="1"/>
        <s v="5x18" u="1"/>
        <s v="5x20" u="1"/>
        <s v="5x24" u="1"/>
        <s v="5x30" u="1"/>
        <s v="5x36" u="1"/>
        <s v="6x14" u="1"/>
        <s v="6x16" u="1"/>
        <s v="6x20" u="1"/>
        <s v="6x24" u="1"/>
        <s v="6x30" u="1"/>
        <s v="6x36" u="1"/>
        <s v="8x18" u="1"/>
        <s v="8x20" u="1"/>
        <s v="8x24" u="1"/>
        <s v="8x30" u="1"/>
        <s v="8x36" u="1"/>
        <s v="10x18" u="1"/>
        <s v="10x20" u="1"/>
        <s v="10x24" u="1"/>
        <s v="10x30" u="1"/>
        <s v="10x36" u="1"/>
        <s v="12x18" u="1"/>
        <s v="12x20" u="1"/>
        <s v="12x24" u="1"/>
        <s v="12x30" u="1"/>
        <s v="12x36" u="1"/>
        <s v="14x18" u="1"/>
        <s v="14x20" u="1"/>
        <s v="14x24" u="1"/>
        <s v="14x30" u="1"/>
        <s v="14x36" u="1"/>
        <s v="16x18" u="1"/>
        <s v="16x20" u="1"/>
        <s v="16x24" u="1"/>
        <s v="16x30" u="1"/>
        <s v="16x36" u="1"/>
        <s v="18x20" u="1"/>
        <s v="18x24" u="1"/>
        <s v="18x30" u="1"/>
        <s v="18x36" u="1"/>
        <s v="20x24" u="1"/>
        <s v="20x30" u="1"/>
        <s v="20x36" u="1"/>
        <s v="24x30" u="1"/>
        <s v="24x36" u="1"/>
        <s v="24x40" u="1"/>
        <s v="30x36" u="1"/>
        <s v="30x40" u="1"/>
        <s v="36x40" u="1"/>
      </sharedItems>
    </cacheField>
    <cacheField name="Size (dec)" numFmtId="0">
      <sharedItems containsSemiMixedTypes="0" containsString="0" containsNumber="1" minValue="0.75" maxValue="1.5" count="3">
        <n v="1.5"/>
        <n v="0.75"/>
        <n v="1.25"/>
      </sharedItems>
    </cacheField>
    <cacheField name="Inlet Diameter" numFmtId="0">
      <sharedItems count="20">
        <s v="1 1/2&quot;"/>
        <s v="3/4&quot;"/>
        <s v="1 1/4&quot;"/>
        <s v="2-1/2" u="1"/>
        <s v="2&quot;" u="1"/>
        <s v="1&quot;" u="1"/>
        <s v="2" u="1"/>
        <s v="1" u="1"/>
        <s v="3/4" u="1"/>
        <s v="1/2" u="1"/>
        <s v="1-1/2" u="1"/>
        <s v="4" u="1"/>
        <s v="5" u="1"/>
        <s v="6" u="1"/>
        <s v="3" u="1"/>
        <s v="" u="1"/>
        <s v="1-1/4" u="1"/>
        <s v="8" u="1"/>
        <s v="2 1/2&quot;" u="1"/>
        <s v="1/2&quot;" u="1"/>
      </sharedItems>
    </cacheField>
    <cacheField name="Size Outlets" numFmtId="0">
      <sharedItems containsString="0" containsBlank="1" containsNumber="1" minValue="0" maxValue="1000000" count="47">
        <n v="1.5"/>
        <n v="0.75"/>
        <n v="1.25"/>
        <m/>
        <n v="2" u="1"/>
        <n v="1" u="1"/>
        <n v="0.5" u="1"/>
        <n v="1000000" u="1"/>
        <n v="2.5" u="1"/>
        <n v="5" u="1"/>
        <n v="3" u="1"/>
        <n v="4" u="1"/>
        <n v="8" u="1"/>
        <n v="0" u="1"/>
        <n v="6" u="1"/>
        <n v="3.5" u="1"/>
        <n v="10" u="1"/>
        <n v="12" u="1"/>
        <n v="14" u="1"/>
        <n v="16" u="1"/>
        <n v="18" u="1"/>
        <n v="20" u="1"/>
        <n v="24" u="1"/>
        <n v="30" u="1"/>
        <n v="36" u="1"/>
        <n v="42" u="1"/>
        <n v="48" u="1"/>
        <n v="0.375" u="1"/>
        <n v="22" u="1"/>
        <n v="26" u="1"/>
        <n v="28" u="1"/>
        <n v="32" u="1"/>
        <n v="40" u="1"/>
        <n v="38" u="1"/>
        <n v="46" u="1"/>
        <n v="54" u="1"/>
        <n v="56" u="1"/>
        <n v="4.5" u="1"/>
        <n v="60" u="1"/>
        <n v="0.25" u="1"/>
        <n v="0.125" u="1"/>
        <n v="0.188" u="1"/>
        <n v="0.313" u="1"/>
        <n v="0.625" u="1"/>
        <n v="0.875" u="1"/>
        <n v="0.438" u="1"/>
        <n v="15" u="1"/>
      </sharedItems>
    </cacheField>
    <cacheField name="Size Branches" numFmtId="0">
      <sharedItems count="4">
        <s v=""/>
        <s v="1 1/2&quot;"/>
        <s v="3/4&quot;"/>
        <s v="1 1/4&quot;"/>
      </sharedItems>
    </cacheField>
    <cacheField name="RFA Size" numFmtId="0">
      <sharedItems count="1">
        <s v=""/>
      </sharedItems>
    </cacheField>
    <cacheField name="RFA Size (max)" numFmtId="0">
      <sharedItems count="1">
        <s v=""/>
      </sharedItems>
    </cacheField>
    <cacheField name="RFA Size (max dec)" numFmtId="0">
      <sharedItems count="1">
        <s v=""/>
      </sharedItems>
    </cacheField>
    <cacheField name="Length (ft)" numFmtId="0">
      <sharedItems count="1378">
        <s v="14' - 4 1/2&quot;"/>
        <s v="7' - 0 3/8&quot;"/>
        <s v="11' - 11 5/8&quot;"/>
        <s v="5' - 8 3/8&quot;"/>
        <s v="9' - 11 3/8&quot;"/>
        <s v="10' - 7 1/8&quot;"/>
        <s v=""/>
        <s v="3' - 2 5/8&quot;"/>
        <s v="3' - 5&quot;"/>
        <s v="2' - 8 1/2&quot;"/>
        <s v="0' - 2 5/8&quot;"/>
        <s v="2' - 4 1/4&quot;"/>
        <s v="1' - 4 7/8&quot;"/>
        <s v="0' - 5 1/2&quot;"/>
        <s v="11' - 3 1/8&quot;"/>
        <s v="7' - 1 1/2&quot;"/>
        <s v="0' - 10 3/4&quot;"/>
        <s v="0' - 11 1/4&quot;"/>
        <s v="8' - 11&quot;"/>
        <s v="20' - 0&quot;"/>
        <s v="2' - 7 1/4&quot;"/>
        <s v="9' - 11 3/4&quot;"/>
        <s v="0' - 5 7/8&quot;"/>
        <s v="2' - 6 7/8&quot;"/>
        <s v="2' - 10 1/2&quot;"/>
        <s v="12' - 5 5/8&quot;"/>
        <s v="1' - 10 5/8&quot;"/>
        <s v="5' - 10 5/8&quot;"/>
        <s v="12' - 6 3/8&quot;"/>
        <s v="7' - 3 7/8&quot;"/>
        <s v="18' - 7 1/4&quot;"/>
        <s v="0' - 3 1/8&quot;"/>
        <s v="20'-0&quot;" u="1"/>
        <s v="13' - 0 5/8&quot;" u="1"/>
        <s v="12' - 10 1/8&quot;" u="1"/>
        <s v="9' - 7 1/2&quot;" u="1"/>
        <s v="9' - 10 1/2&quot;" u="1"/>
        <s v="0' - 4 3/8&quot;" u="1"/>
        <s v="19' - 9 1/2&quot;" u="1"/>
        <s v="3' - 1 5/8&quot;" u="1"/>
        <s v="19' - 1 1/2&quot;" u="1"/>
        <s v="19' - 7 3/4&quot;" u="1"/>
        <s v="18' - 4 5/8&quot;" u="1"/>
        <s v="5' - 9 1/2&quot;" u="1"/>
        <s v="17' - 11 1/2&quot;" u="1"/>
        <s v="4' - 1 5/8&quot;" u="1"/>
        <s v="1' - 9&quot;" u="1"/>
        <s v="2' - 9&quot;" u="1"/>
        <s v="8' - 3 1/4&quot;" u="1"/>
        <s v="17' - 11&quot;" u="1"/>
        <s v="11' - 8 1/2&quot;" u="1"/>
        <s v="18' - 5 5/8&quot;" u="1"/>
        <s v="11' - 2 3/4&quot;" u="1"/>
        <s v="4' - 8 3/4&quot;" u="1"/>
        <s v="10' - 1 1/4&quot;" u="1"/>
        <s v="15' - 0&quot;" u="1"/>
        <s v="15' - 9&quot;" u="1"/>
        <s v="14' - 7&quot;" u="1"/>
        <s v="13' - 2 1/2&quot;" u="1"/>
        <s v="0' - 4 3/4&quot;" u="1"/>
        <s v="1' - 3 3/8&quot;" u="1"/>
        <s v="1' - 9 1/8&quot;" u="1"/>
        <s v="8' - 4 7/8&quot;" u="1"/>
        <s v="8' - 11 1/4&quot;" u="1"/>
        <s v="12' - 11 7/8&quot;" u="1"/>
        <s v="7' - 4 7/8&quot;" u="1"/>
        <s v="14' - 4 3/4&quot;" u="1"/>
        <s v="2' - 11 3/8&quot;" u="1"/>
        <s v="0' - 3 1/4&quot;" u="1"/>
        <s v="0' - 3&quot;" u="1"/>
        <s v="0' - 5&quot;" u="1"/>
        <s v="19' - 3 3/8&quot;" u="1"/>
        <s v="0' - 3 3/4&quot;" u="1"/>
        <s v="19' - 4 7/8&quot;" u="1"/>
        <s v="21' - 0&quot;" u="1"/>
        <s v="0' - 3 1/2&quot;" u="1"/>
        <s v="0' - 0 1/16&quot;" u="1"/>
        <s v="0' - 4&quot;" u="1"/>
        <s v="0' - 0 7/8&quot;" u="1"/>
        <s v="0' - 0&quot;" u="1"/>
        <s v="3' - 10 7/8&quot;" u="1"/>
        <s v="9' - 8 1/16&quot;" u="1"/>
        <s v="5' - 10 9/16&quot;" u="1"/>
        <s v="0' - 2 9/16&quot;" u="1"/>
        <s v="0' - 4 13/16&quot;" u="1"/>
        <s v="1' - 6 1/16&quot;" u="1"/>
        <s v="16' - 0 3/4&quot;" u="1"/>
        <s v="15' - 5 5/8&quot;" u="1"/>
        <s v="2' - 5 1/4&quot;" u="1"/>
        <s v="1' - 4 1/4&quot;" u="1"/>
        <s v="3' - 3 1/4&quot;" u="1"/>
        <s v="4' - 5 7/8&quot;" u="1"/>
        <s v="9' - 6 3/4&quot;" u="1"/>
        <s v="5' - 3 7/16&quot;" u="1"/>
        <s v="2' - 7 5/16&quot;" u="1"/>
        <s v="0' - 4 11/16&quot;" u="1"/>
        <s v="0' - 2 1/2&quot;" u="1"/>
        <s v="6' - 7 1/8&quot;" u="1"/>
        <s v="12' - 3 7/16&quot;" u="1"/>
        <s v="11' - 9 3/16&quot;" u="1"/>
        <s v="12' - 0 1/8&quot;" u="1"/>
        <s v="13' - 8 13/16&quot;" u="1"/>
        <s v="0' - 7 15/16&quot;" u="1"/>
        <s v="0' - 4 1/4&quot;" u="1"/>
        <s v="3' - 6 5/16&quot;" u="1"/>
        <s v="0' - 1 5/8&quot;" u="1"/>
        <s v="0' - 0 11/16&quot;" u="1"/>
        <s v="0' - 4 9/16&quot;" u="1"/>
        <s v="13' - 4 3/16&quot;" u="1"/>
        <s v="5' - 9 1/16&quot;" u="1"/>
        <s v="1' - 0 1/16&quot;" u="1"/>
        <s v="0' - 1 3/8&quot;" u="1"/>
        <s v="3' - 7 15/16&quot;" u="1"/>
        <s v="1' - 0 1/4&quot;" u="1"/>
        <s v="0' - 1 5/16&quot;" u="1"/>
        <s v="6' - 4 13/16&quot;" u="1"/>
        <s v="0' - 8 1/2&quot;" u="1"/>
        <s v="0' - 1&quot;" u="1"/>
        <s v="0' - 0 7/16&quot;" u="1"/>
        <s v="1' - 8 1/16&quot;" u="1"/>
        <s v="4' - 1 7/8&quot;" u="1"/>
        <s v="4' - 2 1/16&quot;" u="1"/>
        <s v="3' - 0 3/16&quot;" u="1"/>
        <s v="13' - 2&quot;" u="1"/>
        <s v="6' - 3 3/16&quot;" u="1"/>
        <s v="3' - 2 1/16&quot;" u="1"/>
        <s v="6' - 7 1/4&quot;" u="1"/>
        <s v="2' - 0&quot;" u="1"/>
        <s v="8' - 3&quot;" u="1"/>
        <s v="2' - 4 7/8&quot;" u="1"/>
        <s v="8' - 5 7/16&quot;" u="1"/>
        <s v="7' - 7 3/8&quot;" u="1"/>
        <s v="7' - 2 1/8&quot;" u="1"/>
        <s v="2' - 5 5/8&quot;" u="1"/>
        <s v="7' - 0 5/8&quot;" u="1"/>
        <s v="6' - 6 1/8&quot;" u="1"/>
        <s v="6' - 5 1/8&quot;" u="1"/>
        <s v="7' - 1 1/16&quot;" u="1"/>
        <s v="7' - 6 1/8&quot;" u="1"/>
        <s v="3' - 0 1/2&quot;" u="1"/>
        <s v="3' - 6 5/8&quot;" u="1"/>
        <s v="0' - 8 3/16&quot;" u="1"/>
        <s v="0' - 8 1/16&quot;" u="1"/>
        <s v="12' - 0 1/16&quot;" u="1"/>
        <s v="3' - 1 1/2&quot;" u="1"/>
        <s v="10' - 10&quot;" u="1"/>
        <s v="0' - 6 1/16&quot;" u="1"/>
        <s v="0' - 6 15/16&quot;" u="1"/>
        <s v="6' - 10 3/8&quot;" u="1"/>
        <s v="0' - 4 1/8&quot;" u="1"/>
        <s v="0' - 3 5/16&quot;" u="1"/>
        <s v="0' - 4 1/16&quot;" u="1"/>
        <s v="0' - 0 5/8&quot;" u="1"/>
        <s v="2' - 7 11/16&quot;" u="1"/>
        <s v="1' - 5 9/16&quot;" u="1"/>
        <s v="3' - 1 9/16&quot;" u="1"/>
        <s v="2' - 6 5/8&quot;" u="1"/>
        <s v="8' - 1 1/4&quot;" u="1"/>
        <s v="2' - 0 1/2&quot;" u="1"/>
        <s v="7' - 5 3/16&quot;" u="1"/>
        <s v="0' - 1 1/16&quot;" u="1"/>
        <s v="5' - 9 1/8&quot;" u="1"/>
        <s v="0' - 8 3/8&quot;" u="1"/>
        <s v="13' - 6 1/8&quot;" u="1"/>
        <s v="13' - 0 1/4&quot;" u="1"/>
        <s v="5' - 0&quot;" u="1"/>
        <s v="5' - 5 7/8&quot;" u="1"/>
        <s v="7' - 0 1/2&quot;" u="1"/>
        <s v="4' - 6 1/8&quot;" u="1"/>
        <s v="4' - 8 7/16&quot;" u="1"/>
        <s v="4' - 6&quot;" u="1"/>
        <s v="3' - 2 1/2&quot;" u="1"/>
        <s v="4' - 4 1/8&quot;" u="1"/>
        <s v="3' - 1 1/4&quot;" u="1"/>
        <s v="4' - 10&quot;" u="1"/>
        <s v="0' - 7&quot;" u="1"/>
        <s v="1' - 3 5/16&quot;" u="1"/>
        <s v="3' - 0 9/16&quot;" u="1"/>
        <s v="0' - 8 1/8&quot;" u="1"/>
        <s v="4' - 2 1/2&quot;" u="1"/>
        <s v="10' - 0 13/16&quot;" u="1"/>
        <s v="9' - 6 15/16&quot;" u="1"/>
        <s v="3' - 5 11/16&quot;" u="1"/>
        <s v="2' - 11 13/16&quot;" u="1"/>
        <s v="0' - 0 9/16&quot;" u="1"/>
        <s v="1' - 7 1/2&quot;" u="1"/>
        <s v="4' - 3 3/16&quot;" u="1"/>
        <s v="4' - 11 3/16&quot;" u="1"/>
        <s v="0' - 2&quot;" u="1"/>
        <s v="0' - 0 13/16&quot;" u="1"/>
        <s v="0' - 2 15/16&quot;" u="1"/>
        <s v="1' - 2 7/16&quot;" u="1"/>
        <s v="1' - 6 7/16&quot;" u="1"/>
        <s v="0' - 7 1/2&quot;" u="1"/>
        <s v="1' - 1 5/8&quot;" u="1"/>
        <s v="1' - 3 7/16&quot;" u="1"/>
        <s v="0' - 8&quot;" u="1"/>
        <s v="0' - 0 3/4&quot;" u="1"/>
        <s v="0' - 0 15/16&quot;" u="1"/>
        <s v="0' - 7 1/4&quot;" u="1"/>
        <s v="0' - 6 3/8&quot;" u="1"/>
        <s v="1' - 0&quot;" u="1"/>
        <s v="5' - 2 1/8&quot;" u="1"/>
        <s v="6' - 6 9/16&quot;" u="1"/>
        <s v="6' - 6 5/8&quot;" u="1"/>
        <s v="4' - 7 15/16&quot;" u="1"/>
        <s v="11' - 9 11/16&quot;" u="1"/>
        <s v="10' - 9 7/16&quot;" u="1"/>
        <s v="5' - 8 1/4&quot;" u="1"/>
        <s v="9' - 5 3/16&quot;" u="1"/>
        <s v="3' - 3 13/16&quot;" u="1"/>
        <s v="9' - 2 1/4&quot;" u="1"/>
        <s v="3' - 6 13/16&quot;" u="1"/>
        <s v="9' - 7 11/16&quot;" u="1"/>
        <s v="4' - 1 1/8&quot;" u="1"/>
        <s v="3' - 7 1/4&quot;" u="1"/>
        <s v="1' - 9 3/4&quot;" u="1"/>
        <s v="1' - 0 1/8&quot;" u="1"/>
        <s v="1' - 6&quot;" u="1"/>
        <s v="4' - 0 7/8&quot;" u="1"/>
        <s v="8' - 7 5/8&quot;" u="1"/>
        <s v="15' - 1 15/16&quot;" u="1"/>
        <s v="15' - 8 1/16&quot;" u="1"/>
        <s v="1' - 3 15/16&quot;" u="1"/>
        <s v="1' - 9 13/16&quot;" u="1"/>
        <s v="1' - 11 7/16&quot;" u="1"/>
        <s v="5' - 2 7/8&quot;" u="1"/>
        <s v="1' - 5 7/16&quot;" u="1"/>
        <s v="0' - 11 5/16&quot;" u="1"/>
        <s v="1' - 2 1/4&quot;" u="1"/>
        <s v="1' - 2 11/16&quot;" u="1"/>
        <s v="7' - 8 3/4&quot;" u="1"/>
        <s v="5' - 8 7/16&quot;" u="1"/>
        <s v="4' - 8 3/16&quot;" u="1"/>
        <s v="1' - 1 7/16&quot;" u="1"/>
        <s v="0' - 9 11/16&quot;" u="1"/>
        <s v="4' - 0 1/4&quot;" u="1"/>
        <s v="3' - 8 7/8&quot;" u="1"/>
        <s v="0' - 8 1/4&quot;" u="1"/>
        <s v="1' - 2 7/8&quot;" u="1"/>
        <s v="1' - 11 1/2&quot;" u="1"/>
        <s v="10' - 3 15/16&quot;" u="1"/>
        <s v="11' - 1 5/16&quot;" u="1"/>
        <s v="3' - 9 7/8&quot;" u="1"/>
        <s v="4' - 1 3/4&quot;" u="1"/>
        <s v="9' - 6 1/16&quot;" u="1"/>
        <s v="9' - 9 7/16&quot;" u="1"/>
        <s v="0' - 11 7/16&quot;" u="1"/>
        <s v="2' - 4 3/16&quot;" u="1"/>
        <s v="1' - 10 1/16&quot;" u="1"/>
        <s v="2' - 6 3/8&quot;" u="1"/>
        <s v="1' - 11 3/4&quot;" u="1"/>
        <s v="4' - 4 7/16&quot;" u="1"/>
        <s v="4' - 0 15/16&quot;" u="1"/>
        <s v="7' - 11 3/16&quot;" u="1"/>
        <s v="2' - 4 1/8&quot;" u="1"/>
        <s v="2' - 10 3/4&quot;" u="1"/>
        <s v="1' - 1 7/8&quot;" u="1"/>
        <s v="0' - 1 13/16&quot;" u="1"/>
        <s v="0' - 3 11/16&quot;" u="1"/>
        <s v="0' - 3 3/16&quot;" u="1"/>
        <s v="7' - 1 7/8&quot;" u="1"/>
        <s v="6' - 5&quot;" u="1"/>
        <s v="4' - 0 9/16&quot;" u="1"/>
        <s v="4' - 1 9/16&quot;" u="1"/>
        <s v="2' - 8 3/8&quot;" u="1"/>
        <s v="3' - 2 3/8&quot;" u="1"/>
        <s v="0' - 6 1/8&quot;" u="1"/>
        <s v="2' - 9 3/8&quot;" u="1"/>
        <s v="3' - 3 1/2&quot;" u="1"/>
        <s v="0' - 10 7/8&quot;" u="1"/>
        <s v="0' - 7 5/8&quot;" u="1"/>
        <s v="0' - 6&quot;" u="1"/>
        <s v="2' - 0 1/8&quot;" u="1"/>
        <s v="0' - 3 15/16&quot;" u="1"/>
        <s v="9' - 4 1/8&quot;" u="1"/>
        <s v="8' - 10&quot;" u="1"/>
        <s v="1' - 3 9/16&quot;" u="1"/>
        <s v="1' - 9 3/8&quot;" u="1"/>
        <s v="1' - 6 5/8&quot;" u="1"/>
        <s v="0' - 6 9/16&quot;" u="1"/>
        <s v="1' - 8&quot;" u="1"/>
        <s v="0' - 5 9/16&quot;" u="1"/>
        <s v="1' - 11&quot;" u="1"/>
        <s v="4' - 10 3/8&quot;" u="1"/>
        <s v="5' - 5 1/2&quot;" u="1"/>
        <s v="1' - 3 1/2&quot;" u="1"/>
        <s v="0' - 11 11/16&quot;" u="1"/>
        <s v="0' - 11 15/16&quot;" u="1"/>
        <s v="10' - 3 3/16&quot;" u="1"/>
        <s v="4' - 10 3/16&quot;" u="1"/>
        <s v="1' - 2 9/16&quot;" u="1"/>
        <s v="0' - 11 3/4&quot;" u="1"/>
        <s v="0' - 2 1/4&quot;" u="1"/>
        <s v="11' - 7 1/16&quot;" u="1"/>
        <s v="11' - 7&quot;" u="1"/>
        <s v="1' - 11 5/16&quot;" u="1"/>
        <s v="1' - 4 15/16&quot;" u="1"/>
        <s v="2' - 5&quot;" u="1"/>
        <s v="6' - 1 3/8&quot;" u="1"/>
        <s v="6' - 1 1/2&quot;" u="1"/>
        <s v="1' - 11 3/16&quot;" u="1"/>
        <s v="6' - 10 1/4&quot;" u="1"/>
        <s v="6' - 11 9/16&quot;" u="1"/>
        <s v="0' - 2 7/16&quot;" u="1"/>
        <s v="0' - 1 1/2&quot;" u="1"/>
        <s v="1' - 9 1/4&quot;" u="1"/>
        <s v="0' - 0 3/16&quot;" u="1"/>
        <s v="2' - 3 1/8&quot;" u="1"/>
        <s v="1' - 0 9/16&quot;" u="1"/>
        <s v="0' - 6 11/16&quot;" u="1"/>
        <s v="1' - 8 13/16&quot;" u="1"/>
        <s v="2' - 2 15/16&quot;" u="1"/>
        <s v="2' - 1 3/16&quot;" u="1"/>
        <s v="1' - 7 1/16&quot;" u="1"/>
        <s v="0' - 5 3/4&quot;" u="1"/>
        <s v="0' - 1 11/16&quot;" u="1"/>
        <s v="0' - 11 1/8&quot;" u="1"/>
        <s v="1' - 5&quot;" u="1"/>
        <s v="0' - 9 15/16&quot;" u="1"/>
        <s v="0' - 2 13/16&quot;" u="1"/>
        <s v="3' - 9 1/16&quot;" u="1"/>
        <s v="4' - 2 7/8&quot;" u="1"/>
        <s v="2' - 4 1/16&quot;" u="1"/>
        <s v="1' - 7 5/16&quot;" u="1"/>
        <s v="7' - 1 3/16&quot;" u="1"/>
        <s v="6' - 4 5/16&quot;" u="1"/>
        <s v="1' - 9 9/16&quot;" u="1"/>
        <s v="2' - 6 7/16&quot;" u="1"/>
        <s v="3' - 0 15/16&quot;" u="1"/>
        <s v="3' - 1 15/16&quot;" u="1"/>
        <s v="3' - 3 11/16&quot;" u="1"/>
        <s v="2' - 6 13/16&quot;" u="1"/>
        <s v="4' - 2 5/8&quot;" u="1"/>
        <s v="4' - 2 7/16&quot;" u="1"/>
        <s v="3' - 5 1/2&quot;" u="1"/>
        <s v="7' - 6 15/16&quot;" u="1"/>
        <s v="0' - 11 13/16&quot;" u="1"/>
        <s v="0' - 5 15/16&quot;" u="1"/>
        <s v="1' - 9 3/16&quot;" u="1"/>
        <s v="1' - 7 1/8&quot;" u="1"/>
        <s v="0' - 10 15/16&quot;" u="1"/>
        <s v="1' - 0 7/8&quot;" u="1"/>
        <s v="1' - 7&quot;" u="1"/>
        <s v="14' - 8 1/4&quot;" u="1"/>
        <s v="14' - 1 5/8&quot;" u="1"/>
        <s v="0' - 6 13/16&quot;" u="1"/>
        <s v="1' - 10&quot;" u="1"/>
        <s v="3' - 6 3/16&quot;" u="1"/>
        <s v="3' - 11 11/16&quot;" u="1"/>
        <s v="1' - 5 1/8&quot;" u="1"/>
        <s v="2' - 0 3/8&quot;" u="1"/>
        <s v="0' - 3 1/16&quot;" u="1"/>
        <s v="0' - 2 1/8&quot;" u="1"/>
        <s v="3' - 9 3/16&quot;" u="1"/>
        <s v="1' - 3 11/16&quot;" u="1"/>
        <s v="0' - 3 7/8&quot;" u="1"/>
        <s v="0' - 0 3/8&quot;" u="1"/>
        <s v="0' - 9 3/4&quot;" u="1"/>
        <s v="3' - 0&quot;" u="1"/>
        <s v="7' - 5 3/4&quot;" u="1"/>
        <s v="7' - 0&quot;" u="1"/>
        <s v="6' - 6 3/4&quot;" u="1"/>
        <s v="5' - 6 3/4&quot;" u="1"/>
        <s v="0' - 2 3/4&quot;" u="1"/>
        <s v="1' - 5 5/16&quot;" u="1"/>
        <s v="0' - 5 5/16&quot;" u="1"/>
        <s v="1' - 1 13/16&quot;" u="1"/>
        <s v="0' - 4 5/16&quot;" u="1"/>
        <s v="0' - 5 3/8&quot;" u="1"/>
        <s v="1' - 10 13/16&quot;" u="1"/>
        <s v="0' - 7 1/8&quot;" u="1"/>
        <s v="0' - 6 7/16&quot;" u="1"/>
        <s v="0' - 8 5/16&quot;" u="1"/>
        <s v="0' - 2 7/8&quot;" u="1"/>
        <s v="3' - 1 7/16&quot;" u="1"/>
        <s v="0' - 11 3/8&quot;" u="1"/>
        <s v="5' - 9 13/16&quot;" u="1"/>
        <s v="6' - 3 1/4&quot;" u="1"/>
        <s v="8' - 5&quot;" u="1"/>
        <s v="1' - 7 13/16&quot;" u="1"/>
        <s v="1' - 3&quot;" u="1"/>
        <s v="7' - 4&quot;" u="1"/>
        <s v="9' - 3&quot;" u="1"/>
        <s v="0' - 9&quot;" u="1"/>
        <s v="1' - 1&quot;" u="1"/>
        <s v="3' - 4 1/4&quot;" u="1"/>
        <s v="2' - 7 1/8&quot;" u="1"/>
        <s v="2' - 3 3/8&quot;" u="1"/>
        <s v="0' - 10 1/2&quot;" u="1"/>
        <s v="0' - 9 3/16&quot;" u="1"/>
        <s v="0' - 7 3/8&quot;" u="1"/>
        <s v="0' - 3 9/16&quot;" u="1"/>
        <s v="0' - 6 1/4&quot;" u="1"/>
        <s v="0' - 5 5/8&quot;" u="1"/>
        <s v="0' - 8 5/8&quot;" u="1"/>
        <s v="0' - 8 9/16&quot;" u="1"/>
        <s v="0' - 4 7/8&quot;" u="1"/>
        <s v="1' - 4&quot;" u="1"/>
        <s v="1' - 3 7/8&quot;" u="1"/>
        <s v="0' - 10&quot;" u="1"/>
        <s v="0' - 11&quot;" u="1"/>
        <s v="0' - 7 9/16&quot;" u="1"/>
        <s v="0' - 7 3/4&quot;" u="1"/>
        <s v="5' - 3 1/2&quot;" u="1"/>
        <s v="5' - 2 13/16&quot;" u="1"/>
        <s v="5' - 8 15/16&quot;" u="1"/>
        <s v="0' - 7 11/16&quot;" u="1"/>
        <s v="0' - 9 5/8&quot;" u="1"/>
        <s v="0' - 1 1/4&quot;" u="1"/>
        <s v="0' - 0 1/8&quot;" u="1"/>
        <s v="0' - 1 7/16&quot;" u="1"/>
        <s v="0' - 3 3/8&quot;" u="1"/>
        <s v="6' - 10&quot;" u="1"/>
        <s v="1' - 1 3/4&quot;" u="1"/>
        <s v="5' - 2 7/16&quot;" u="1"/>
        <s v="5' - 11 5/16&quot;" u="1"/>
        <s v="4' - 4 1/2&quot;" u="1"/>
        <s v="3' - 9 3/8&quot;" u="1"/>
        <s v="0' - 10 5/8&quot;" u="1"/>
        <s v="4' - 5 13/16&quot;" u="1"/>
        <s v="3' - 4 13/16&quot;" u="1"/>
        <s v="0' - 2 11/16&quot;" u="1"/>
        <s v="7' - 5 1/4&quot;" u="1"/>
        <s v="8' - 0 3/4&quot;" u="1"/>
        <s v="0' - 9 1/16&quot;" u="1"/>
        <s v="1' - 9 5/16&quot;" u="1"/>
        <s v="7' - 7 1/2&quot;" u="1"/>
        <s v="7' - 7 5/16&quot;" u="1"/>
        <s v="0' - 11 1/16&quot;" u="1"/>
        <s v="1' - 11 1/8&quot;" u="1"/>
        <s v="14' - 8 7/16&quot;" u="1"/>
        <s v="0' - 1 7/8&quot;" u="1"/>
        <s v="14' - 0 5/16&quot;" u="1"/>
        <s v="3' - 0 3/4&quot;" u="1"/>
        <s v="3' - 6 3/8&quot;" u="1"/>
        <s v="2' - 11 1/4&quot;" u="1"/>
        <s v="3' - 4 7/16&quot;" u="1"/>
        <s v="3' - 11 5/8&quot;" u="1"/>
        <s v="6' - 5 1/16&quot;" u="1"/>
        <s v="6' - 0 3/8&quot;" u="1"/>
        <s v="4' - 8 1/8&quot;" u="1"/>
        <s v="0' - 8 15/16&quot;" u="1"/>
        <s v="2' - 0 15/16&quot;" u="1"/>
        <s v="4' - 5 3/16&quot;" u="1"/>
        <s v="1' - 2 1/16&quot;" u="1"/>
        <s v="1' - 8 15/16&quot;" u="1"/>
        <s v="1' - 4 3/16&quot;" u="1"/>
        <s v="19' - 11 1/4&quot;" u="1"/>
        <s v="17' - 1 13/16&quot;" u="1"/>
        <s v="17' - 1 1/8&quot;" u="1"/>
        <s v="10' - 9 5/16&quot;" u="1"/>
        <s v="9' - 5 13/16&quot;" u="1"/>
        <s v="10' - 1 15/16&quot;" u="1"/>
        <s v="10' - 0 5/16&quot;" u="1"/>
        <s v="2' - 10 13/16&quot;" u="1"/>
        <s v="1' - 11 15/16&quot;" u="1"/>
        <s v="0' - 7 7/16&quot;" u="1"/>
        <s v="15' - 7 7/8&quot;" u="1"/>
        <s v="16' - 6 7/8&quot;" u="1"/>
        <s v="13' - 11 15/16&quot;" u="1"/>
        <s v="13' - 0 15/16&quot;" u="1"/>
        <s v="1' - 0 3/16&quot;" u="1"/>
        <s v="6' - 3 1/8&quot;" u="1"/>
        <s v="1' - 10 3/8&quot;" u="1"/>
        <s v="2' - 2 5/16&quot;" u="1"/>
        <s v="1' - 8 5/8&quot;" u="1"/>
        <s v="3' - 10 11/16&quot;" u="1"/>
        <s v="0' - 5 1/16&quot;" u="1"/>
        <s v="5' - 0 5/16&quot;" u="1"/>
        <s v="2' - 4 7/16&quot;" u="1"/>
        <s v="0' - 2 3/16&quot;" u="1"/>
        <s v="4' - 3 5/16&quot;" u="1"/>
        <s v="5' - 2 11/16&quot;" u="1"/>
        <s v="5' - 10 13/16&quot;" u="1"/>
        <s v="4' - 5 1/2&quot;" u="1"/>
        <s v="4' - 4&quot;" u="1"/>
        <s v="3' - 10&quot;" u="1"/>
        <s v="13' - 1 15/16&quot;" u="1"/>
        <s v="13' - 1 1/16&quot;" u="1"/>
        <s v="7' - 11 3/8&quot;" u="1"/>
        <s v="3' - 5 3/16&quot;" u="1"/>
        <s v="3' - 0 11/16&quot;" u="1"/>
        <s v="15' - 2 3/4&quot;" u="1"/>
        <s v="13' - 6 5/8&quot;" u="1"/>
        <s v="1' - 5 1/16&quot;" u="1"/>
        <s v="2' - 1 7/8&quot;" u="1"/>
        <s v="0' - 2 1/16&quot;" u="1"/>
        <s v="20' - 3 7/16&quot;" u="1"/>
        <s v="2' - 3 7/8&quot;" u="1"/>
        <s v="1' - 4 5/16&quot;" u="1"/>
        <s v="1' - 8 3/4&quot;" u="1"/>
        <s v="0' - 1 15/16&quot;" u="1"/>
        <s v="8' - 9 7/8&quot;" u="1"/>
        <s v="10' - 9 1/2&quot;" u="1"/>
        <s v="11' - 8&quot;" u="1"/>
        <s v="3' - 7 1/8&quot;" u="1"/>
        <s v="2' - 8&quot;" u="1"/>
        <s v="1' - 2 3/8&quot;" u="1"/>
        <s v="3' - 4 1/2&quot;" u="1"/>
        <s v="8' - 11 3/8&quot;" u="1"/>
        <s v="3' - 10 3/8&quot;" u="1"/>
        <s v="2' - 7 5/8&quot;" u="1"/>
        <s v="6' - 11 1/2&quot;" u="1"/>
        <s v="5' - 8 7/8&quot;" u="1"/>
        <s v="9' - 9 1/2&quot;" u="1"/>
        <s v="8' - 11 3/4&quot;" u="1"/>
        <s v="0' - 9 1/8&quot;" u="1"/>
        <s v="9' - 3 1/4&quot;" u="1"/>
        <s v="8' - 5 1/4&quot;" u="1"/>
        <s v="9' - 9 1/8&quot;" u="1"/>
        <s v="8' - 10 3/8&quot;" u="1"/>
        <s v="2' - 0 3/4&quot;" u="1"/>
        <s v="2' - 10 1/4&quot;" u="1"/>
        <s v="1' - 0 1/2&quot;" u="1"/>
        <s v="0' - 11 7/8&quot;" u="1"/>
        <s v="3' - 7 5/8&quot;" u="1"/>
        <s v="0' - 9 1/4&quot;" u="1"/>
        <s v="7' - 3 1/2&quot;" u="1"/>
        <s v="1' - 3 3/4&quot;" u="1"/>
        <s v="2' - 2 7/8&quot;" u="1"/>
        <s v="2' - 6 1/2&quot;" u="1"/>
        <s v="1' - 2 5/8&quot;" u="1"/>
        <s v="5' - 5 3/8&quot;" u="1"/>
        <s v="13' - 7 5/8&quot;" u="1"/>
        <s v="1' - 3 1/8&quot;" u="1"/>
        <s v="3' - 1 3/8&quot;" u="1"/>
        <s v="0' - 10 1/8&quot;" u="1"/>
        <s v="5' - 8 1/8&quot;" u="1"/>
        <s v="2' - 1 5/8&quot;" u="1"/>
        <s v="1' - 10 7/8&quot;" u="1"/>
        <s v="1' - 9 1/2&quot;" u="1"/>
        <s v="0' - 6 3/4&quot;" u="1"/>
        <s v="1' - 1 3/8&quot;" u="1"/>
        <s v="1' - 0 5/8&quot;" u="1"/>
        <s v="2' - 7 1/2&quot;" u="1"/>
        <s v="1' - 6 1/4&quot;" u="1"/>
        <s v="0' - 4 1/2&quot;" u="1"/>
        <s v="1' - 2 1/8&quot;" u="1"/>
        <s v="10' - 8 3/8&quot;" u="1"/>
        <s v="9' - 4 3/8&quot;" u="1"/>
        <s v="0' - 9 3/8&quot;" u="1"/>
        <s v="1' - 8 1/8&quot;" u="1"/>
        <s v="1' - 7 7/8&quot;" u="1"/>
        <s v="4' - 1 3/8&quot;" u="1"/>
        <s v="0' - 6 7/8&quot;" u="1"/>
        <s v="1' - 0 3/8&quot;" u="1"/>
        <s v="6' - 7 5/8&quot;" u="1"/>
        <s v="0' - 6 1/2&quot;" u="1"/>
        <s v="3' - 0 1/8&quot;" u="1"/>
        <s v="1' - 8 3/8&quot;" u="1"/>
        <s v="2' - 7 3/4&quot;" u="1"/>
        <s v="1' - 11 5/8&quot;" u="1"/>
        <s v="2' - 5 1/8&quot;" u="1"/>
        <s v="0' - 10 1/4&quot;" u="1"/>
        <s v="0' - 6 5/8&quot;" u="1"/>
        <s v="0' - 11 5/8&quot;" u="1"/>
        <s v="5' - 7 3/4&quot;" u="1"/>
        <s v="4' - 4 1/4&quot;" u="1"/>
        <s v="2' - 4&quot;" u="1"/>
        <s v="1' - 2&quot;" u="1"/>
        <s v="0' - 10 3/8&quot;" u="1"/>
        <s v="1' - 5 3/4&quot;" u="1"/>
        <s v="3' - 2 3/4&quot;" u="1"/>
        <s v="0' - 4 5/8&quot;" u="1"/>
        <s v="1' - 5 1/4&quot;" u="1"/>
        <s v="0' - 0 1/2&quot;" u="1"/>
        <s v="8' - 10 3/4&quot;" u="1"/>
        <s v="0' - 5 1/8&quot;" u="1"/>
        <s v="9' - 0&quot;" u="1"/>
        <s v="1' - 6 1/8&quot;" u="1"/>
        <s v="4' - 5 3/8&quot;" u="1"/>
        <s v="5' - 11 1/2&quot;" u="1"/>
        <s v="4' - 8 1/2&quot;" u="1"/>
        <s v="0' - 11 1/2&quot;" u="1"/>
        <s v="3' - 0 7/8&quot;" u="1"/>
        <s v="0' - 9 7/8&quot;" u="1"/>
        <s v="1' - 6 3/8&quot;" u="1"/>
        <s v="3' - 10 1/4&quot;" u="1"/>
        <s v="5' - 6 3/8&quot;" u="1"/>
        <s v="1' - 3 1/4&quot;" u="1"/>
        <s v="2' - 0 7/8&quot;" u="1"/>
        <s v="0' - 8 3/4&quot;" u="1"/>
        <s v="2' - 0 1/4&quot;" u="1"/>
        <s v="2' - 9 5/8&quot;" u="1"/>
        <s v="7' - 11 3/4&quot;" u="1"/>
        <s v="0' - 3 5/8&quot;" u="1"/>
        <s v="0' - 0 1/4&quot;" u="1"/>
        <s v="5' - 1 1/8&quot;" u="1"/>
        <s v="2' - 6&quot;" u="1"/>
        <s v="3' - 1 1/8&quot;" u="1"/>
        <s v="1' - 7 5/8&quot;" u="1"/>
        <s v="1' - 6 3/4&quot;" u="1"/>
        <s v="0' - 2 3/8&quot;" u="1"/>
        <s v="2' - 4 3/4&quot;" u="1"/>
        <s v="3' - 5 3/4&quot;" u="1"/>
        <s v="2' - 7 3/8&quot;" u="1"/>
        <s v="3' - 6 1/4&quot;" u="1"/>
        <s v="4' - 3 3/8&quot;" u="1"/>
        <s v="5' - 4 3/8&quot;" u="1"/>
        <s v="2' - 0 5/8&quot;" u="1"/>
        <s v="1' - 4 5/8&quot;" u="1"/>
        <s v="1' - 5 3/8&quot;" u="1"/>
        <s v="9' - 10&quot;" u="1"/>
        <s v="0' - 1 3/4&quot;" u="1"/>
        <s v="11' - 6 3/4&quot;" u="1"/>
        <s v="11' - 11 1/4&quot;" u="1"/>
        <s v="5' - 3&quot;" u="1"/>
        <s v="12' - 5 3/4&quot;" u="1"/>
        <s v="1' - 0 3/4&quot;" u="1"/>
        <s v="2' - 8 1/4&quot;" u="1"/>
        <s v="1' - 4 3/4&quot;" u="1"/>
        <s v="16' - 3 1/8&quot;" u="1"/>
        <s v="14' - 1 7/8&quot;" u="1"/>
        <s v="20' - 8&quot;" u="1"/>
        <s v="4' - 7 1/8&quot;" u="1"/>
        <s v="2' - 10 1/8&quot;" u="1"/>
        <s v="2' - 9 3/4&quot;" u="1"/>
        <s v="4' - 8 7/8&quot;" u="1"/>
        <s v="1' - 8 1/4&quot;" u="1"/>
        <s v="1' - 11 3/8&quot;" u="1"/>
        <s v="9' - 10 1/8&quot;" u="1"/>
        <s v="11' - 5 3/8&quot;" u="1"/>
        <s v="10' - 3 1/2&quot;" u="1"/>
        <s v="10' - 8 1/8&quot;" u="1"/>
        <s v="5' - 4 5/8&quot;" u="1"/>
        <s v="9' - 11 7/8&quot;" u="1"/>
        <s v="10' - 11 1/8&quot;" u="1"/>
        <s v="15' - 2&quot;" u="1"/>
        <s v="2' - 5 7/8&quot;" u="1"/>
        <s v="3' - 6 7/8&quot;" u="1"/>
        <s v="4'-9 1/2&quot;" u="1"/>
        <s v="2'-0 1/8&quot;" u="1"/>
        <s v="2'-5 5/8&quot;" u="1"/>
        <s v="2'-4 5/8&quot;" u="1"/>
        <s v="2'-4 1/4&quot;" u="1"/>
        <s v="2'-4 3/4&quot;" u="1"/>
        <s v="2 7/8&quot;" u="1"/>
        <s v="0&quot;" u="1"/>
        <s v="2'-6 1/4&quot;" u="1"/>
        <s v="7 5/8&quot;" u="1"/>
        <s v="1'-9 3/8&quot;" u="1"/>
        <s v="6'-2 3/8&quot;" u="1"/>
        <s v="3'-11 1/2&quot;" u="1"/>
        <s v="1'-8 1/4&quot;" u="1"/>
        <s v="1'-4 1/2&quot;" u="1"/>
        <s v="1'-8 5/8&quot;" u="1"/>
        <s v="4'-5 5/8&quot;" u="1"/>
        <s v="5'-4&quot;" u="1"/>
        <s v="5'-6 3/8&quot;" u="1"/>
        <s v="1/2&quot;" u="1"/>
        <s v="1'-3&quot;" u="1"/>
        <s v="11'-6 1/2&quot;" u="1"/>
        <s v="8'-4 1/4&quot;" u="1"/>
        <s v="8'-0 7/8&quot;" u="1"/>
        <s v="5/8&quot;" u="1"/>
        <s v="1/4&quot;" u="1"/>
        <s v="4'-8 3/8&quot;" u="1"/>
        <s v="1'-2 7/8&quot;" u="1"/>
        <s v="10 5/8&quot;" u="1"/>
        <s v="18'-0&quot;" u="1"/>
        <s v="7 3/8&quot;" u="1"/>
        <s v="7 3/4&quot;" u="1"/>
        <s v="4'-5 3/4&quot;" u="1"/>
        <s v="5 5/8&quot;" u="1"/>
        <s v="3 5/8&quot;" u="1"/>
        <s v="9 1/2&quot;" u="1"/>
        <s v="2'-5 7/8&quot;" u="1"/>
        <s v="8 3/4&quot;" u="1"/>
        <s v="2'-5 1/4&quot;" u="1"/>
        <s v="2'-6&quot;" u="1"/>
        <s v="1'-5 5/8&quot;" u="1"/>
        <s v="1'-6 1/8&quot;" u="1"/>
        <s v="1'-4 3/8&quot;" u="1"/>
        <s v="4'-2 3/8&quot;" u="1"/>
        <s v="9'-0 5/8&quot;" u="1"/>
        <s v="3'-6 3/8&quot;" u="1"/>
        <s v="6 5/8&quot;" u="1"/>
        <s v="2'-1 3/8&quot;" u="1"/>
        <s v="1'-8 3/8&quot;" u="1"/>
        <s v="4'-1 3/4&quot;" u="1"/>
        <s v="1'-3 1/8&quot;" u="1"/>
        <s v="6'-9 7/8&quot;" u="1"/>
        <s v="12'-1&quot;" u="1"/>
        <s v="13'-5 1/2&quot;" u="1"/>
        <s v="1'-10 3/8&quot;" u="1"/>
        <s v="2'-7 1/2&quot;" u="1"/>
        <s v="2 1/2&quot;" u="1"/>
        <s v="9'-11 3/8&quot;" u="1"/>
        <s v="2'-4 3/8&quot;" u="1"/>
        <s v="7'-6 1/8&quot;" u="1"/>
        <s v="9'-6 3/4&quot;" u="1"/>
        <s v="3'-0 3/8&quot;" u="1"/>
        <s v="18'-2 3/4&quot;" u="1"/>
        <s v="9 3/4&quot;" u="1"/>
        <s v="3'-4&quot;" u="1"/>
        <s v="11'-4 3/4&quot;" u="1"/>
        <s v="4'-0 1/8&quot;" u="1"/>
        <s v="1'-0 7/8&quot;" u="1"/>
        <s v="4'-9 7/8&quot;" u="1"/>
        <s v="12'-4 3/8&quot;" u="1"/>
        <s v="1'-1 1/2&quot;" u="1"/>
        <s v="9'-6 1/2&quot;" u="1"/>
        <s v="4&quot;" u="1"/>
        <s v="6'-3 5/8&quot;" u="1"/>
        <s v="1'-9 3/4&quot;" u="1"/>
        <s v="1'-11&quot;" u="1"/>
        <s v="10&quot;" u="1"/>
        <s v="11 3/4&quot;" u="1"/>
        <s v="5'-4 5/8&quot;" u="1"/>
        <s v="6 3/4&quot;" u="1"/>
        <s v="2'-9 7/8&quot;" u="1"/>
        <s v="5'-10 1/4&quot;" u="1"/>
        <s v="1'-11 3/8&quot;" u="1"/>
        <s v="8'-9 1/8&quot;" u="1"/>
        <s v="1'-10&quot;" u="1"/>
        <s v="2'-9&quot;" u="1"/>
        <s v="2'-3 1/4&quot;" u="1"/>
        <s v="1'-5 3/4&quot;" u="1"/>
        <s v="1'-11 1/2&quot;" u="1"/>
        <s v="1'-10 1/4&quot;" u="1"/>
        <s v="1'-7 1/8&quot;" u="1"/>
        <s v="11 1/4&quot;" u="1"/>
        <s v="3'-10 3/8&quot;" u="1"/>
        <s v="17'-1 1/2&quot;" u="1"/>
        <s v="6'-0 7/8&quot;" u="1"/>
        <s v="3'-2 1/2&quot;" u="1"/>
        <s v="1'-1 1/8&quot;" u="1"/>
        <s v="1'-8 1/2&quot;" u="1"/>
        <s v="11&quot;" u="1"/>
        <s v="8'-2 1/4&quot;" u="1"/>
        <s v="3'-5&quot;" u="1"/>
        <s v="1'-5&quot;" u="1"/>
        <s v="4'-7 3/4&quot;" u="1"/>
        <s v="9'-8 1/4&quot;" u="1"/>
        <s v="1'-10 1/8&quot;" u="1"/>
        <s v="3'-4 1/8&quot;" u="1"/>
        <s v="8'-6 3/4&quot;" u="1"/>
        <s v="2'-0 7/8&quot;" u="1"/>
        <s v="2'-11 1/4&quot;" u="1"/>
        <s v="2'-9 1/2&quot;" u="1"/>
        <s v="1'-11 1/4&quot;" u="1"/>
        <s v="1'-1 5/8&quot;" u="1"/>
        <s v="1'-3 1/4&quot;" u="1"/>
        <s v="2'-6 5/8&quot;" u="1"/>
        <s v="2'-3 3/8&quot;" u="1"/>
        <s v="7 1/4&quot;" u="1"/>
        <s v="2'-6 3/8&quot;" u="1"/>
        <s v="3 3/4&quot;" u="1"/>
        <s v="1'-3 3/8&quot;" u="1"/>
        <s v="5 1/2&quot;" u="1"/>
        <s v="3'-1 5/8&quot;" u="1"/>
        <s v="1'-2 3/8&quot;" u="1"/>
        <s v="1'-7 1/2&quot;" u="1"/>
        <s v="2'-4 1/2&quot;" u="1"/>
        <s v="1'-1 7/8&quot;" u="1"/>
        <s v="4'-9 3/4&quot;" u="1"/>
        <s v="10 3/4&quot;" u="1"/>
        <s v="5&quot;" u="1"/>
        <s v="8'-8 3/8&quot;" u="1"/>
        <s v="8'-5 7/8&quot;" u="1"/>
        <s v="5 1/8&quot;" u="1"/>
        <s v="4'-6 1/8&quot;" u="1"/>
        <s v="10 1/4&quot;" u="1"/>
        <s v="10'-0 1/8&quot;" u="1"/>
        <s v="6 3/8&quot;" u="1"/>
        <s v="7'-4 3/8&quot;" u="1"/>
        <s v="3 1/8&quot;" u="1"/>
        <s v="4'-0 3/4&quot;" u="1"/>
        <s v="3'-8 1/8&quot;" u="1"/>
        <s v="5 7/8&quot;" u="1"/>
        <s v="1'-7&quot;" u="1"/>
        <s v="19'-7 1/8&quot;" u="1"/>
        <s v="2 1/8&quot;" u="1"/>
        <s v="3'-3 5/8&quot;" u="1"/>
        <s v="6&quot;" u="1"/>
        <s v="3 7/8&quot;" u="1"/>
        <s v="8 5/8&quot;" u="1"/>
        <s v="2'-3 7/8&quot;" u="1"/>
        <s v="2'-6 1/8&quot;" u="1"/>
        <s v="8&quot;" u="1"/>
        <s v="1'-6 1/4&quot;" u="1"/>
        <s v="1'-8 3/4&quot;" u="1"/>
        <s v="14'-9 1/2&quot;" u="1"/>
        <s v="4 1/2&quot;" u="1"/>
        <s v="4 1/4&quot;" u="1"/>
        <s v="9 5/8&quot;" u="1"/>
        <s v="9 7/8&quot;" u="1"/>
        <s v="2 3/4&quot;" u="1"/>
        <s v="5'-4 1/2&quot;" u="1"/>
        <s v="5'-3 1/4&quot;" u="1"/>
        <s v="2&quot;" u="1"/>
        <s v="3'-6&quot;" u="1"/>
        <s v="4'-11 7/8&quot;" u="1"/>
        <s v="3'-6 1/8&quot;" u="1"/>
        <s v="4 5/8&quot;" u="1"/>
        <s v="3&quot;" u="1"/>
        <s v="1 7/8&quot;" u="1"/>
        <s v="5'-2 3/4&quot;" u="1"/>
        <s v="10 1/8&quot;" u="1"/>
        <s v="4'-2 5/8&quot;" u="1"/>
        <s v="15'-7 1/8&quot;" u="1"/>
        <s v="1/8&quot;" u="1"/>
        <s v="1'-0 1/2&quot;" u="1"/>
        <s v="3 1/4&quot;" u="1"/>
        <s v="9 1/8&quot;" u="1"/>
        <s v="4'-4&quot;" u="1"/>
        <s v="3'-6 1/4&quot;" u="1"/>
        <s v="3'-10 1/2&quot;" u="1"/>
        <s v="17'-3 7/8&quot;" u="1"/>
        <s v="17'-2 1/4&quot;" u="1"/>
        <s v="5'-5 1/2&quot;" u="1"/>
        <s v="5'-1 5/8&quot;" u="1"/>
        <s v="5'-3 5/8&quot;" u="1"/>
        <s v="3'-10&quot;" u="1"/>
        <s v="16'-10 3/8&quot;" u="1"/>
        <s v="4 7/8&quot;" u="1"/>
        <s v="2'-10&quot;" u="1"/>
        <s v="9'-8 7/8&quot;" u="1"/>
        <s v="7'-8 1/4&quot;" u="1"/>
        <s v="1'-0 3/4&quot;" u="1"/>
        <s v="4 1/8&quot;" u="1"/>
        <s v="8'-11 7/8&quot;" u="1"/>
        <s v="1&quot;" u="1"/>
        <s v="4 3/4&quot;" u="1"/>
        <s v="1'-8 7/8&quot;" u="1"/>
        <s v="4'-10 1/4&quot;" u="1"/>
        <s v="2 3/8&quot;" u="1"/>
        <s v="1'-7 7/8&quot;" u="1"/>
        <s v="1'-3 3/4&quot;" u="1"/>
        <s v="9'-8 1/8&quot;" u="1"/>
        <s v="6'-8 1/2&quot;" u="1"/>
        <s v="2'-7 3/4&quot;" u="1"/>
        <s v="1 1/2&quot;" u="1"/>
        <s v="6'-0 1/4&quot;" u="1"/>
        <s v="5'-8 3/8&quot;" u="1"/>
        <s v="10'-0&quot;" u="1"/>
        <s v="4'-1 7/8&quot;" u="1"/>
        <s v="3'-3&quot;" u="1"/>
        <s v="2'-4&quot;" u="1"/>
        <s v="2'-6 1/2&quot;" u="1"/>
        <s v="2'-10 1/2&quot;" u="1"/>
        <s v="8'-10 3/8&quot;" u="1"/>
        <s v="8 1/2&quot;" u="1"/>
        <s v="1'-0 5/8&quot;" u="1"/>
        <s v="8'-7 1/4&quot;" u="1"/>
        <s v="2'-4 7/8&quot;" u="1"/>
        <s v="9 3/8&quot;" u="1"/>
        <s v="9'-9 5/8&quot;" u="1"/>
        <s v="8 1/4&quot;" u="1"/>
        <s v="5 3/4&quot;" u="1"/>
        <s v="4'-8 3/4&quot;" u="1"/>
        <s v="7'-11 3/8&quot;" u="1"/>
        <s v="5'-7&quot;" u="1"/>
        <s v="6 1/2&quot;" u="1"/>
        <s v="3'-1&quot;" u="1"/>
        <s v="3'-8 3/8&quot;" u="1"/>
        <s v="1'-2&quot;" u="1"/>
        <s v="8'-3&quot;" u="1"/>
        <s v="9'-0 1/2&quot;" u="1"/>
        <s v="3'-1 3/4&quot;" u="1"/>
        <s v="9'-11 5/8&quot;" u="1"/>
        <s v="8'-5&quot;" u="1"/>
        <s v="2'-0 1/4&quot;" u="1"/>
        <s v="9'-1&quot;" u="1"/>
        <s v="10 7/8&quot;" u="1"/>
        <s v="8'-11 3/4&quot;" u="1"/>
        <s v="8 1/8&quot;" u="1"/>
        <s v="7'-6&quot;" u="1"/>
        <s v="8'-9&quot;" u="1"/>
        <s v="9'-11 3/4&quot;" u="1"/>
        <s v="5'-2 1/2&quot;" u="1"/>
        <s v="3'-7 7/8&quot;" u="1"/>
        <s v="7 1/2&quot;" u="1"/>
        <s v="9'-2 1/8&quot;" u="1"/>
        <s v="9 1/4&quot;" u="1"/>
        <s v="6'-6 3/8&quot;" u="1"/>
        <s v="9'-11 7/8&quot;" u="1"/>
        <s v="9'-7&quot;" u="1"/>
        <s v="3'-7&quot;" u="1"/>
        <s v="6'-11 3/8&quot;" u="1"/>
        <s v="2'-0 3/8&quot;" u="1"/>
        <s v="2'-1&quot;" u="1"/>
        <s v="2'-2 1/4&quot;" u="1"/>
        <s v="1'-0&quot;" u="1"/>
        <s v="6'-2 5/8&quot;" u="1"/>
        <s v="1'-1 3/4&quot;" u="1"/>
        <s v="5'-3&quot;" u="1"/>
        <s v="6'-0 5/8&quot;" u="1"/>
        <s v="2'-8 1/2&quot;" u="1"/>
        <s v="3'-5 1/8&quot;" u="1"/>
        <s v="5'-0 3/4&quot;" u="1"/>
        <s v="3' - 2 1/4&quot;" u="1"/>
        <s v="12' - 6 5/8&quot;" u="1"/>
        <s v="15' - 2 3/8&quot;" u="1"/>
        <s v="Length (ft)" u="1"/>
        <s v="7'-0 1/2&quot;" u="1"/>
        <s v="7'-1&quot;" u="1"/>
        <s v="9'-6&quot;" u="1"/>
        <s v="2'-5 3/4&quot;" u="1"/>
        <s v="15'-7&quot;" u="1"/>
        <s v="3'-5 3/4&quot;" u="1"/>
        <s v="2'-0&quot;" u="1"/>
        <s v="1'-11 5/8&quot;" u="1"/>
        <s v="7'-10 7/8&quot;" u="1"/>
        <s v="7'-3 5/8&quot;" u="1"/>
        <s v="21'-0&quot;" u="1"/>
        <s v="7 7/8&quot;" u="1"/>
        <s v="1'-6 3/8&quot;" u="1"/>
        <s v="8 7/8&quot;" u="1"/>
        <s v="16'-7 3/8&quot;" u="1"/>
        <s v="7'-3&quot;" u="1"/>
        <s v="3 1/2&quot;" u="1"/>
        <s v="5'-9 1/4&quot;" u="1"/>
        <s v="4'-3 1/4&quot;" u="1"/>
        <s v="1'-0 1/8&quot;" u="1"/>
        <s v="1'-9&quot;" u="1"/>
        <s v="12'-3 7/8&quot;" u="1"/>
        <s v="16'-9&quot;" u="1"/>
        <s v="14'-2 7/8&quot;" u="1"/>
        <s v="8'-5 5/8&quot;" u="1"/>
        <s v="4'-5 1/8&quot;" u="1"/>
        <s v="16'-0 1/2&quot;" u="1"/>
        <s v="6'-10&quot;" u="1"/>
        <s v="8' - 1 11/16&quot;" u="1"/>
        <s v="0' - 4 17/32&quot;" u="1"/>
        <s v="10' - 2 9/32&quot;" u="1"/>
        <s v="6' - 1&quot;" u="1"/>
        <s v="7' - 4 3/8&quot;" u="1"/>
        <s v="3' - 6 1/2&quot;" u="1"/>
        <s v="20' - 7 5/8&quot;" u="1"/>
        <s v="8' - 9 23/32&quot;" u="1"/>
        <s v="4' - 9 15/16&quot;" u="1"/>
        <s v="18' - 8&quot;" u="1"/>
        <s v="0' - 0 11/32&quot;" u="1"/>
        <s v="2' - 6 17/32&quot;" u="1"/>
        <s v="1' - 2 13/32&quot;" u="1"/>
        <s v="3' - 0 5/8&quot;" u="1"/>
        <s v="2' - 9 13/32&quot;" u="1"/>
        <s v="6' - 10 7/16&quot;" u="1"/>
        <s v="6' - 7 11/16&quot;" u="1"/>
        <s v="6' - 7 3/16&quot;" u="1"/>
        <s v="1' - 6 3/16&quot;" u="1"/>
        <s v="6' - 7 11/32&quot;" u="1"/>
        <s v="5' - 10 27/32&quot;" u="1"/>
        <s v="1' - 8 25/32&quot;" u="1"/>
        <s v="7' - 0 11/32&quot;" u="1"/>
        <s v="15' - 8 9/16&quot;" u="1"/>
        <s v="7' - 2&quot;" u="1"/>
        <s v="1' - 4 1/16&quot;" u="1"/>
        <s v="7' - 6 5/8&quot;" u="1"/>
        <s v="2' - 11 7/16&quot;" u="1"/>
        <s v="6' - 11 11/16&quot;" u="1"/>
        <s v="6' - 11 7/32&quot;" u="1"/>
        <s v="7' - 0 1/4&quot;" u="1"/>
        <s v="10' - 0 19/32&quot;" u="1"/>
        <s v="7' - 11 15/16&quot;" u="1"/>
        <s v="0' - 3 7/32&quot;" u="1"/>
        <s v="3' - 6 15/16&quot;" u="1"/>
        <s v="2' - 8 23/32&quot;" u="1"/>
        <s v="10' - 11 25/32&quot;" u="1"/>
        <s v="3' - 4 7/8&quot;" u="1"/>
        <s v="11' - 0 11/32&quot;" u="1"/>
        <s v="1' - 3 31/32&quot;" u="1"/>
        <s v="3' - 2 7/16&quot;" u="1"/>
        <s v="1' - 9 1/16&quot;" u="1"/>
        <s v="7' - 2 3/16&quot;" u="1"/>
        <s v="6' - 5 25/32&quot;" u="1"/>
        <s v="0' - 0 15/32&quot;" u="1"/>
        <s v="9' - 6 13/32&quot;" u="1"/>
        <s v="13' - 0 13/32&quot;" u="1"/>
        <s v="18' - 4 1/4&quot;" u="1"/>
        <s v="0' - 1 19/32&quot;" u="1"/>
        <s v="0' - 7 9/32&quot;" u="1"/>
        <s v="9' - 0 25/32&quot;" u="1"/>
        <s v="9' - 9 7/32&quot;" u="1"/>
        <s v="1' - 5 5/32&quot;" u="1"/>
        <s v="0' - 0 31/32&quot;" u="1"/>
        <s v="5' - 8 11/32&quot;" u="1"/>
        <s v="6' - 2 25/32&quot;" u="1"/>
        <s v="9' - 8 21/32&quot;" u="1"/>
        <s v="1' - 1 1/4&quot;" u="1"/>
        <s v="0' - 2 23/32&quot;" u="1"/>
        <s v="2' - 2 3/8&quot;" u="1"/>
        <s v="0' - 0 21/32&quot;" u="1"/>
        <s v="0' - 2 25/32&quot;" u="1"/>
        <s v="3' - 3 17/32&quot;" u="1"/>
        <s v="7' - 9 31/32&quot;" u="1"/>
        <s v="3' - 3 21/32&quot;" u="1"/>
        <s v="2' - 5 13/16&quot;" u="1"/>
        <s v="0' - 2 29/32&quot;" u="1"/>
        <s v="0' - 2 9/32&quot;" u="1"/>
        <s v="0' - 2 7/32&quot;" u="1"/>
        <s v="1' - 4 7/32&quot;" u="1"/>
        <s v="1' - 4 27/32&quot;" u="1"/>
        <s v="10' - 9 3/4&quot;" u="1"/>
        <s v="0' - 3 1/32&quot;" u="1"/>
        <s v="1' - 1 1/16&quot;" u="1"/>
        <s v="1' - 2 5/16&quot;" u="1"/>
        <s v="15' - 0 7/32&quot;" u="1"/>
        <s v="1' - 5 5/8&quot;" u="1"/>
        <s v="0' - 7 1/16&quot;" u="1"/>
        <s v="1' - 7 21/32&quot;" u="1"/>
        <s v="1' - 1 13/32&quot;" u="1"/>
        <s v="7' - 2 27/32&quot;" u="1"/>
        <s v="4' - 9 13/32&quot;" u="1"/>
        <s v="8' - 5 27/32&quot;" u="1"/>
        <s v="3' - 2 23/32&quot;" u="1"/>
        <s v="4' - 3 25/32&quot;" u="1"/>
        <s v="2' - 9 1/4&quot;" u="1"/>
        <s v="1' - 8 7/8&quot;" u="1"/>
        <s v="3' - 7 7/32&quot;" u="1"/>
        <s v="8' - 0&quot;" u="1"/>
        <s v="0' - 9 9/16&quot;" u="1"/>
        <s v="0' - 9 13/16&quot;" u="1"/>
        <s v="6' - 0&quot;" u="1"/>
        <s v="0' - 10 3/16&quot;" u="1"/>
        <s v="0' - 7 13/32&quot;" u="1"/>
        <s v="0' - 10 11/16&quot;" u="1"/>
        <s v="1' - 9 7/8&quot;" u="1"/>
        <s v="4' - 4 7/8&quot;" u="1"/>
        <s v="1' - 1 25/32&quot;" u="1"/>
        <s v="7' - 5 3/32&quot;" u="1"/>
        <s v="6' - 0 15/32&quot;" u="1"/>
        <s v="16' - 9&quot;" u="1"/>
        <s v="0' - 2 19/32&quot;" u="1"/>
        <s v="3' - 11 23/32&quot;" u="1"/>
        <s v="4' - 6 27/32&quot;" u="1"/>
        <s v="0' - 2 5/16&quot;" u="1"/>
        <s v="11' - 5 5/8&quot;" u="1"/>
        <s v="11' - 6 11/16&quot;" u="1"/>
        <s v="10' - 5 3/4&quot;" u="1"/>
        <s v="10' - 11 9/16&quot;" u="1"/>
        <s v="0' - 7 13/16&quot;" u="1"/>
        <s v="1' - 7 19/32&quot;" u="1"/>
        <s v="7' - 5&quot;" u="1"/>
        <s v="8' - 0 25/32&quot;" u="1"/>
        <s v="0' - 0 9/32&quot;" u="1"/>
        <s v="0' - 1 21/32&quot;" u="1"/>
        <s v="18' - 0&quot;" u="1"/>
        <s v="4' - 9 25/32&quot;" u="1"/>
        <s v="5' - 6 5/8&quot;" u="1"/>
        <s v="14' - 5 7/32&quot;" u="1"/>
        <s v="14' - 1 7/32&quot;" u="1"/>
        <s v="5' - 7 19/32&quot;" u="1"/>
        <s v="20' - 10&quot;" u="1"/>
        <s v="4' - 4 3/4&quot;" u="1"/>
        <s v="4' - 11&quot;" u="1"/>
        <s v="6' - 3&quot;" u="1"/>
        <s v="15' - 3 5/16&quot;" u="1"/>
        <s v="20' - 7 15/16&quot;" u="1"/>
        <s v="5' - 0 31/32&quot;" u="1"/>
        <s v="7' - 8 31/32&quot;" u="1"/>
        <s v="0' - 9 21/32&quot;" u="1"/>
        <s v="0' - 2 11/32&quot;" u="1"/>
        <s v="1' - 6 1/32&quot;" u="1"/>
        <s v="0' - 9 23/32&quot;" u="1"/>
        <s v="0' - 3 11/32&quot;" u="1"/>
        <s v="2' - 7 31/32&quot;" u="1"/>
        <s v="5' - 11 31/32&quot;" u="1"/>
        <s v="2' - 3 3/32&quot;" u="1"/>
        <s v="11' - 6 9/16&quot;" u="1"/>
        <s v="6' - 10 3/4&quot;" u="1"/>
        <s v="6' - 7 3/8&quot;" u="1"/>
        <s v="0' - 0 23/32&quot;" u="1"/>
        <s v="13' - 0&quot;" u="1"/>
        <s v="11' - 7 3/8&quot;" u="1"/>
        <s v="10' - 0 11/16&quot;" u="1"/>
        <s v="16' - 2 21/32&quot;" u="1"/>
        <s v="19' - 1 7/8&quot;" u="1"/>
        <s v="14' - 1 9/16&quot;" u="1"/>
        <s v="13' - 9 17/32&quot;" u="1"/>
        <s v="18' - 1 3/8&quot;" u="1"/>
        <s v="1' - 2 3/4&quot;" u="1"/>
        <s v="5' - 11 23/32&quot;" u="1"/>
        <s v="12' - 3&quot;" u="1"/>
        <s v="5' - 7 9/32&quot;" u="1"/>
        <s v="4' - 11 11/16&quot;" u="1"/>
        <s v="6' - 7 21/32&quot;" u="1"/>
        <s v="10' - 0&quot;" u="1"/>
        <s v="6' - 9 1/32&quot;" u="1"/>
        <s v="6' - 10 9/16&quot;" u="1"/>
        <s v="12' - 0&quot;" u="1"/>
        <s v="6' - 7 23/32&quot;" u="1"/>
        <s v="3' - 5 1/16&quot;" u="1"/>
        <s v="7' - 1 13/32&quot;" u="1"/>
        <s v="7' - 9 13/32&quot;" u="1"/>
        <s v="12' - 7 17/32&quot;" u="1"/>
        <s v="13' - 4 5/32&quot;" u="1"/>
        <s v="20' - 9&quot;" u="1"/>
        <s v="4' - 7 1/2&quot;" u="1"/>
        <s v="1' - 7 3/4&quot;" u="1"/>
        <s v="5' - 7 15/32&quot;" u="1"/>
        <s v="0' - 4 31/32&quot;" u="1"/>
        <s v="5' - 10 5/32&quot;" u="1"/>
        <s v="9' - 4 25/32&quot;" u="1"/>
        <s v="4' - 0&quot;" u="1"/>
        <s v="3' - 11 3/4&quot;" u="1"/>
        <s v="4' - 9 11/32&quot;" u="1"/>
        <s v="5' - 7 7/16&quot;" u="1"/>
        <s v="10' - 0 11/32&quot;" u="1"/>
        <s v="11' - 2 7/32&quot;" u="1"/>
        <s v="0' - 1 1/8&quot;" u="1"/>
        <s v="2' - 2 3/32&quot;" u="1"/>
        <s v="2' - 3 7/16&quot;" u="1"/>
        <s v="0' - 1 15/32&quot;" u="1"/>
        <s v="0' - 5 11/32&quot;" u="1"/>
        <s v="5' - 3 13/32&quot;" u="1"/>
        <s v="8' - 7 9/32&quot;" u="1"/>
        <s v="1' - 6 11/16&quot;" u="1"/>
        <s v="4' - 2 27/32&quot;" u="1"/>
        <s v="0' - 7 3/16&quot;" u="1"/>
        <s v="14' - 1 3/8&quot;" u="1"/>
        <s v="0' - 7 5/32&quot;" u="1"/>
        <s v="2' - 10 11/16&quot;" u="1"/>
        <s v="4' - 1 13/16&quot;" u="1"/>
        <s v="12' - 1 23/32&quot;" u="1"/>
        <s v="7' - 3 29/32&quot;" u="1"/>
        <s v="2' - 2 3/4&quot;" u="1"/>
        <s v="10' - 3 3/4&quot;" u="1"/>
        <s v="10' - 4 5/16&quot;" u="1"/>
        <s v="0' - 6 29/32&quot;" u="1"/>
        <s v="2' - 3&quot;" u="1"/>
        <s v="2' - 10&quot;" u="1"/>
        <s v="3' - 8&quot;" u="1"/>
        <s v="4' - 5&quot;" u="1"/>
        <s v="5' - 10&quot;" u="1"/>
        <s v="0' - 1 3/16&quot;" u="1"/>
        <s v="0' - 1 9/16&quot;" u="1"/>
        <s v="0' - 3 13/16&quot;" u="1"/>
        <s v="0' - 3 7/16&quot;" u="1"/>
        <s v="0' - 2 17/32&quot;" u="1"/>
        <s v="0' - 5 1/4&quot;" u="1"/>
        <s v="0' - 4 3/16&quot;" u="1"/>
        <s v="0' - 0 27/32&quot;" u="1"/>
        <s v="0' - 0 29/32&quot;" u="1"/>
        <s v="0' - 1 5/32&quot;" u="1"/>
        <s v="0' - 1 11/32&quot;" u="1"/>
        <s v="0' - 1 7/32&quot;" u="1"/>
        <s v="0' - 3 17/32&quot;" u="1"/>
        <s v="0' - 4 25/32&quot;" u="1"/>
        <s v="0' - 5 17/32&quot;" u="1"/>
        <s v="0' - 6 21/32&quot;" u="1"/>
        <s v="0' - 2 21/32&quot;" u="1"/>
        <s v="0' - 3 9/32&quot;" u="1"/>
        <s v="0' - 0 25/32&quot;" u="1"/>
        <s v="0' - 1 17/32&quot;" u="1"/>
        <s v="0' - 4 11/32&quot;" u="1"/>
        <s v="0' - 2 27/32&quot;" u="1"/>
        <s v="0' - 3 31/32&quot;" u="1"/>
        <s v="0' - 4 5/32&quot;" u="1"/>
        <s v="0' - 4 27/32&quot;" u="1"/>
        <s v="0' - 3 25/32&quot;" u="1"/>
        <s v="0' - 4 29/32&quot;" u="1"/>
        <s v="0' - 5 9/32&quot;" u="1"/>
        <s v="0' - 5 7/16&quot;" u="1"/>
        <s v="0' - 6 15/32&quot;" u="1"/>
        <s v="0' - 7 19/32&quot;" u="1"/>
        <s v="0' - 4 3/32&quot;" u="1"/>
        <s v="0' - 3 3/32&quot;" u="1"/>
        <s v="0' - 3 23/32&quot;" u="1"/>
        <s v="0' - 5 3/16&quot;" u="1"/>
        <s v="0' - 5 5/32&quot;" u="1"/>
        <s v="0' - 5 31/32&quot;" u="1"/>
        <s v="0' - 7 15/32&quot;" u="1"/>
        <s v="0' - 6 5/16&quot;" u="1"/>
        <s v="0' - 7 1/32&quot;" u="1"/>
        <s v="0' - 7 29/32&quot;" u="1"/>
        <s v="0' - 8 3/32&quot;" u="1"/>
        <s v="0' - 8 13/16&quot;" u="1"/>
        <s v="0' - 10 3/32&quot;" u="1"/>
        <s v="0' - 11 3/32&quot;" u="1"/>
        <s v="0' - 1 25/32&quot;" u="1"/>
        <s v="0' - 1 1/32&quot;" u="1"/>
        <s v="0' - 0 17/32&quot;" u="1"/>
        <s v="0' - 0 5/16&quot;" u="1"/>
        <s v="0' - 0 13/32&quot;" u="1"/>
        <s v="0' - 1 31/32&quot;" u="1"/>
        <s v="0' - 2 31/32&quot;" u="1"/>
        <s v="0' - 1 9/32&quot;" u="1"/>
        <s v="0' - 4 23/32&quot;" u="1"/>
        <s v="0' - 1 29/32&quot;" u="1"/>
        <s v="0' - 1 23/32&quot;" u="1"/>
        <s v="0' - 1 3/32&quot;" u="1"/>
        <s v="0' - 1 27/32&quot;" u="1"/>
        <s v="0' - 0 19/32&quot;" u="1"/>
        <s v="0' - 1 13/32&quot;" u="1"/>
        <s v="0' - 2 1/32&quot;" u="1"/>
        <s v="0' - 2 3/32&quot;" u="1"/>
        <s v="0' - 4 7/16&quot;" u="1"/>
        <s v="0' - 5 13/32&quot;" u="1"/>
        <s v="0' - 3 13/32&quot;" u="1"/>
        <s v="0' - 4 13/32&quot;" u="1"/>
        <s v="0' - 3 5/32&quot;" u="1"/>
        <s v="0' - 3 29/32&quot;" u="1"/>
        <s v="0' - 6 7/32&quot;" u="1"/>
        <s v="0' - 7 11/32&quot;" u="1"/>
        <s v="0' - 7 7/8&quot;" u="1"/>
        <s v="0' - 9 11/32&quot;" u="1"/>
        <s v="1' - 0 13/16&quot;" u="1"/>
        <s v="0' - 2 5/32&quot;" u="1"/>
        <s v="0' - 5 25/32&quot;" u="1"/>
        <s v="0' - 3 21/32&quot;" u="1"/>
        <s v="0' - 7 25/32&quot;" u="1"/>
        <s v="0' - 9 15/32&quot;" u="1"/>
        <s v="0' - 11 1/32&quot;" u="1"/>
        <s v="1' - 0 23/32&quot;" u="1"/>
        <s v="0' - 3 19/32&quot;" u="1"/>
        <s v="0' - 4 1/32&quot;" u="1"/>
        <s v="0' - 5 13/16&quot;" u="1"/>
        <s v="0' - 6 3/16&quot;" u="1"/>
        <s v="0' - 6 3/32&quot;" u="1"/>
        <s v="0' - 9 1/2&quot;" u="1"/>
        <s v="1' - 6 1/2&quot;" u="1"/>
        <s v="2' - 1&quot;" u="1"/>
        <s v="0' - 6 19/32&quot;" u="1"/>
        <s v="0' - 9 19/32&quot;" u="1"/>
        <s v="0' - 11 3/16&quot;" u="1"/>
        <s v="1' - 1 3/16&quot;" u="1"/>
        <s v="1' - 2 13/16&quot;" u="1"/>
        <s v="1' - 6 19/32&quot;" u="1"/>
        <s v="1' - 9 19/32&quot;" u="1"/>
        <s v="3' - 4&quot;" u="1"/>
        <s v="0' - 10 9/16&quot;" u="1"/>
        <s v="1' - 4 9/16&quot;" u="1"/>
        <s v="1' - 4 3/8&quot;" u="1"/>
        <s v="1' - 11 1/4&quot;" u="1"/>
        <s v="1' - 11 1/16&quot;" u="1"/>
        <s v="1' - 10 15/16&quot;" u="1"/>
        <s v="2' - 7&quot;" u="1"/>
        <s v="1' - 1 1/2&quot;" u="1"/>
        <s v="1' - 4 1/2&quot;" u="1"/>
        <s v="3' - 1&quot;" u="1"/>
        <s v="0' - 6 13/32&quot;" u="1"/>
        <s v="0' - 7 5/16&quot;" u="1"/>
        <s v="0' - 4 21/32&quot;" u="1"/>
        <s v="0' - 5 3/32&quot;" u="1"/>
        <s v="0' - 5 1/32&quot;" u="1"/>
        <s v="0' - 5 11/16&quot;" u="1"/>
        <s v="3' - 3&quot;" u="1"/>
        <s v="3' - 11&quot;" u="1"/>
        <s v="4' - 8&quot;" u="1"/>
        <s v="5' - 6&quot;" u="1"/>
        <s v="4' - 3&quot;" u="1"/>
        <s v="5' - 5&quot;" u="1"/>
        <s v="5' - 11&quot;" u="1"/>
        <s v="6' - 7&quot;" u="1"/>
        <s v="5' - 7&quot;" u="1"/>
        <s v="4' - 2&quot;" u="1"/>
        <s v="0' - 4 15/32&quot;" u="1"/>
        <s v="0' - 10 13/16&quot;" u="1"/>
        <s v="0' - 11 9/16&quot;" u="1"/>
        <s v="0' - 7 17/32&quot;" u="1"/>
        <s v="1' - 3 19/32&quot;" u="1"/>
        <s v="1' - 5 25/32&quot;" u="1"/>
        <s v="1' - 3 17/32&quot;" u="1"/>
        <s v="1' - 2 9/32&quot;" u="1"/>
        <s v="7' - 6&quot;" u="1"/>
        <s v="1' - 2 1/2&quot;" u="1"/>
        <s v="0' - 2 13/32&quot;" u="1"/>
        <s v="0' - 0 5/32&quot;" u="1"/>
        <s v="0' - 0 7/32&quot;" u="1"/>
        <s v="0' - 0 3/32&quot;" u="1"/>
        <s v="0' - 5 29/32&quot;" u="1"/>
        <s v="0' - 7 3/32&quot;" u="1"/>
        <s v="0' - 5 21/32&quot;" u="1"/>
        <s v="1' - 6 13/32&quot;" u="1"/>
        <s v="1' - 4 31/32&quot;" u="1"/>
        <s v="2' - 9 15/16&quot;" u="1"/>
        <s v="2' - 1 15/32&quot;" u="1"/>
        <s v="0' - 8 13/32&quot;" u="1"/>
        <s v="0' - 11 13/32&quot;" u="1"/>
        <s v="1' - 4 13/16&quot;" u="1"/>
        <s v="1' - 7 3/16&quot;" u="1"/>
        <s v="2' - 2&quot;" u="1"/>
        <s v="3' - 6&quot;" u="1"/>
        <s v="1' - 10 1/8&quot;" u="1"/>
        <s v="0' - 4 19/32&quot;" u="1"/>
        <s v="1' - 3 5/8&quot;" u="1"/>
        <s v="1' - 9 5/8&quot;" u="1"/>
        <s v="2' - 1 3/4&quot;" u="1"/>
        <s v="4' - 1 1/2&quot;" u="1"/>
        <s v="1' - 7 1/4&quot;" u="1"/>
        <s v="0' - 10 1/16&quot;" u="1"/>
        <s v="0' - 4 15/16&quot;" u="1"/>
        <s v="0' - 10 7/16&quot;" u="1"/>
        <s v="0' - 2 15/32&quot;" u="1"/>
        <s v="0' - 5 15/32&quot;" u="1"/>
        <s v="0' - 10 9/32&quot;" u="1"/>
        <s v="2' - 3 1/4&quot;" u="1"/>
        <s v="1' - 4 7/16&quot;" u="1"/>
        <s v="2' - 5 3/4&quot;" u="1"/>
        <s v="2' - 2 1/8&quot;" u="1"/>
        <s v="2' - 8 1/8&quot;" u="1"/>
        <s v="3' - 7 1/2&quot;" u="1"/>
        <s v="3' - 1 7/8&quot;" u="1"/>
        <s v="2' - 5 9/16&quot;" u="1"/>
        <s v="3' - 5 3/8&quot;" u="1"/>
        <s v="2' - 9 1/16&quot;" u="1"/>
        <s v="4' - 6 1/4&quot;" u="1"/>
        <s v="3' - 9 15/16&quot;" u="1"/>
        <s v="5' - 9 1/4&quot;" u="1"/>
        <s v="5' - 0 15/16&quot;" u="1"/>
        <s v="3' - 3 5/8&quot;" u="1"/>
        <s v="0' - 6 5/32&quot;" u="1"/>
        <s v="1' - 6 7/8&quot;" u="1"/>
        <s v="1' - 10 3/4&quot;" u="1"/>
        <s v="2' - 1 1/2&quot;" u="1"/>
        <s v="2' - 2 1/2&quot;" u="1"/>
        <s v="0' - 4 7/32&quot;" u="1"/>
        <s v="0' - 8 25/32&quot;" u="1"/>
        <s v="0' - 8 7/8&quot;" u="1"/>
        <s v="0' - 11 19/32&quot;" u="1"/>
        <s v="1' - 3 13/16&quot;" u="1"/>
        <s v="1' - 10 29/32&quot;" u="1"/>
        <s v="0' - 8 29/32&quot;" u="1"/>
        <s v="1' - 0 11/16&quot;" u="1"/>
        <s v="1' - 5 23/32&quot;" u="1"/>
        <s v="1' - 9 29/32&quot;" u="1"/>
        <s v="1' - 3 15/32&quot;" u="1"/>
        <s v="0' - 8 9/32&quot;" u="1"/>
        <s v="0' - 5 19/32&quot;" u="1"/>
        <s v="1' - 1 19/32&quot;" u="1"/>
        <s v="2' - 4 5/8&quot;" u="1"/>
        <s v="1' - 11 7/8&quot;" u="1"/>
        <s v="0' - 9 7/32&quot;" u="1"/>
        <s v="2' - 1 11/16&quot;" u="1"/>
        <s v="0' - 3 27/32&quot;" u="1"/>
        <s v="1' - 0 13/32&quot;" u="1"/>
        <s v="1' - 10 1/2&quot;" u="1"/>
        <s v="2' - 3 1/2&quot;" u="1"/>
        <s v="0' - 10 5/16&quot;" u="1"/>
        <s v="0' - 3 15/32&quot;" u="1"/>
        <s v="0' - 6 1/32&quot;" u="1"/>
        <s v="0' - 8 21/32&quot;" u="1"/>
        <s v="0' - 8 19/32&quot;" u="1"/>
        <s v="0' - 0 1/32&quot;" u="1"/>
        <s v="0' - 5 27/32&quot;" u="1"/>
        <s v="2' - 4 3/32&quot;" u="1"/>
        <s v="0' - 9 7/16&quot;" u="1"/>
        <s v="0' - 11 29/32&quot;" u="1"/>
        <s v="0' - 4 9/32&quot;" u="1"/>
        <s v="1' - 5 1/2&quot;" u="1"/>
        <s v="1' - 1 23/32&quot;" u="1"/>
        <s v="0' - 5 23/32&quot;" u="1"/>
        <s v="0' - 8 27/32&quot;" u="1"/>
        <s v="16' - 4 27/32&quot;" u="1"/>
        <s v="1' - 10 1/4&quot;" u="1"/>
        <s v="0' - 9 5/16&quot;" u="1"/>
        <s v="1' - 1 1/8&quot;" u="1"/>
        <s v="1' - 3 25/32&quot;" u="1"/>
        <s v="1' - 6 29/32&quot;" u="1"/>
        <s v="1' - 1 3/32&quot;" u="1"/>
        <s v="0' - 6 23/32&quot;" u="1"/>
        <s v="1' - 2 15/16&quot;" u="1"/>
        <s v="1' - 9 11/16&quot;" u="1"/>
        <s v="0' - 6 9/32&quot;" u="1"/>
        <s v="0' - 11 31/32&quot;" u="1"/>
        <s v="0' - 9 17/32&quot;" u="1"/>
        <s v="1' - 9 17/32&quot;" u="1"/>
        <s v="0' - 8 11/16&quot;" u="1"/>
        <s v="4' - 9 1/2&quot;" u="1"/>
        <s v="1' - 10 7/16&quot;" u="1"/>
        <s v="1' - 2 3/16&quot;" u="1"/>
        <s v="1' - 7 3/8&quot;" u="1"/>
        <s v="0' - 10 23/32&quot;" u="1"/>
        <s v="1' - 0 7/16&quot;" u="1"/>
        <s v="3' - 0 5/16&quot;" u="1"/>
        <s v="1' - 7 7/16&quot;" u="1"/>
        <s v="1' - 3 3/16&quot;" u="1"/>
        <s v="2' - 2 11/16&quot;" u="1"/>
        <s v="0' - 8 11/32&quot;" u="1"/>
        <s v="1' - 2 5/32&quot;" u="1"/>
        <s v="0' - 8 7/16&quot;" u="1"/>
        <s v="0' - 7 23/32&quot;" u="1"/>
        <s v="0' - 6 31/32&quot;" u="1"/>
        <s v="0' - 6 27/32&quot;" u="1"/>
        <s v="0' - 5 7/32&quot;" u="1"/>
      </sharedItems>
    </cacheField>
    <cacheField name="Length (dec ft)" numFmtId="0">
      <sharedItems containsString="0" containsBlank="1" containsNumber="1" minValue="0.2213" maxValue="20"/>
    </cacheField>
    <cacheField name="Quantity" numFmtId="0">
      <sharedItems containsSemiMixedTypes="0" containsString="0" containsNumber="1" containsInteger="1" minValue="1" maxValue="1" count="1">
        <n v="1"/>
      </sharedItems>
    </cacheField>
    <cacheField name="Manufacturer Order Number" numFmtId="0">
      <sharedItems count="1">
        <s v=""/>
      </sharedItems>
    </cacheField>
    <cacheField name="RFA Model Number" numFmtId="0">
      <sharedItems count="1">
        <s v=""/>
      </sharedItems>
    </cacheField>
    <cacheField name="Spool Name" numFmtId="0">
      <sharedItems count="24">
        <s v="PLC-CD-06"/>
        <s v="PLC-CD-02"/>
        <s v="PLD-CD-02"/>
        <s v="PLD-CD-03"/>
        <s v="PLC-CD-08"/>
        <s v="PLC-CD-07"/>
        <s v="PLA-CD-10"/>
        <s v="PLA-CD-01"/>
        <s v="PLC-CD-01"/>
        <s v="PLD-CD-05"/>
        <s v="PLD-CD-04"/>
        <s v="PLA-CD-08"/>
        <s v="PLD-CD-01"/>
        <s v="PLA-CD-09"/>
        <s v=""/>
        <s v="PLA-CD-07"/>
        <s v="PLA-CD-05"/>
        <s v="PLC-CD-03"/>
        <s v="PLC-CD-05"/>
        <s v="PLC-CD-04"/>
        <s v="PLA-CD-06"/>
        <s v="PLA-CD-04"/>
        <s v="PLA-CD-03"/>
        <s v="PLA-CD-02"/>
      </sharedItems>
    </cacheField>
    <cacheField name="Spool Name (PiM)" numFmtId="0">
      <sharedItems count="970">
        <s v="PLC-CD-06"/>
        <s v="PLC-CD-02"/>
        <s v="PLD-CD-02"/>
        <s v="PLD-CD-03"/>
        <s v="PLC-CD-08"/>
        <s v="PLC-CD-07"/>
        <s v="PLA-CD-10"/>
        <s v="PLA-CD-01"/>
        <s v="PLC-CD-01"/>
        <s v="PLD-CD-05"/>
        <s v="PLD-CD-04"/>
        <s v="PLA-CD-08"/>
        <s v="PLD-CD-01"/>
        <s v="PLA-CD-09"/>
        <s v=""/>
        <s v="PLA-CD-07"/>
        <s v="PLA-CD-05"/>
        <s v="PLC-CD-03"/>
        <s v="PLC-CD-05"/>
        <s v="PLC-CD-04"/>
        <s v="PLA-CD-06"/>
        <s v="PLA-CD-04"/>
        <s v="PLA-CD-03"/>
        <s v="PLA-CD-02"/>
        <s v="Spool Name (PiM)" u="1"/>
        <s v="02/03A1-CHWS-003" u="1"/>
        <s v="02/03A1-CHWR-003" u="1"/>
        <s v="02/03A2-CHWR-003" u="1"/>
        <s v="02/03A2-CHWS-003" u="1"/>
        <s v="02/03A2-CHWR-004" u="1"/>
        <s v="02/03A2-CHWS-004" u="1"/>
        <s v="02/03A2-CHWS-006" u="1"/>
        <s v="02/03A4-CHWS-002" u="1"/>
        <s v="02/03A4-CHWR-002" u="1"/>
        <s v="02/03A2-CHWR-002" u="1"/>
        <s v="02/03A1-CHWR-004" u="1"/>
        <s v="02/03A1-CHWR-010" u="1"/>
        <s v="02/03A1-CHWS-010" u="1"/>
        <s v="02/03A1-CHWS-009" u="1"/>
        <s v="02/03A1-CHWS-004" u="1"/>
        <s v="02/03A1-CHWR-009" u="1"/>
        <s v="02/03A1-CHWR-011" u="1"/>
        <s v="02/03A1-CHWS-011" u="1"/>
        <s v="02/03A2-CHWR-001" u="1"/>
        <s v="02/03A1-CHWR-005" u="1"/>
        <s v="02/03A1-CHWR-006" u="1"/>
        <s v="02/03A1-CHWR-007" u="1"/>
        <s v="02/03A1-CHWS-005" u="1"/>
        <s v="02/03A1-CHWS-006" u="1"/>
        <s v="02/03A1-CHWS-007" u="1"/>
        <s v="02/03A1-CHWR-001" u="1"/>
        <s v="02/03A1-CHWS-001" u="1"/>
        <s v="02/03A2-CHWS-001" u="1"/>
        <s v="02/03A2-CHWS-002" u="1"/>
        <s v="02/03A2-CHWR-006" u="1"/>
        <s v="02/03A4-CHWS-001" u="1"/>
        <s v="02/03A4-CHWR-001" u="1"/>
        <s v="02/03A1-CHWS-002" u="1"/>
        <s v="02/03A1-CHWR-002" u="1"/>
        <s v="02/03A1-CHWR-008" u="1"/>
        <s v="02/03A1-CHWS-008" u="1"/>
        <s v="02/03A4-CHWS-003" u="1"/>
        <s v="02/03A4-CHWR-003" u="1"/>
        <s v="02/03A4-CD-002" u="1"/>
        <s v="02/03A4-CD-001" u="1"/>
        <s v="02/03A2-CD-002" u="1"/>
        <s v="02/03A4-CD-003" u="1"/>
        <s v="02/03A4-CD-004" u="1"/>
        <s v="02/03A2-CD-004" u="1"/>
        <s v="02/03A2-CD-001" u="1"/>
        <s v="02/03A1-CHWR-012" u="1"/>
        <s v="02/03A2-CD-003" u="1"/>
        <s v="02/03A2-CHWS-005" u="1"/>
        <s v="02/03A2-CHWR-005" u="1"/>
        <s v="06-B1-CHWR-006" u="1"/>
        <s v="06-B1-CHWS-006" u="1"/>
        <s v="06-A1-CHWR-002" u="1"/>
        <s v="06-A1-CHWS-002" u="1"/>
        <s v="06-B2-CHWS-021" u="1"/>
        <s v="06-B1-CHWS-002" u="1"/>
        <s v="06-B1-CHWS-001" u="1"/>
        <s v="06-B2-CHWS-020" u="1"/>
        <s v="06-B2-CHWS-018" u="1"/>
        <s v="06-B2-CHWR-018" u="1"/>
        <s v="06-B2-CHWS-019" u="1"/>
        <s v="06-B2-CHWR-019" u="1"/>
        <s v="06-B2-CHWS-012" u="1"/>
        <s v="06-B2-CHWR-021" u="1"/>
        <s v="06-B1-CHWR-002" u="1"/>
        <s v="06-B1-CHWR-001" u="1"/>
        <s v="06-B2-CHWR-020" u="1"/>
        <s v="06-B1-CHWS-017" u="1"/>
        <s v="06-B1-CHWR-017" u="1"/>
        <s v="06-B2-CHWS-016" u="1"/>
        <s v="06-B2-CHWR-016" u="1"/>
        <s v="06-B2-CHWR-008" u="1"/>
        <s v="06-B2-CHWS-013" u="1"/>
        <s v="06-B2-CHWS-003" u="1"/>
        <s v="06-B2-CHWS-004" u="1"/>
        <s v="06-B2-CHWS-005" u="1"/>
        <s v="06-B2-CHWS-009" u="1"/>
        <s v="06-B2-CHWS-010" u="1"/>
        <s v="06-B2-CHWS-008" u="1"/>
        <s v="06-B2-CHWS-022" u="1"/>
        <s v="06-B2-CHWR-022" u="1"/>
        <s v="06-B2-CHWS-033" u="1"/>
        <s v="06-B2-CHWR-033" u="1"/>
        <s v="06-B2-CHWR-012" u="1"/>
        <s v="06-B2-CHWR-013" u="1"/>
        <s v="06-B2-CHWR-003" u="1"/>
        <s v="06-B2-CHWR-004" u="1"/>
        <s v="06-B2-CHWR-005" u="1"/>
        <s v="06-B2-CHWR-009" u="1"/>
        <s v="06-B2-CHWR-010" u="1"/>
        <s v="06-B2-CHWS-011" u="1"/>
        <s v="06-B2-CHWR-011" u="1"/>
        <s v="06-B2-CHWS-007" u="1"/>
        <s v="06-B2-CHWR-007" u="1"/>
        <s v="06-B1-CHWS-018" u="1"/>
        <s v="06-B1-CHWR-018" u="1"/>
        <s v="06-B1-CHWS-019" u="1"/>
        <s v="06-B1-CHWR-019" u="1"/>
        <s v="06-B1-CHWS-021" u="1"/>
        <s v="06-B1-CHWR-021" u="1"/>
        <s v="06-B1-CHWS-022" u="1"/>
        <s v="06-B1-CHWR-022" u="1"/>
        <s v="06-B1-CHWS-040" u="1"/>
        <s v="06-B1-CHWR-042" u="1"/>
        <s v="06-B1-CHWS-041" u="1"/>
        <s v="06-B1-CHWR-033" u="1"/>
        <s v="06-B2-CHWS-034" u="1"/>
        <s v="06-B2-CHWR-034" u="1"/>
        <s v="06-B2-CHWR-017" u="1"/>
        <s v="06-B2-CHWS-017" u="1"/>
        <s v="06-B1-CHWS-003" u="1"/>
        <s v="06-B1-CHWR-003" u="1"/>
        <s v="06-B2-CHWS-031" u="1"/>
        <s v="06-B2-CHWR-031" u="1"/>
        <s v="06-B2-CHWS-032" u="1"/>
        <s v="06-B2-CHWR-032" u="1"/>
        <s v="06-B2-CHWS-014" u="1"/>
        <s v="06-B2-CHWR-014" u="1"/>
        <s v="06-B2-CHWR-015" u="1"/>
        <s v="06-B2-CHWS-015" u="1"/>
        <s v="06-B2-CHWR-002" u="1"/>
        <s v="06-B2-CHWR-001" u="1"/>
        <s v="06-B2-CHWS-002" u="1"/>
        <s v="06-B2-CHWS-001" u="1"/>
        <s v="06-B2-CHWS-006" u="1"/>
        <s v="06-B2-CHWR-006" u="1"/>
        <s v="06-B2-CHWR-027" u="1"/>
        <s v="06-B2-CHWS-027" u="1"/>
        <s v="06-B2-CHWR-029" u="1"/>
        <s v="06-B2-CHWS-029" u="1"/>
        <s v="06-B2-CHWR-028" u="1"/>
        <s v="06-B2-CHWS-028" u="1"/>
        <s v="06-B2-CHWR-030" u="1"/>
        <s v="06-B2-CHWS-030" u="1"/>
        <s v="06-B2-CHWR-024" u="1"/>
        <s v="06-B2-CHWR-026" u="1"/>
        <s v="06-B2-CHWS-024" u="1"/>
        <s v="06-B2-CHWS-026" u="1"/>
        <s v="06-B2-CHWR-023" u="1"/>
        <s v="06-B2-CHWS-023" u="1"/>
        <s v="06-B2-CHWR-025" u="1"/>
        <s v="06-B2-CHWS-025" u="1"/>
        <s v="06-B1-CHWR-016" u="1"/>
        <s v="06-B1-CHWS-016" u="1"/>
        <s v="06-B1-CHWS-005" u="1"/>
        <s v="06-B1-CHWR-005" u="1"/>
        <s v="06-B1-CHWS-008" u="1"/>
        <s v="06-B1-CHWR-008" u="1"/>
        <s v="06-B1-CHWS-015" u="1"/>
        <s v="06-B1-CHWR-012" u="1"/>
        <s v="06-B1-CHWS-012" u="1"/>
        <s v="06-B1-CHWS-014" u="1"/>
        <s v="06-B1-CHWR-014" u="1"/>
        <s v="06-B1-CHWS-023" u="1"/>
        <s v="06-B1-CHWR-023" u="1"/>
        <s v="06-B1-CHWR-013" u="1"/>
        <s v="06-B1-CHWS-013" u="1"/>
        <s v="06-B1-CHWS-044" u="1"/>
        <s v="06-B1-CHWR-034" u="1"/>
        <s v="06-B1-CHWR-015" u="1"/>
        <s v="06-B1-CHWR-035" u="1"/>
        <s v="06-B1-CHWS-045" u="1"/>
        <s v="06-A1-CHWS-015" u="1"/>
        <s v="06-A1-CHWR-015" u="1"/>
        <s v="06-A1-CHWS-016" u="1"/>
        <s v="06-A1-CHWR-016" u="1"/>
        <s v="06-A1-CHWS-017" u="1"/>
        <s v="06-A1-CHWR-017" u="1"/>
        <s v="06-A1-CHWS-021" u="1"/>
        <s v="06-A1-CHWR-021" u="1"/>
        <s v="06-A1-CHWR-005" u="1"/>
        <s v="06-A1-CHWS-005" u="1"/>
        <s v="06-A2-CHWS-025" u="1"/>
        <s v="06-A2-CHWR-025" u="1"/>
        <s v="06-A2-CHWS-023" u="1"/>
        <s v="06-A2-CHWR-023" u="1"/>
        <s v="06-A1-CHWR-001" u="1"/>
        <s v="06-A1-CHWS-006" u="1"/>
        <s v="06-A1-CHWR-006" u="1"/>
        <s v="06-A1-CHWS-024" u="1"/>
        <s v="06-A1-CHWR-024" u="1"/>
        <s v="06-A1-CHWS-025" u="1"/>
        <s v="06-A1-CHWR-025" u="1"/>
        <s v="06-A1-CHWS-022" u="1"/>
        <s v="06-A1-CHWR-022" u="1"/>
        <s v="06-A1-CHWS-023" u="1"/>
        <s v="06-A1-CHWR-023" u="1"/>
        <s v="06-A1-CHWR-007" u="1"/>
        <s v="06-A1-CHWS-007" u="1"/>
        <s v="06-A1-CHWR-008" u="1"/>
        <s v="06-A1-CHWR-011" u="1"/>
        <s v="06-A1-CHWS-008" u="1"/>
        <s v="06-A1-CHWS-011" u="1"/>
        <s v="06-A2-CHWS-028" u="1"/>
        <s v="06-A2-CHWR-028" u="1"/>
        <s v="06-A2-CHWS-019" u="1"/>
        <s v="06-A2-CHWR-019" u="1"/>
        <s v="06-A1-CHWR-010" u="1"/>
        <s v="06-A1-CHWS-010" u="1"/>
        <s v="06-A2-CHWS-030" u="1"/>
        <s v="06-A2-CHWR-030" u="1"/>
        <s v="06-A2-CHWR-029" u="1"/>
        <s v="06-A2-CHWS-029" u="1"/>
        <s v="06-A2-CHWS-018" u="1"/>
        <s v="06-A2-CHWR-018" u="1"/>
        <s v="06-A2-CHWS-017" u="1"/>
        <s v="06-A2-CHWR-017" u="1"/>
        <s v="06-A2-CHWS-014" u="1"/>
        <s v="06-A2-CHWR-014" u="1"/>
        <s v="06-A2-CHWR-015" u="1"/>
        <s v="06-A2-CHWS-015" u="1"/>
        <s v="06-A2-CHWS-035" u="1"/>
        <s v="06-A2-CHWR-035" u="1"/>
        <s v="06-A2-CHWS-013" u="1"/>
        <s v="06-A2-CHWR-013" u="1"/>
        <s v="06-A2-CHWS-034" u="1"/>
        <s v="06-A2-CHWR-034" u="1"/>
        <s v="06-A2-CHWS-012" u="1"/>
        <s v="06-A2-CHWR-012" u="1"/>
        <s v="06-A2-CHWS-011" u="1"/>
        <s v="06-A2-CHWR-011" u="1"/>
        <s v="06-A2-CHWS-007" u="1"/>
        <s v="06-A2-CHWR-007" u="1"/>
        <s v="06-A2-CHWS-009" u="1"/>
        <s v="06-A2-CHWR-009" u="1"/>
        <s v="06-A2-CHWS-032" u="1"/>
        <s v="06-A2-CHWR-032" u="1"/>
        <s v="06-A2-CHWS-033" u="1"/>
        <s v="06-A2-CHWR-033" u="1"/>
        <s v="06-A2-CHWR-004" u="1"/>
        <s v="06-A2-CHWS-004" u="1"/>
        <s v="06-A2-CHWS-006" u="1"/>
        <s v="06-A2-CHWR-006" u="1"/>
        <s v="06-A2-CHWS-008" u="1"/>
        <s v="06-A2-CHWR-008" u="1"/>
        <s v="06-A2-CHWR-031" u="1"/>
        <s v="06-A2-CHWS-031" u="1"/>
        <s v="06-A2-CHWS-010" u="1"/>
        <s v="06-A2-CHWR-010" u="1"/>
        <s v="06-A2-CHWR-024" u="1"/>
        <s v="06-A2-CHWS-024" u="1"/>
        <s v="06-A2-CHWR-036" u="1"/>
        <s v="06-A2-CHWS-036" u="1"/>
        <s v="06-A2-CHWS-022" u="1"/>
        <s v="06-A2-CHWR-022" u="1"/>
        <s v="06-A2-CHWR-020" u="1"/>
        <s v="06-A2-CHWS-021" u="1"/>
        <s v="06-A2-CHWR-021" u="1"/>
        <s v="06-A1-CHWS-026" u="1"/>
        <s v="06-A1-CHWR-026" u="1"/>
        <s v="06-A1-CHWS-001" u="1"/>
        <s v="06-A1-CHWS-004" u="1"/>
        <s v="06-A1-CHWR-004" u="1"/>
        <s v="06-A1-CHWS-003" u="1"/>
        <s v="06-A1-CHWS-012" u="1"/>
        <s v="06-A1-CHWR-012" u="1"/>
        <s v="06-A1-CHWS-009" u="1"/>
        <s v="06-A1-CHWR-009" u="1"/>
        <s v="06-A2-CHWS-026" u="1"/>
        <s v="06-A2-CHWR-026" u="1"/>
        <s v="06-A2-CHWS-001" u="1"/>
        <s v="06-A2-CHWR-001" u="1"/>
        <s v="06-A2-CHWR-002" u="1"/>
        <s v="06-A2-CHWS-002" u="1"/>
        <s v="06-A2-CHWR-003" u="1"/>
        <s v="06-A2-CHWS-003" u="1"/>
        <s v="06-A2-CHWS-005" u="1"/>
        <s v="06-A2-CHWR-005" u="1"/>
        <s v="06-B1-CHWS-011" u="1"/>
        <s v="06-B1-CHWS-010" u="1"/>
        <s v="06-B1-CHWR-011" u="1"/>
        <s v="06-B1-CHWR-010" u="1"/>
        <s v="06-B1-CHWS-024" u="1"/>
        <s v="06-B1-CHWR-024" u="1"/>
        <s v="06-B1-CHWR-025" u="1"/>
        <s v="06-B1-CHWS-025" u="1"/>
        <s v="06-A2-CHWS-020" u="1"/>
        <s v="06-B1-CHWS-027" u="1"/>
        <s v="06-B1-CHWS-026" u="1"/>
        <s v="06-B1-CHWS-028" u="1"/>
        <s v="06-B1-CHWS-029" u="1"/>
        <s v="06-B1-CHWS-030" u="1"/>
        <s v="06-B1-CHWS-031" u="1"/>
        <s v="06-A1-CHWS-018" u="1"/>
        <s v="06-A1-CHWR-018" u="1"/>
        <s v="06-B1-CHWS-048" u="1"/>
        <s v="06-B1-CHWR-039" u="1"/>
        <s v="06-B1-CHWS-046" u="1"/>
        <s v="06-B1-CHWR-036" u="1"/>
        <s v="06-B1-CHWR-038" u="1"/>
        <s v="06-B1-CHWR-037" u="1"/>
        <s v="06-B1-CHWS-047" u="1"/>
        <s v="06-A1-CHWR-003" u="1"/>
        <s v="06-B1-CHWR-026" u="1"/>
        <s v="06-B1-CHWR-027" u="1"/>
        <s v="06-B1-CHWS-032" u="1"/>
        <s v="06-B1-CHWS-035" u="1"/>
        <s v="06-B1-CHWR-028" u="1"/>
        <s v="06-B1-CHWR-030" u="1"/>
        <s v="06-B1-CHWS-033" u="1"/>
        <s v="06-B1-CHWS-037" u="1"/>
        <s v="06-B1-CHWR-032" u="1"/>
        <s v="06-B1-CHWS-034" u="1"/>
        <s v="06-B1-CHWR-029" u="1"/>
        <s v="06-B1-CHWS-036" u="1"/>
        <s v="06-B1-CHWR-031" u="1"/>
        <s v="06-B1-CHWS-009" u="1"/>
        <s v="06-B1-CHWR-009" u="1"/>
        <s v="06-A2-CHWS-027" u="1"/>
        <s v="06-A2-CHWR-027" u="1"/>
        <s v="06-B1-CHWR-007" u="1"/>
        <s v="06-B1-CHWS-007" u="1"/>
        <s v="06-B1-CHWR-004" u="1"/>
        <s v="06-B1-CHWS-004" u="1"/>
        <s v="06-A2-CHWR-016" u="1"/>
        <s v="06-A2-CHWS-016" u="1"/>
        <s v="06-B1-CHWR-041" u="1"/>
        <s v="06-B1-CHWS-039" u="1"/>
        <s v="06-B1-CHWR-040" u="1"/>
        <s v="06-B1-CHWS-038" u="1"/>
        <s v="06-B1-CHWS-042" u="1"/>
        <s v="06-B1-CHWR-043" u="1"/>
        <s v="06-B1-CHWS-043" u="1"/>
        <s v="06-B1-CHWR-044" u="1"/>
        <s v="06-A1-CHWS-013" u="1"/>
        <s v="06-A1-CHWR-014" u="1"/>
        <s v="06-A1-CHWR-013" u="1"/>
        <s v="06-A1-CHWR-019" u="1"/>
        <s v="06-A1-CHWS-020" u="1"/>
        <s v="06-A1-CHWR-020" u="1"/>
        <s v="06-A1-CHWS-019" u="1"/>
        <s v="06-B1-CHWS-020" u="1"/>
        <s v="06-B1-CHWR-020" u="1"/>
        <s v="06-A1-CHWS-014" u="1"/>
        <s v="01A-CHWS-14" u="1"/>
        <s v="01A-CHWS-13" u="1"/>
        <s v="01A-CHWS-12" u="1"/>
        <s v="01A-CHWS-11" u="1"/>
        <s v="01A-CHWS-7" u="1"/>
        <s v="01A-CHWS-09" u="1"/>
        <s v="01A-CHWR-25" u="1"/>
        <s v="01A-CHWR-13" u="1"/>
        <s v="01A-CHWR-12" u="1"/>
        <s v="01A-CHWR-11" u="1"/>
        <s v="01A-CHWR-10" u="1"/>
        <s v="01A-CHWR-07" u="1"/>
        <s v="01A-CHWR-09" u="1"/>
        <s v="01A-CHWR-17" u="1"/>
        <s v="01A-CHWS-25" u="1"/>
        <s v="01A-CHWS-26" u="1"/>
        <s v="01A-CHWR-18" u="1"/>
        <s v="01A-CHWS-23" u="1"/>
        <s v="01A-CHWR-15" u="1"/>
        <s v="01B-CHWS-04" u="1"/>
        <s v="01B-CHWR-04" u="1"/>
        <s v="01A-CHWS-10" u="1"/>
        <s v="01A-CHWR-05" u="1"/>
        <s v="01A-CHWS-05" u="1"/>
        <s v="01A-CHWS-04" u="1"/>
        <s v="01A-CHWR-04" u="1"/>
        <s v="01A-CHWS-02" u="1"/>
        <s v="01A-CHWR-02" u="1"/>
        <s v="01A-CHWS-01" u="1"/>
        <s v="01A-CHWR-01" u="1"/>
        <s v="01A-CHWR-23" u="1"/>
        <s v="01A-CHWS-20" u="1"/>
        <s v="01A-CHWS-21" u="1"/>
        <s v="01B-CHWR-18" u="1"/>
        <s v="01B-CHWS-20" u="1"/>
        <s v="01A-CHWS-16" u="1"/>
        <s v="01A-CHWR-19" u="1"/>
        <s v="01B-CHWS-03" u="1"/>
        <s v="01B-CHWS-02" u="1"/>
        <s v="01B-CHWR-03" u="1"/>
        <s v="01B-CHWR-02" u="1"/>
        <s v="01B-CHWR-12" u="1"/>
        <s v="01B-CHWS-10" u="1"/>
        <s v="01B-CHWS-05" u="1"/>
        <s v="01B-CHWR-05" u="1"/>
        <s v="01B-CHWS-21" u="1"/>
        <s v="01B-CHWR-19" u="1"/>
        <s v="01B-CHWR-16" u="1"/>
        <s v="01B-CHWS-18" u="1"/>
        <s v="01B-CHWR-17" u="1"/>
        <s v="01B-CHWS-19" u="1"/>
        <s v="01A-CHWS-06" u="1"/>
        <s v="01A-CHWR-06" u="1"/>
        <s v="01A-CHWS-03" u="1"/>
        <s v="01A-CHWR-03" u="1"/>
        <s v="01B-CHWS-01" u="1"/>
        <s v="01B-CHWR-01" u="1"/>
        <s v="01B-CHWR-20" u="1"/>
        <s v="01B-CHWR-10" u="1"/>
        <s v="01B-CHWR-11" u="1"/>
        <s v="01B-CHWS-22" u="1"/>
        <s v="01B-CHWS-08" u="1"/>
        <s v="01B-CHWS-09" u="1"/>
        <s v="01A-CHWS-17" u="1"/>
        <s v="01A-CHWS-18" u="1"/>
        <s v="01A-CHWS-19" u="1"/>
        <s v="01A-CHWR-20" u="1"/>
        <s v="01A-CHWR-21" u="1"/>
        <s v="01A-CHWR-22" u="1"/>
        <s v="01B-CHWS-11" u="1"/>
        <s v="01B-CHWR-13" u="1"/>
        <s v="01A-CHWR-16" u="1"/>
        <s v="01A-CHWS-24" u="1"/>
        <s v="01A-CHWS-8" u="1"/>
        <s v="01A-CHWR-08" u="1"/>
        <s v="01B-CHWR-15" u="1"/>
        <s v="01A-CHWR-24" u="1"/>
        <s v="01B-CHWR-14" u="1"/>
        <s v="01A-CHWS-22" u="1"/>
        <s v="01B-CHWS-16" u="1"/>
        <s v="01B-CHWS-17" u="1"/>
        <s v="01B-CHWS-06" u="1"/>
        <s v="01B-CHWR-06" u="1"/>
        <s v="01B-CHWS-07" u="1"/>
        <s v="01B-CHWR-07" u="1"/>
        <s v="01B-CHWR-08" u="1"/>
        <s v="01B-CHWS-12" u="1"/>
        <s v="01E2-CHWS-37" u="1"/>
        <s v="01E2-CHWR-40" u="1"/>
        <s v="01E2-CHWS-38" u="1"/>
        <s v="01E2-CHWS-35" u="1"/>
        <s v="01E2-CHWR-37" u="1"/>
        <s v="01E2-CHWR-38" u="1"/>
        <s v="01E2-CHWS-36" u="1"/>
        <s v="01E2-CHWR-28" u="1"/>
        <s v="01E2-CHWS-27" u="1"/>
        <s v="01E2-CHWR-34" u="1"/>
        <s v="01E2-CHWS-32" u="1"/>
        <s v="01E2-CHWS-33" u="1"/>
        <s v="01E2-CHWR-35" u="1"/>
        <s v="01E2-CHWR-29" u="1"/>
        <s v="01E2-CHWS-28" u="1"/>
        <s v="01E2-CHWS-30" u="1"/>
        <s v="01E2-CHWR-31" u="1"/>
        <s v="01D2-CHWS-36" u="1"/>
        <s v="01E3-CHWR-25" u="1"/>
        <s v="01E3-CHWR-26" u="1"/>
        <s v="01E3-CHWS-24" u="1"/>
        <s v="01E3-CHWS-18" u="1"/>
        <s v="01E3-CHWR-18" u="1"/>
        <s v="01E3-CHWR-27" u="1"/>
        <s v="01D1-CHWR-34" u="1"/>
        <s v="01D1-CHWS-35" u="1"/>
        <s v="01D1-CHWS-32" u="1"/>
        <s v="01D1-CHWR-31" u="1"/>
        <s v="01D1-CHWR-29" u="1"/>
        <s v="01D1-CHWS-30" u="1"/>
        <s v="01D1-CHWR-22" u="1"/>
        <s v="01D1-CHWS-24" u="1"/>
        <s v="01D2-CHWR-34" u="1"/>
        <s v="01D2-CHWR-32" u="1"/>
        <s v="01D2-CHWS-31" u="1"/>
        <s v="01D2-CHWR-26" u="1"/>
        <s v="01D2-CHWR-23" u="1"/>
        <s v="01D2-CHWR-21" u="1"/>
        <s v="01D2-CHWR-19" u="1"/>
        <s v="01D2-CHWS-21" u="1"/>
        <s v="01D2-CHWS-19" u="1"/>
        <s v="01D2-CHWR-12" u="1"/>
        <s v="01D2-CHWS-16" u="1"/>
        <s v="01D1-CHWR-66" u="1"/>
        <s v="01D1-CHWS-50" u="1"/>
        <s v="01D1-CHWS-54" u="1"/>
        <s v="01D1-CHWR-68" u="1"/>
        <s v="01D1-CHWR-67" u="1"/>
        <s v="01D1-CHWS-49" u="1"/>
        <s v="01D1-CHWR-64" u="1"/>
        <s v="01D1-CHWR-41" u="1"/>
        <s v="01D1-CHWS-41" u="1"/>
        <s v="01D1-CHWS-38" u="1"/>
        <s v="01D2-CHWS-23" u="1"/>
        <s v="01D2-CHWS-25" u="1"/>
        <s v="01D1-CHWS-42" u="1"/>
        <s v="01D1-CHWR-39" u="1"/>
        <s v="01D1-CHWR-73" u="1"/>
        <s v="01E3-CHWR-17" u="1"/>
        <s v="01E3-CHWS-22" u="1"/>
        <s v="01E3-CHWR-24" u="1"/>
        <s v="01E3-CHWR-16" u="1"/>
        <s v="01E3-CHWS-16" u="1"/>
        <s v="01E3-CHWR-20" u="1"/>
        <s v="01E3-CHWS-20" u="1"/>
        <s v="01D2-CHWR-18" u="1"/>
        <s v="01D2-CHWS-18" u="1"/>
        <s v="01E3-CHWS-17" u="1"/>
        <s v="01D1-CHWS-58" u="1"/>
        <s v="01D1-CHWR-72" u="1"/>
        <s v="01D2-CHWS-22" u="1"/>
        <s v="01D2-CHWS-17" u="1"/>
        <s v="01D2-CHWR-31" u="1"/>
        <s v="01D2-CHWS-32" u="1"/>
        <s v="01E2-CHWR-36" u="1"/>
        <s v="01E2-CHWS-34" u="1"/>
        <s v="01E3-CHWS-19" u="1"/>
        <s v="01E3-CHWR-19" u="1"/>
        <s v="01D1-CHWR-19" u="1"/>
        <s v="01D1-CHWS-21" u="1"/>
        <s v="01D1-CHWR-21" u="1"/>
        <s v="01D1-CHWS-23" u="1"/>
        <s v="01D1-CHWR-28" u="1"/>
        <s v="01D1-CHWS-29" u="1"/>
        <s v="01D1-CHWR-33" u="1"/>
        <s v="01D1-CHWS-34" u="1"/>
        <s v="01D1-CHWS-40" u="1"/>
        <s v="01D1-CHWR-65" u="1"/>
        <s v="01D1-CHWS-53" u="1"/>
        <s v="01D2-CHWS-12" u="1"/>
        <s v="01D2-CHWR-20" u="1"/>
        <s v="01D2-CHWS-20" u="1"/>
        <s v="01D2-CHWR-29" u="1"/>
        <s v="01D2-CHWS-29" u="1"/>
        <s v="01D2-CHWR-25" u="1"/>
        <s v="01D2-CHWS-34" u="1"/>
        <s v="01D2-CHWR-36" u="1"/>
        <s v="01D1-CHWS-56" u="1"/>
        <s v="01D1-CHWR-71" u="1"/>
        <s v="01D1-CHWR-40" u="1"/>
        <s v="01E2-CHWR-41" u="1"/>
        <s v="01E2-CHWR-33" u="1"/>
        <s v="01E2-CHWS-31" u="1"/>
        <s v="01E2-CHWR-30" u="1"/>
        <s v="01D1-CHWS-52" u="1"/>
        <s v="01E3-CHWS-23" u="1"/>
        <s v="01E3-CHWS-25" u="1"/>
        <s v="01D2-CHWS-15" u="1"/>
        <s v="01D2-CHWR-15" u="1"/>
        <s v="01D2-CHWR-16" u="1"/>
        <s v="01D2-CHWS-14" u="1"/>
        <s v="01D2-CHWR-14" u="1"/>
        <s v="01D1-CHWS-48" u="1"/>
        <s v="01E2-CHWR-23" u="1"/>
        <s v="01E2-CHWS-23" u="1"/>
        <s v="01E2-CHWS-21" u="1"/>
        <s v="01E2-CHWR-21" u="1"/>
        <s v="01E2-CHWR-22" u="1"/>
        <s v="01D1-CHWS-31" u="1"/>
        <s v="01D1-CHWS-33" u="1"/>
        <s v="01D1-CHWR-30" u="1"/>
        <s v="01D1-CHWR-24" u="1"/>
        <s v="01D1-CHWS-28" u="1"/>
        <s v="01D1-CHWR-26" u="1"/>
        <s v="01D1-CHWS-26" u="1"/>
        <s v="01D1-CHWS-27" u="1"/>
        <s v="01D1-CHWR-27" u="1"/>
        <s v="01D1-CHWR-17" u="1"/>
        <s v="01D1-CHWR-18" u="1"/>
        <s v="01D1-CHWS-19" u="1"/>
        <s v="01D1-CHWS-20" u="1"/>
        <s v="01D2-CHWR-22" u="1"/>
        <s v="01D2-CHWS-13" u="1"/>
        <s v="01D2-CHWR-13" u="1"/>
        <s v="01D2-CHWR-11" u="1"/>
        <s v="01D2-CHWS-11" u="1"/>
        <s v="01E3-CHWR-15" u="1"/>
        <s v="01E3-CHWS-15" u="1"/>
        <s v="01D1-CHWS-55" u="1"/>
        <s v="01D1-CHWR-70" u="1"/>
        <s v="01D1-CHWR-69" u="1"/>
        <s v="01D2-CHWS-26" u="1"/>
        <s v="01E2-CHWS-24" u="1"/>
        <s v="01E2-CHWR-24" u="1"/>
        <s v="01E3-CHWR-22" u="1"/>
        <s v="01E2-CHWS-25" u="1"/>
        <s v="01E2-CHWR-25" u="1"/>
        <s v="01D2-CHWS-24" u="1"/>
        <s v="01D2-CHWR-24" u="1"/>
        <s v="01D2-CHWR-28" u="1"/>
        <s v="01E2-CHWS-26" u="1"/>
        <s v="01E2-CHWR-27" u="1"/>
        <s v="01E3-CHWR-21" u="1"/>
        <s v="01E3-CHWS-21" u="1"/>
        <s v="01D1-CHWS-22" u="1"/>
        <s v="01D1-CHWR-20" u="1"/>
        <s v="01D2-CHWR-30" u="1"/>
        <s v="01D2-CHWS-30" u="1"/>
        <s v="01D2-CHWS-28" u="1"/>
        <s v="01E2-CHWR-42" u="1"/>
        <s v="01D1-CHWS-45" u="1"/>
        <s v="01D1-CHWR-46" u="1"/>
        <s v="01D1-CHWS-46" u="1"/>
        <s v="01D1-CHWR-47" u="1"/>
        <s v="01D1-CHWS-51" u="1"/>
        <s v="01D1-CHWR-42" u="1"/>
        <s v="01D1-CHWR-35" u="1"/>
        <s v="01D1-CHWR-25" u="1"/>
        <s v="01D1-CHWR-23" u="1"/>
        <s v="01D2-CHWR-37" u="1"/>
        <s v="01E2-CHWS-29" u="1"/>
        <s v="01E2-CHWR-32" u="1"/>
        <s v="01D1-CHWR-36" u="1"/>
        <s v="01D1-CHWR-37" u="1"/>
        <s v="01D1-CHWS-37" u="1"/>
        <s v="01D1-CHWR-32" u="1"/>
        <s v="01D1-CHWS-36" u="1"/>
        <s v="01D1-CHWS-25" u="1"/>
        <s v="01D2-CHWS-37" u="1"/>
        <s v="01D2-CHWR-33" u="1"/>
        <s v="01D2-CHWS-33" u="1"/>
        <s v="01D1-CHWS-57" u="1"/>
        <s v="01D2-CHWS-35" u="1"/>
        <s v="01D2-CHWR-35" u="1"/>
        <s v="01D2-CHWS-27" u="1"/>
        <s v="01D2-CHWR-27" u="1"/>
        <s v="01D1-CHWR-38" u="1"/>
        <s v="01D1-CHWS-39" u="1"/>
        <s v="01D1-CHWR-63" u="1"/>
        <s v="01D2-CHWR-17" u="1"/>
        <s v="01E2-CHWS-22" u="1"/>
        <s v="01D2-CHWR-02" u="1"/>
        <s v="01D2-CHWR-01" u="1"/>
        <s v="01D2-CHWS-02" u="1"/>
        <s v="01D2-CHWS-01" u="1"/>
        <s v="01D1-CHWS-07" u="1"/>
        <s v="01D1-CHWR-06" u="1"/>
        <s v="01D2-CHWS-09" u="1"/>
        <s v="01D2-CHWR-09" u="1"/>
        <s v="01D2-CHWR-08" u="1"/>
        <s v="01D2-CHWS-08" u="1"/>
        <s v="01D1-CHWS-09" u="1"/>
        <s v="01D1-CHWS-08" u="1"/>
        <s v="01D1-CHWR-05" u="1"/>
        <s v="01D1-CHWS-06" u="1"/>
        <s v="01D2-CHWR-07" u="1"/>
        <s v="01D2-CHWS-07" u="1"/>
        <s v="01D1-CHWS-11" u="1"/>
        <s v="01D1-CHWR-10" u="1"/>
        <s v="01D2-CHWR-10" u="1"/>
        <s v="01D2-CHWS-10" u="1"/>
        <s v="01D2-CHWS-05" u="1"/>
        <s v="01D1-CHWR-07" u="1"/>
        <s v="01D2-CHWR-06" u="1"/>
        <s v="01D2-CHWS-04" u="1"/>
        <s v="01D1-CHWR-08" u="1"/>
        <s v="01D2-CHWR-05" u="1"/>
        <s v="01D2-CHWS-03" u="1"/>
        <s v="01D1-CHWS-14" u="1"/>
        <s v="01D1-CHWR-12" u="1"/>
        <s v="01D1-CHWR-13" u="1"/>
        <s v="01D1-CHWS-15" u="1"/>
        <s v="01D1-CHWR-11" u="1"/>
        <s v="01D1-CHWS-12" u="1"/>
        <s v="01D1-CHWS-13" u="1"/>
        <s v="01D1-CHWS-16" u="1"/>
        <s v="01D1-CHWR-14" u="1"/>
        <s v="01D1-CHWS-17" u="1"/>
        <s v="01D1-CHWR-15" u="1"/>
        <s v="01D1-CHWR-16" u="1"/>
        <s v="01D1-CHWS-18" u="1"/>
        <s v="01D1-CHWS-10" u="1"/>
        <s v="01D2-CHWR-03" u="1"/>
        <s v="01D2-CHWR-04" u="1"/>
        <s v="01D2-CHWS-06" u="1"/>
        <s v="01D1-CHWR-09" u="1"/>
        <s v="01D1-CHWR-04" u="1"/>
        <s v="01D1-CHWS-05" u="1"/>
        <s v="01D1-CHWS-04" u="1"/>
        <s v="01D1-CHWR-03" u="1"/>
        <s v="01D1-CHWR-02" u="1"/>
        <s v="01D1-CHWS-03" u="1"/>
        <s v="01A-DCW-01" u="1"/>
        <s v="01C-DCW-01" u="1"/>
        <s v="01A-DCW-08" u="1"/>
        <s v="01A-DCW-09" u="1"/>
        <s v="01A-DHW-26" u="1"/>
        <s v="01A-DCW-07" u="1"/>
        <s v="01A-DCW-06" u="1"/>
        <s v="01A-DCW-05" u="1"/>
        <s v="01A-DCW-19" u="1"/>
        <s v="01A-DCW-03" u="1"/>
        <s v="01A-DCW-02" u="1"/>
        <s v="01A-DCW-13" u="1"/>
        <s v="01A-DCW-14" u="1"/>
        <s v="01A-DCW-15" u="1"/>
        <s v="01A-DCW-16" u="1"/>
        <s v="01A-DCW-21" u="1"/>
        <s v="01A-DCW-10" u="1"/>
        <s v="01A-DCW-04" u="1"/>
        <s v="01A-DHW-02" u="1"/>
        <s v="01A-DHW-05" u="1"/>
        <s v="01A-DHW-06" u="1"/>
        <s v="01A-DHW-28" u="1"/>
        <s v="01A-DHW-27" u="1"/>
        <s v="01A-DHW-25" u="1"/>
        <s v="01A-DHW-10" u="1"/>
        <s v="01A-DHW-49" u="1"/>
        <s v="01A-DHW-50" u="1"/>
        <s v="01A-DHW-51" u="1"/>
        <s v="01A-DCW-12" u="1"/>
        <s v="01A-DCW-37" u="1"/>
        <s v="01A-DCW-22" u="1"/>
        <s v="01A-DHW-29" u="1"/>
        <s v="01A-DHW-30" u="1"/>
        <s v="01A-DHW-31" u="1"/>
        <s v="01A-DHW-07" u="1"/>
        <s v="01A-DCW-46" u="1"/>
        <s v="01A-DCW-47" u="1"/>
        <s v="01A-DCW-48" u="1"/>
        <s v="01A-DCW-25" u="1"/>
        <s v="01A-DCW-56" u="1"/>
        <s v="01A-DCW-27" u="1"/>
        <s v="01A-DCW-33" u="1"/>
        <s v="01A-DCW-34" u="1"/>
        <s v="01A-DCW-32" u="1"/>
        <s v="01A-DCW-35" u="1"/>
        <s v="01A-DCW-36" u="1"/>
        <s v="01A-DCW-31" u="1"/>
        <s v="01A-DCW-28" u="1"/>
        <s v="01A-DCW-51" u="1"/>
        <s v="01A-DCW-52" u="1"/>
        <s v="01A-DCW-55" u="1"/>
        <s v="01A-DCW-54" u="1"/>
        <s v="01A-DCW-53" u="1"/>
        <s v="01A-DCW-24" u="1"/>
        <s v="01A-DCW-61" u="1"/>
        <s v="01A-DCW-60" u="1"/>
        <s v="01A-DCW-23" u="1"/>
        <s v="01A-DCW-38" u="1"/>
        <s v="01A-DCW-40" u="1"/>
        <s v="01A-DCW-57" u="1"/>
        <s v="01A-DCW-42" u="1"/>
        <s v="01A-DCW-41" u="1"/>
        <s v="01A-DHW-48" u="1"/>
        <s v="01A-DHW-15" u="1"/>
        <s v="01A-DHW-16" u="1"/>
        <s v="01A-DHWR-03" u="1"/>
        <s v="01A-DHW-09" u="1"/>
        <s v="01A-DHW-33" u="1"/>
        <s v="01A-DHW-34" u="1"/>
        <s v="01A-DHW-35" u="1"/>
        <s v="01A-DHW-36" u="1"/>
        <s v="01A-DHW-38" u="1"/>
        <s v="01A-DHW-39" u="1"/>
        <s v="01A-DHW-11" u="1"/>
        <s v="01A-DHW-37" u="1"/>
        <s v="01A-DHW-40" u="1"/>
        <s v="01A-DHW-41" u="1"/>
        <s v="01A-DHW-12" u="1"/>
        <s v="01A-DHW-42" u="1"/>
        <s v="01A-DHW-14" u="1"/>
        <s v="01A-DHW-13" u="1"/>
        <s v="01A-DHW-43" u="1"/>
        <s v="01A-DHW-46" u="1"/>
        <s v="01A-DHW-47" u="1"/>
        <s v="01A-DHW-45" u="1"/>
        <s v="01A-DCW-50" u="1"/>
        <s v="01A-DCW-59" u="1"/>
        <s v="01A-DCW-39" u="1"/>
        <s v="01A-DHW-08" u="1"/>
        <s v="01A-DCW-63" u="1"/>
        <s v="01A-DHW-18" u="1"/>
        <s v="01A-DHW-19" u="1"/>
        <s v="01A-DCW-29" u="1"/>
        <s v="01A-DCW-62" u="1"/>
        <s v="01A-DHW-01" u="1"/>
        <s v="01A-DHW-32" u="1"/>
        <s v="01A-DHW-24" u="1"/>
        <s v="01A-DHW-23" u="1"/>
        <s v="01A-DHW-20" u="1"/>
        <s v="01A-DHW-21" u="1"/>
        <s v="01A-DHW-22" u="1"/>
        <s v="01A-DCW-20" u="1"/>
        <s v="01A-DHW-17" u="1"/>
        <s v="01A-DHW-03" u="1"/>
        <s v="01A-DHW-04" u="1"/>
        <s v="01A-DHWR-02" u="1"/>
        <s v="01A-DHWR-01" u="1"/>
        <s v="01A-DCW-45" u="1"/>
        <s v="01A-DCW-44" u="1"/>
        <s v="01A-DCW-43" u="1"/>
        <s v="01A-DHW-44" u="1"/>
        <s v="01A-DCW-49" u="1"/>
        <s v="01A-Vent-52" u="1"/>
        <s v="01A-Vent-45" u="1"/>
        <s v="01A-Vent-41" u="1"/>
        <s v="01A-Vent-50" u="1"/>
        <s v="01A-Vent-09" u="1"/>
        <s v="01A-Vent-08" u="1"/>
        <s v="01A-Vent-28" u="1"/>
        <s v="01A-Vent-27" u="1"/>
        <s v="01A-Vent-26" u="1"/>
        <s v="01A-Vent-23" u="1"/>
        <s v="01A-Vent-07" u="1"/>
        <s v="01A-Vent-16" u="1"/>
        <s v="01A-Vent-32" u="1"/>
        <s v="01A-Vent-40" u="1"/>
        <s v="01A-Vent-31" u="1"/>
        <s v="01A-Vent-34" u="1"/>
        <s v="01A-Vent-24" u="1"/>
        <s v="01A-Vent-39" u="1"/>
        <s v="01A-Vent-38" u="1"/>
        <s v="01A-Vent-19" u="1"/>
        <s v="01A-Vent-18" u="1"/>
        <s v="01A-Vent-17" u="1"/>
        <s v="01B-Vent-15" u="1"/>
        <s v="01B-Vent-18" u="1"/>
        <s v="01B-Vent-20" u="1"/>
        <s v="01B-Vent-11" u="1"/>
        <s v="01B-Vent-29" u="1"/>
        <s v="01B-Vent-25" u="1"/>
        <s v="01B-Vent-22" u="1"/>
        <s v="01B-Vent-09" u="1"/>
        <s v="01B-Vent-05" u="1"/>
        <s v="01B-Vent-10" u="1"/>
        <s v="01B-Vent-04" u="1"/>
        <s v="01B-Vent-01" u="1"/>
        <s v="01B-Vent-02" u="1"/>
        <s v="01B-Vent-03" u="1"/>
        <s v="01A-Vent-11" u="1"/>
        <s v="01A-Vent-10" u="1"/>
        <s v="01A-Vent-12" u="1"/>
        <s v="01A-Vent-21" u="1"/>
        <s v="01A-Vent-51" u="1"/>
        <s v="01A-Vent-01" u="1"/>
        <s v="01A-Vent-03" u="1"/>
        <s v="01A-Vent-42" u="1"/>
        <s v="01A-Vent-43" u="1"/>
        <s v="01A-Vent-46" u="1"/>
        <s v="01A-Vent-44" u="1"/>
        <s v="01A-Vent-47" u="1"/>
        <s v="01A-Vent-48" u="1"/>
        <s v="01A-Vent-49" u="1"/>
        <s v="01A-Vent-22" u="1"/>
        <s v="01A-Vent-20" u="1"/>
        <s v="01A-Vent-14" u="1"/>
        <s v="01A-Vent-15" u="1"/>
        <s v="01A-Vent-05" u="1"/>
        <s v="01A-Vent-06" u="1"/>
        <s v="01A-Vent-02" u="1"/>
        <s v="01B-Vent-28" u="1"/>
        <s v="01B-Vent-27" u="1"/>
        <s v="01B-Vent-24" u="1"/>
        <s v="01B-Vent-21" u="1"/>
        <s v="01B-Vent-14" u="1"/>
        <s v="01B-Vent-13" u="1"/>
        <s v="01B-Vent-23" u="1"/>
        <s v="01B-Vent-16" u="1"/>
        <s v="01B-Vent-12" u="1"/>
        <s v="01B-Vent-17" u="1"/>
        <s v="01B-Vent-26" u="1"/>
        <s v="01B-Vent-19" u="1"/>
        <s v="01A-Vent-37" u="1"/>
        <s v="01A-Vent-33" u="1"/>
        <s v="01A-Vent-30" u="1"/>
        <s v="01A-Vent-04" u="1"/>
        <s v="01A-Vent-13" u="1"/>
        <s v="01A-Vent-35" u="1"/>
        <s v="01A-Vent-36" u="1"/>
        <s v="01A-Vent-29" u="1"/>
        <s v="01A-Vent-25" u="1"/>
        <s v="01B-Vent-08" u="1"/>
        <s v="01B-Vent-07" u="1"/>
        <s v="01B-Vent-06" u="1"/>
        <s v="01-CHWR-02" u="1"/>
        <s v="01-CHWR-10" u="1"/>
        <s v="01-CHWS-02" u="1"/>
        <s v="01-CHWS-01" u="1"/>
        <s v="01-CHWS-10" u="1"/>
        <s v="01-CHWR-09" u="1"/>
        <s v="01-CHWR-08" u="1"/>
        <s v="01-CHWS-09" u="1"/>
        <s v="01-CHWR-07" u="1"/>
        <s v="01-CHWS-07" u="1"/>
        <s v="01-CHWR-11" u="1"/>
        <s v="01-CHWS-11" u="1"/>
        <s v="01-CHWS-05" u="1"/>
        <s v="01-CHWR-06" u="1"/>
        <s v="01-CHWS-04" u="1"/>
        <s v="01-CHWR-05" u="1"/>
        <s v="01-CHWS-03" u="1"/>
        <s v="01-CHWR-03" u="1"/>
        <s v="01-CHWR-04" u="1"/>
        <s v="01-CHWS-06" u="1"/>
        <s v="01-RR-02" u="1"/>
        <s v="01-RR-01" u="1"/>
        <s v="01-RR-03" u="1"/>
        <s v="01-RR-06" u="1"/>
        <s v="01-RR-07" u="1"/>
        <s v="01-RR-05" u="1"/>
        <s v="01-RR-08" u="1"/>
        <s v="01-RR-04" u="1"/>
        <s v="01-HHWR-26" u="1"/>
        <s v="01-HHWR-21" u="1"/>
        <s v="01-HHWR-20" u="1"/>
        <s v="01-HHWR-10" u="1"/>
        <s v="01-HHWR-14" u="1"/>
        <s v="01-HHWR-12" u="1"/>
        <s v="01-HHWR-01" u="1"/>
        <s v="01-HHWR-02" u="1"/>
        <s v="01-HHWR-07" u="1"/>
        <s v="01-HHWR-04" u="1"/>
        <s v="01-HHWR-06" u="1"/>
        <s v="01-HHWR-05" u="1"/>
        <s v="01-HHWR-09" u="1"/>
        <s v="01-HHWS-05" u="1"/>
        <s v="01-HHWS-04" u="1"/>
        <s v="01-HHWR-11" u="1"/>
        <s v="01-HHWS-02" u="1"/>
        <s v="01-HHWR-24" u="1"/>
        <s v="01-HHWR-19" u="1"/>
        <s v="01-HHWR-18" u="1"/>
        <s v="01-HHWR-17" u="1"/>
        <s v="01-HHWR-25" u="1"/>
        <s v="01-HHWS-03" u="1"/>
        <s v="01-HHWR-27" u="1"/>
        <s v="01-HHWR-15" u="1"/>
        <s v="01-HHWR-13" u="1"/>
        <s v="01-HHWR-16" u="1"/>
        <s v="01-HHWR-22" u="1"/>
        <s v="01-HHWS-09" u="1"/>
        <s v="01-HHWS-10" u="1"/>
        <s v="01-HHWR-29" u="1"/>
        <s v="01-HHWR-32" u="1"/>
        <s v="01-HHWR-33" u="1"/>
        <s v="01-HHWS-15" u="1"/>
        <s v="01-HHWS-11" u="1"/>
        <s v="01-HHWR-28" u="1"/>
        <s v="01-HHWR-30" u="1"/>
        <s v="01-HHWR-31" u="1"/>
        <s v="01-HHWS-07" u="1"/>
        <s v="01-HHWS-13" u="1"/>
        <s v="01-HHWS-14" u="1"/>
        <s v="01-HHWS-08" u="1"/>
        <s v="01-HHWS-12" u="1"/>
        <s v="01-HHWR-08" u="1"/>
        <s v="01-HHWR-03" u="1"/>
        <s v="01-HHWR-23" u="1"/>
        <s v="01-HHWR-35" u="1"/>
        <s v="01-HHWR-34" u="1"/>
        <s v="01-HHWS-06" u="1"/>
        <s v="01-HHWS-01" u="1"/>
        <s v="01-CDWS-11" u="1"/>
        <s v="01-CDWS-01" u="1"/>
        <s v="01-CDWS-10" u="1"/>
        <s v="01-CDWS-04" u="1"/>
        <s v="01-CDWS-05" u="1"/>
        <s v="01-CDWS-08" u="1"/>
        <s v="01-CDWS-07" u="1"/>
        <s v="01-CDWS-06" u="1"/>
        <s v="01-CDWS-09" u="1"/>
        <s v="01-CDWS-02" u="1"/>
        <s v="01-CDWS-03" u="1"/>
        <s v="01-CHWR-01" u="1"/>
      </sharedItems>
    </cacheField>
    <cacheField name="Entity Status" numFmtId="0">
      <sharedItems count="1">
        <s v="Spooled"/>
      </sharedItems>
    </cacheField>
    <cacheField name="Shop Order Number" numFmtId="0">
      <sharedItems count="10">
        <s v="12981"/>
        <s v="Shop Order Number" u="1"/>
        <s v="12941" u="1"/>
        <s v="SO 12595" u="1"/>
        <s v="" u="1"/>
        <s v="12059" u="1"/>
        <s v="11875" u="1"/>
        <s v="11806" u="1"/>
        <s v="11794" u="1"/>
        <s v="11734-RR" u="1"/>
      </sharedItems>
    </cacheField>
    <cacheField name="Item Number" numFmtId="0">
      <sharedItems count="91">
        <s v="1"/>
        <s v="2"/>
        <s v="3"/>
        <s v="4"/>
        <s v="5"/>
        <s v=""/>
        <s v="6"/>
        <s v="Item Number" u="1"/>
        <s v="01" u="1"/>
        <s v="02" u="1"/>
        <s v="03" u="1"/>
        <s v="04" u="1"/>
        <s v="05" u="1"/>
        <s v="06" u="1"/>
        <s v="07" u="1"/>
        <s v="08" u="1"/>
        <s v="09" u="1"/>
        <s v="10" u="1"/>
        <s v="97" u="1"/>
        <s v="171" u="1"/>
        <s v="172" u="1"/>
        <s v="98" u="1"/>
        <s v="228" u="1"/>
        <s v="61" u="1"/>
        <s v="103" u="1"/>
        <s v="62" u="1"/>
        <s v="104" u="1"/>
        <s v="92" u="1"/>
        <s v="170" u="1"/>
        <s v="93" u="1"/>
        <s v="229" u="1"/>
        <s v="99" u="1"/>
        <s v="230" u="1"/>
        <s v="100" u="1"/>
        <s v="173" u="1"/>
        <s v="105" u="1"/>
        <s v="63" u="1"/>
        <s v="94" u="1"/>
        <s v="12" u="1"/>
        <s v="SW-01" u="1"/>
        <s v="SW-02" u="1"/>
        <s v="SW-03" u="1"/>
        <s v="SW-04" u="1"/>
        <s v="11" u="1"/>
        <s v="SW-05" u="1"/>
        <s v="SW-06" u="1"/>
        <s v="SW-07" u="1"/>
        <s v="SW-08" u="1"/>
        <s v="SW-09" u="1"/>
        <s v="SW-10" u="1"/>
        <s v="SW-11" u="1"/>
        <s v="SW-12" u="1"/>
        <s v="SW-13" u="1"/>
        <s v="SW-14" u="1"/>
        <s v="SW-15" u="1"/>
        <s v="SW-16" u="1"/>
        <s v="SW-17" u="1"/>
        <s v="SW-18" u="1"/>
        <s v="SW-19" u="1"/>
        <s v="SW-20" u="1"/>
        <s v="SW-21" u="1"/>
        <s v="SW-22" u="1"/>
        <s v="SW-23" u="1"/>
        <s v="SW-24" u="1"/>
        <s v="SW-25" u="1"/>
        <s v="SW-26" u="1"/>
        <s v="SW-27" u="1"/>
        <s v="SW-28" u="1"/>
        <s v="SW-1" u="1"/>
        <s v="SW-2" u="1"/>
        <s v="SW-3" u="1"/>
        <s v="SW-4" u="1"/>
        <s v="SW-5" u="1"/>
        <s v="SW-6" u="1"/>
        <s v="SW-7" u="1"/>
        <s v="SW-8" u="1"/>
        <s v="SW-9" u="1"/>
        <s v="13" u="1"/>
        <s v="14" u="1"/>
        <s v="15" u="1"/>
        <s v="SW-29" u="1"/>
        <s v="16" u="1"/>
        <s v="17" u="1"/>
        <s v="SW-30" u="1"/>
        <s v="18" u="1"/>
        <s v="SW-31" u="1"/>
        <s v="19" u="1"/>
        <s v="P4" u="1"/>
        <s v="F11" u="1"/>
        <s v="F12" u="1"/>
        <s v="F13" u="1"/>
      </sharedItems>
    </cacheField>
    <cacheField name="Mark" numFmtId="0">
      <sharedItems count="1">
        <s v=""/>
      </sharedItems>
    </cacheField>
    <cacheField name="Weight" numFmtId="0">
      <sharedItems/>
    </cacheField>
    <cacheField name="Level" numFmtId="0">
      <sharedItems count="1">
        <s v="PLAZA LEVEL"/>
      </sharedItems>
    </cacheField>
    <cacheField name="Category" numFmtId="0">
      <sharedItems count="1">
        <s v="MEP Fabrication Pipework"/>
      </sharedItems>
    </cacheField>
    <cacheField name="Sub Type" numFmtId="0">
      <sharedItems count="1">
        <s v=""/>
      </sharedItems>
    </cacheField>
    <cacheField name="Bernhard LB ID" numFmtId="0">
      <sharedItems count="25">
        <s v="MDSK_MUE_000101-0002"/>
        <s v="MDSK_NIB_000051-0002"/>
        <s v="MDSK_NIB_000066-0006"/>
        <s v="MDSK_NIB_000054-0002"/>
        <s v="MDSK_NIB_000051-0001"/>
        <s v="MDSK_NIB_000049-0002"/>
        <s v="MDSK_GEN_000402-0006"/>
        <s v="MDSK_NIB_000076-0042"/>
        <s v="MDSK_NIB_000063-0005"/>
        <s v="MDSK_NIB_000321-0001"/>
        <s v="MDSK_JOINT_000041-0005"/>
        <s v="MDSK_NIB_000320-0002"/>
        <s v="MDSK_GEN_000402-0003"/>
        <s v="MDSK_JOINT_000036-0005"/>
        <s v="MDSK_MUE_000101-0001"/>
        <s v="MDSK_JOINT_000036-0008"/>
        <s v="MDSK_NIB_000060-0012"/>
        <s v="MDSK_JOINT_000036-0007"/>
        <s v="MDSK_NIB_000054-0001"/>
        <s v="MDSK_NIB_000320-0001"/>
        <s v="MDSK_GEN_000402-0005"/>
        <s v="MDSK_NIB_000058-0018"/>
        <s v="MDSK_NIB_000055-0005"/>
        <s v="MDSK_NIB_000081-0006"/>
        <s v="MDSK_NIB_000060-0008"/>
      </sharedItems>
    </cacheField>
    <cacheField name="JD Edwards ID" numFmtId="0">
      <sharedItems count="1">
        <s v=""/>
      </sharedItems>
    </cacheField>
    <cacheField name="Hanger Diameter" numFmtId="0">
      <sharedItems count="1">
        <s v=""/>
      </sharedItems>
    </cacheField>
    <cacheField name="Rod Diameter" numFmtId="0">
      <sharedItems count="1">
        <s v=""/>
      </sharedItems>
    </cacheField>
    <cacheField name="Rod Diameter (dec)" numFmtId="0">
      <sharedItems containsString="0" containsBlank="1" count="1">
        <m/>
      </sharedItems>
    </cacheField>
    <cacheField name="Rod Inset Depth" numFmtId="0">
      <sharedItems count="1">
        <s v=""/>
      </sharedItems>
    </cacheField>
    <cacheField name="Rod Length" numFmtId="0">
      <sharedItems count="1">
        <s v=""/>
      </sharedItems>
    </cacheField>
    <cacheField name="Rod Length (dec)" numFmtId="0">
      <sharedItems containsString="0" containsBlank="1" count="1">
        <m/>
      </sharedItems>
    </cacheField>
    <cacheField name="Conn Type #1" numFmtId="0">
      <sharedItems count="428">
        <s v="Mueller Copper Plain End (Pipe)"/>
        <s v="Nibco Copper (DWV) Cup"/>
        <s v="Nibco Copper Cup"/>
        <s v="Generic Copper Plain End (Pipe)"/>
        <s v="Nibco Copper FPT (Hex)"/>
        <s v="Nibco PVC (DWV) MPT"/>
        <s v="Generic Threaded Joint (C1) (Male)"/>
        <s v="Nibco Copper Plain End"/>
        <s v="Nibco Copper (Cast) Blank (Plug Square End)"/>
        <s v="Generic Soldered Joint (C1) (Male)"/>
        <s v="Generic Soldered Joint (C2) (Female)"/>
        <s v="Nibco Copper Cup (Coupling)"/>
        <s v="Nibco Copper Cup (Cap)"/>
        <s v="Conn Type #1" u="1"/>
        <s v="Apollo Copper Press (Small Diameter)" u="1"/>
        <s v="Generic ProPress Joint (C2) (Female)" u="1"/>
        <s v="Generic ProPress Joint (C1) (Male)" u="1"/>
        <s v="Charlotte PVC Plain End (Pipe)" u="1"/>
        <s v="Charlotte PVC (Schedule 40) Socket" u="1"/>
        <s v="Generic PVC (Schedule 40) Solvent Joint (C1) (Male)" u="1"/>
        <s v="Generic PVC (Schedule 40) Solvent Joint (C2) (Female)" u="1"/>
        <s v="Apollo Copper MPT" u="1"/>
        <s v="Nibco FPT (B1.20.1 &amp; B16.15) (Hex)" u="1"/>
        <s v="Generic Bevel (Pipe)" u="1"/>
        <s v="Weldbend Buttweld" u="1"/>
        <s v="Generic Buttweld Joint (Female)" u="1"/>
        <s v="Generic Bevel (Nipple)" u="1"/>
        <s v="Watts FPT (Dielectric)" u="1"/>
        <s v="Generic Brazed Joint (C1) (Male)" u="1"/>
        <s v="Anvil Forged Steel (#3000) FPT" u="1"/>
        <s v="Generic MPT (Nipple)" u="1"/>
        <s v="" u="1"/>
        <s v="Hex End Female Pipe Thread" u="1"/>
        <s v="Cello Copper Cup" u="1"/>
        <s v="Female Pipe Thread" u="1"/>
        <s v="Bell and Gossett Cup" u="1"/>
        <s v="Anvil Forged Steel Buttweld" u="1"/>
        <s v="Nibco Flange #150 (C1) (Male) (LPBFV)" u="1"/>
        <s v="Generic Cap Screw Set #150 (C1) (Female) (LPBFV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Copper Ftg" u="1"/>
        <s v="CU-BRZ Press Cup - Viega" u="1"/>
        <s v="Press Joint - Cup" u="1"/>
        <s v="WJ-Press Fit - Nibco" u="1"/>
        <s v="Male Pipe Threads" u="1"/>
        <s v="FPT Joint" u="1"/>
        <s v="Hex End Female Pipe Threads" u="1"/>
        <s v="Bevel End 37.5" u="1"/>
        <s v="Grooved End" u="1"/>
        <s v="Female Pipe Threads" u="1"/>
        <s v="Shop Weld" u="1"/>
        <s v="QuickVic Style 107V Coupling" u="1"/>
        <s v="None" u="1"/>
        <s v="150# Lug Pattern" u="1"/>
        <s v="150# Gasket" u="1"/>
        <s v="XL-C Press Cup - Viega" u="1"/>
        <s v="3000 Proflex CI Flexible Cplg" u="1"/>
        <s v="NoHub" u="1"/>
        <s v="No Hub Cplg - Charlotte" u="1"/>
        <s v="ASTM_D3311 DWV-Cup" u="1"/>
        <s v="Generic Carbon Steel MPT (Pipe)" u="1"/>
        <s v="Anvil Malleable Iron (#150) FPT" u="1"/>
        <s v="PPP MPT (Nipple)" u="1"/>
        <s v="Charlotte Cast Iron No Hub (Pipe)" u="1"/>
        <s v="Charlotte Cast Iron No Hub" u="1"/>
        <s v="Anaco-Husky Cast Iron Hub (HD 2000)" u="1"/>
        <s v="Charlotte Cast Iron FPT (Tapped Tee)" u="1"/>
        <s v="Fernco Cast Iron Hub (1065 Coupling)" u="1"/>
        <s v="Weldbend Blind Flange #150 (RF) (Male)" u="1"/>
        <s v="Weldbend (SER A) Blind Flange #150 (RF) (Male)" u="1"/>
        <s v="Weldbend (SER-B) Blind Flange #150 (RF) (Male)" u="1"/>
        <s v="Weldbend Flange #150 (Lapped)" u="1"/>
        <s v="Weldbend (#150) Slip" u="1"/>
        <s v="Weldbend (#150) Socket Weld" u="1"/>
        <s v="Weldbend (#150) FPT (FF)" u="1"/>
        <s v="Weldbend (#150) FPT (RF)" u="1"/>
        <s v="Weldbend Blind Flange #300 (RF) (Male)" u="1"/>
        <s v="Weldbend (SER A) Blind Flange #300 (RF) (Male)" u="1"/>
        <s v="Weldbend (SER-B) Blind Flange #300 (RF) (Male)" u="1"/>
        <s v="Weldbend Flange #300 (Lapped)" u="1"/>
        <s v="Weldbend (#300) Slip" u="1"/>
        <s v="Weldbend (#300) Socket Weld" u="1"/>
        <s v="Weldbend FPT" u="1"/>
        <s v="Weiss Brass MPT (Gauge)" u="1"/>
        <s v="Weiss Brass FPT (Snubber)" u="1"/>
        <s v="Weiss Brass FPT" u="1"/>
        <s v="Weiss Brass MPT" u="1"/>
        <s v="Generic MegaPress Joint (C1) (Female)" u="1"/>
        <s v="Viega Carbon Steel (MegaPress) Press" u="1"/>
        <s v="Viega Carbon Steel (MegaPress - MegaPress XL) Press (Ball Valve)" u="1"/>
        <s v="Viega Carbon Steel (MegaPress) Plain End" u="1"/>
        <s v="Viega (MegaPress) Flange #150 (RF) (Male)" u="1"/>
        <s v="Viega Carbon Steel (MegaPress) Press (Union)" u="1"/>
        <s v="Viega Carbon Steel (MegaPress XL) Press" u="1"/>
        <s v="Viega (MegaPress XL) Flange #150 (RF) (Male)" u="1"/>
        <s v="Viega Copper (ProPress) FPT" u="1"/>
        <s v="Viega Copper (ProPress) FPT (Ear Elbow)" u="1"/>
        <s v="Viega Copper MPT (ASME B1.20.1)" u="1"/>
        <s v="Viega Copper (ProPress XL) Press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Copper Groove (641 Flanged Coupling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" u="1"/>
        <s v="Victaulic Flange #150 (FF) (Male)" u="1"/>
        <s v="Victaulic (IPS) Groove (07 Coupling)" u="1"/>
        <s v="Victaulic (IPS) Groove (171 Coupling)" u="1"/>
        <s v="Victaulic (IPS) Groove (177N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300 (FF) (Male)" u="1"/>
        <s v="Victaulic Stainless Steel (AGS) Groove (W89 Coupling)" u="1"/>
        <s v="Victaulic Stainless Steel Flange #150 (FF) (Male) (441 Flanged Adapter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Flange #150 (FF) (Male) (841 Flanged Adapter)" u="1"/>
        <s v="Victaulic Stainless Steel Flange #150 (RF) (Male) (841 Flanged Adapter)" u="1"/>
        <s v="Victaulic Stainless Steel (OGS) Groove (877N Coupling)" u="1"/>
        <s v="Victaulic Stainless Steel (OGS) Groove (89 Coupling)" u="1"/>
        <s v="Victaulic Stainless Steel Flange #150 (RF) (Male) (W445R Flanged Adapter)" u="1"/>
        <s v="Victaulic Stainless Steel Flange #150 (FF) (Male) (445F Flanged Adapter Nipple)" u="1"/>
        <s v="Victaulic Stainless Steel Flange #150 (RF) (Male) (445R Flanged Adapter Nipple)" u="1"/>
        <s v="US Pipe Ductile Iron Mechanical Joint (Pipe)" u="1"/>
        <s v="Uponor PEX (ProPEX) Push On Ring (C1) (Female)" u="1"/>
        <s v="Uponor Brass (ProPEX) Barb (Male)" u="1"/>
        <s v="Generic Blank" u="1"/>
        <s v="Uponor Brass (ProPEX) FPT (Drop Ear Adapter)" u="1"/>
        <s v="Uponor Brass (ProPEX) FPT (Threaded Adapter)" u="1"/>
        <s v="Uponor PEX (ProPEX) Barb (Male)" u="1"/>
        <s v="Uponor PEX (ProPEX) Plain End (Female)" u="1"/>
        <s v="Uponor PEX (ProPEX) Plain End (Variable Bend)" u="1"/>
        <s v="Uponor Brass (ProPEX) MPT (Compression)" u="1"/>
        <s v="Unaflex MPT" u="1"/>
        <s v="Unaflex Flange #150 (C1) (FF) (Male)" u="1"/>
        <s v="Tyler Mechanical Joint Gland (C1)" u="1"/>
        <s v="Tyler Cast Iron Spigot" u="1"/>
        <s v="Tyler Cast Iron Hub (ASTM 74)" u="1"/>
        <s v="Tyler Cast Iron FPT (Coupling)" u="1"/>
        <s v="Tyler Cast Iron FPT" u="1"/>
        <s v="Tyler (250 PSI) Mechanical Joint" u="1"/>
        <s v="Tyler Plain End" u="1"/>
        <s v="Tyler (350 PSI) Mechanical Joint" u="1"/>
        <s v="Tyler (350 PSI) Flange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Cast Iron Plain End (DPE)" u="1"/>
        <s v="Spirax Sarco FPT" u="1"/>
        <s v="Spirax Sarco Flange #250 (C1) (C2) (FF) (Male)" u="1"/>
        <s v="Spirax Sarco Flange #125 (C1) (C2) (FF) (Male)" u="1"/>
        <s v="Spears CPVC (Schedule 80) Socket" u="1"/>
        <s v="Spears Blank" u="1"/>
        <s v="Spears CPVC (Schedule 80) FPT" u="1"/>
        <s v="Spears CPVC (Schedule 80) FPT (Flange One Piece)" u="1"/>
        <s v="Spears CPVC (Schedule 80) Socket (Flange One Piece)" u="1"/>
        <s v="Spears CPVC (Schedule 80) FPT (Van Stone)" u="1"/>
        <s v="Spears CPVC (Schedule 80) Socket (Van Stone)" u="1"/>
        <s v="Spears CPVC Plain End" u="1"/>
        <s v="Spears CPVC (Schedule 80) MPT" u="1"/>
        <s v="Spears CPVC (Schedule 80) Socket (Union)" u="1"/>
        <s v="Spears PVC (Schedule 80) Socket" u="1"/>
        <s v="Spears PVC (Schedule 80) FPT" u="1"/>
        <s v="Spears PVC (Schedule 80) Socket (Female Adapter)" u="1"/>
        <s v="Spears PVC (Schedule 80) FPT (Flange One Piece)" u="1"/>
        <s v="Spears PVC (Schedule 80) Socket (Flange One Piece)" u="1"/>
        <s v="Spears PVC (Schedule 80) FPT (Van Stone)" u="1"/>
        <s v="Spears PVC (Schedule 80) Socket (Van Stone)" u="1"/>
        <s v="Spears PVC Plain End" u="1"/>
        <s v="Spears PVC (Schedule 80) MPT" u="1"/>
        <s v="Spears PVC (Schedule 80) Socket (Union)" u="1"/>
        <s v="Spears CPVC Plain End (Pipe)" u="1"/>
        <s v="Spears PVC Plain End (Pipe)" u="1"/>
        <s v="Smith Cooper Stainless Steel Buttweld" u="1"/>
        <s v="Smith Cooper Stainless Steel Blind Flange #150 (C1) (RF) (Male)" u="1"/>
        <s v="Smith Cooper Stainless Steel Flange #150 (Lap Joint)" u="1"/>
        <s v="Smith Cooper Stainless Steel (#150) Slip" u="1"/>
        <s v="Smith Cooper Stainless Steel (#150) FPT" u="1"/>
        <s v="Smith Cooper Stainless Steel (#150) Socket Weld" u="1"/>
        <s v="Smith Cooper Stainless Steel Socket Weld (Sockolet)" u="1"/>
        <s v="Smith Cooper Stainless Steel FPT (Threadolet)" u="1"/>
        <s v="PPP Copper MPT" u="1"/>
        <s v="PPP Copper Plain End" u="1"/>
        <s v="PPP Groove" u="1"/>
        <s v="Powell Flange #150 (C1) (C2) (RF) (Male)" u="1"/>
        <s v="Powell Flange #300 (C1) (C2) (RF) (Male)" u="1"/>
        <s v="Petersen MPT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Groove" u="1"/>
        <s v="Nibco Flange #150 (C1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MPT" u="1"/>
        <s v="Nexus Flange #125 (C1) (FF) (Male) (NXFB)" u="1"/>
        <s v="Nexus Flange #125 (C1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1) (FF) (Male)" u="1"/>
        <s v="Mueller Flange #150 (C1) (C2) (RF) (Male)" u="1"/>
        <s v="Mueller Flange #300 (C1) (C2) (RF) (Male)" u="1"/>
        <s v="Mueller Copper (Cast) Cup (Coupling)" u="1"/>
        <s v="Mueller Copper (Cast) Cup" u="1"/>
        <s v="Mueller Copper Plain End" u="1"/>
        <s v="Mueller Copper (Cast) Cup (Union)" u="1"/>
        <s v="Mueller Copper (DWV) MPT (ASME B1.20.1)" u="1"/>
        <s v="Mueller Copper (Cast) FPT (Hex)" u="1"/>
        <s v="Mueller Copper Flange #150 (Male)" u="1"/>
        <s v="Mueller Copper (DWV) Cup (ASME B16.23)" u="1"/>
        <s v="Mueller Copper (DWV) Cup (ASME B16.29)" u="1"/>
        <s v="Mueller Copper (DWV) Cup (Coupling)" u="1"/>
        <s v="Mueller Copper (Wrot) Slip Joint (Hex)" u="1"/>
        <s v="Mueller Copper (DWV) FPT (Hex)" u="1"/>
        <s v="Mueller Copper (Wrot) Cup (Test Cap)" u="1"/>
        <s v="Mueller Copper (Wrot) Cup (Coupling)" u="1"/>
        <s v="Mueller Copper (Wrot) Cup" u="1"/>
        <s v="Mueller Copper (Cast) Cup (Adapter)" u="1"/>
        <s v="Milwaukee Brass Hose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1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PVDF (Fuseal 25_50) MPT (Plug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MPT" u="1"/>
        <s v="GF Polypropylene (PPro-Seal) Socket (Cap)" u="1"/>
        <s v="GF Polypropylene (PPro-Seal) Flange #150 (Male)" u="1"/>
        <s v="GF Polypropylene (PPro-Seal) Flange #150 (C1) (Male) (Backing Ring)" u="1"/>
        <s v="GF Polypropylene (PPro-Seal) Plain End" u="1"/>
        <s v="GF Polypropylene (PPro-Seal) Socket (Tee)" u="1"/>
        <s v="GF Polypropylene (PROGEF Standard) Flange #125 (FF) (Blind)" u="1"/>
        <s v="Generic Full Face Gasket #150 (C1) (Female)" u="1"/>
        <s v="GF Polypropylene (PROGEF Standard) MPT" u="1"/>
        <s v="GF Polypropylene (PROGEF Standard) Butt Fusion (Restraint)" u="1"/>
        <s v="GF Polypropylene (PROGEF Standard) FPT" u="1"/>
        <s v="GF PVDF (Fuseal 25_50) Socket" u="1"/>
        <s v="GF PVDF (Fuseal 25_50) Plain End" u="1"/>
        <s v="GF PVDF (Fuseal 25_50) Flange #150 (Male)" u="1"/>
        <s v="GF PVDF (Fuseal 25_50) Socket (Bushing)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Fernco Cast Iron Hub (3000 Coupling)" u="1"/>
        <s v="DFT Stainless Steel Clamp End (Male) (Valve)" u="1"/>
        <s v="CTS Flange #150 (RF) (Male)" u="1"/>
        <s v="CTS Flange #150 (RF) (Cup) (Male)" u="1"/>
        <s v="CTS Flange #300 (RF) (Male)" u="1"/>
        <s v="Crane Flange #150 (C1) (RF) (Male)" u="1"/>
        <s v="Crane Copper Cup" u="1"/>
        <s v="Crane Flange #1500 (C1) (RF) (Male)" u="1"/>
        <s v="Crane Flange #300 (C1) (RF) (Male)" u="1"/>
        <s v="Crane Flange #600 (C1) (RF) (Male)" u="1"/>
        <s v="Crane Flange #250 (C1) (FF) (Male)" u="1"/>
        <s v="Crane FPT (Hex)" u="1"/>
        <s v="Crane FPT (B1.20.1 &amp; B16.4)" u="1"/>
        <s v="Crane Flange #125 (C1) (FF) (Male)" u="1"/>
        <s v="Crane Flange #900 (C1) (RF) (Male)" u="1"/>
        <s v="Charlotte Cast Iron Spigot" u="1"/>
        <s v="Charlotte Cast Iron Hub" u="1"/>
        <s v="Charlotte Cast Iron No Hub (Coupling)" u="1"/>
        <s v="Charlotte Cast Iron No Hub (Heavy Coupling)" u="1"/>
        <s v="Charlotte PVC (DWV) Hub (Coupling)" u="1"/>
        <s v="Charlotte PVC (DWV) FPT" u="1"/>
        <s v="Charlotte PVC (DWV) Hub" u="1"/>
        <s v="Charlotte PVC (DWV) Plain End" u="1"/>
        <s v="Charlotte PVC (DWV) Hub (Slip Joint)" u="1"/>
        <s v="Charlotte PVC MPT (Plug)" u="1"/>
        <s v="Charlotte PVC MPT (Male Adapter)" u="1"/>
        <s v="Charlotte PVC (DWV) Hub (Test Cap)" u="1"/>
        <s v="Charlotte PVC (Schedule 40) FPT" u="1"/>
        <s v="Charlotte PVC (Schedule 40) Spigot" u="1"/>
        <s v="Charlotte PVC (Schedule 40) MPT" u="1"/>
        <s v="Charlotte PVC (Schedule 80) Socket" u="1"/>
        <s v="Charlotte PVC (Schedule 80) FPT" u="1"/>
        <s v="Charlotte PVC (Schedule 80) Spigot" u="1"/>
        <s v="Charlotte PVC (Schedule 80) MPT" u="1"/>
        <s v="Charlotte Flange 150# FF (8500 One Piece)" u="1"/>
        <s v="Charlotte Flange 150# FF (8510 Blind)" u="1"/>
        <s v="Charlotte Flange 150# FF (8530 Van Stone)" u="1"/>
        <s v="Charlotte Flange 150# FF (8560 One Piece)" u="1"/>
        <s v="Charlotte PVC (DWV) Blank (Square End Plug)" u="1"/>
        <s v="Cerro Copper Plain End (Pipe)" u="1"/>
        <s v="Bray Flange #150 (C1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FPT (Half Coupling)" u="1"/>
        <s v="Bonney Forge Stainless Steel Socket Weld (C1) (Insert)" u="1"/>
        <s v="Bonney Forge Stainless Steel Socket Weld (Union)" u="1"/>
        <s v="Bonney Forge Stainless Steel Socket Weld (Sockolet) (Reducing)" u="1"/>
        <s v="Bonney Forge Stainless Steel Socket Weld (Sockolet) (Size on Size)" u="1"/>
        <s v="Bonney Forge Stainless Steel FPT (Threadolet) (Reducing)" u="1"/>
        <s v="Bonney Forge Stainless Steel FPT (Threadolet) (SonS)" u="1"/>
        <s v="Bell and Gossett Flange #125 (C1) (C2) (FF) (Male)" u="1"/>
        <s v="Bell and Gossett FPT (Hex)" u="1"/>
        <s v="Bell and Gossett FPT (ASME B1.20.1)" u="1"/>
        <s v="Bell and Gossett MPT" u="1"/>
        <s v="Apollo Bronze FPT (Hex) (Valve)" u="1"/>
        <s v="Apollo Copper Cup" u="1"/>
        <s v="Apollo Bronze Press" u="1"/>
        <s v="Apollo Flange #125 (C1) (FF) (Male)" u="1"/>
        <s v="Apollo Carbon Steel FPT (Hex) (72-100)" u="1"/>
        <s v="Apollo Copper Press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Forged Steel (#3000) Socket Weld" u="1"/>
        <s v="Anvil Forged Steel (#6000) Socket Weld" u="1"/>
        <s v="Anvil Forged Steel (#6000) FPT" u="1"/>
        <s v="Anvil MPT (Nipple)" u="1"/>
        <s v="Anvil MPT" u="1"/>
        <s v="Anvil Malleable Iron (#150) MPT (Bushing)" u="1"/>
        <s v="Anvil Malleable Iron (#300) FPT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Union)" u="1"/>
        <s v="Anvil Forged Steel (#3000) Socket Weld (Coupling)" u="1"/>
        <s v="Anvil Forged Steel (#3000) Socket Weld (Union)" u="1"/>
        <s v="Anvil Forged Steel (#3000) FPT (Coupling)" u="1"/>
        <s v="Anvil Forged Steel (#3000) Socket Weld (Half Coupling)" u="1"/>
        <s v="Anvil Cast Iron (#125) FPT" u="1"/>
        <s v="Anvil Cast Iron (#125) MPT (Plug)" u="1"/>
        <s v="Anvil Cast Iron (#250) FPT" u="1"/>
        <s v="Anaco-Husky Cast Iron Hub (HD 4000)" u="1"/>
        <s v="Alfa Laval Stainless Steel Orbital Weld" u="1"/>
        <s v="Alfa Laval Tri Clamp Gasket (C1) (Female)" u="1"/>
        <s v="Alfa Laval Stainless Steel Clamp End (C1) (Male) (Clamps)" u="1"/>
        <s v="Alfa Laval Stainless Steel Clamp End (Male) (Fittings)" u="1"/>
        <s v="Generic Brazed Joint (C1) (Male) (Pulled Tee)" u="1"/>
        <s v="Generic Socket Fusion Joint (C1) (Male)" u="1"/>
        <s v="Generic Cap Screw Set #125 (C1) (Female) (LPBFV)" u="1"/>
        <s v="Generic Cap Screw Set #125 (C1) (Male) (Lug)" u="1"/>
        <s v="Generic Cap Screw Set #150 (C1) (Male) (Lug)" u="1"/>
        <s v="Generic Cap Screw Set #250 (C1) (Female) (LPBFV)" u="1"/>
        <s v="Generic Cap Screw Set #250 (C1) (Male) (Lug)" u="1"/>
        <s v="Generic Cap Screw Set #300 (C1) (Female) (LPBFV)" u="1"/>
        <s v="Generic Cap Screw Set #300 (C1) (Male) (Lug)" u="1"/>
        <s v="Generic Full Face Gasket #300 (C1) (Female)" u="1"/>
        <s v="Generic Ring Gasket #150 (C1) (Female)" u="1"/>
        <s v="Generic Ring Gasket #300 (C1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1) (Male)" u="1"/>
        <s v="Generic Stud Bolt Set #250 (C1) (Male)" u="1"/>
        <s v="Generic Stud Bolt Set #150 (C1) (Male)" u="1"/>
        <s v="Generic Stud Bolt Set #300 (C1) (Male)" u="1"/>
        <s v="Generic (SV) Hub &amp; Spigot x NH Joint (C1) (Female)" u="1"/>
        <s v="Generic (SV) Hub &amp; Spigot Joint (C1) (Female)" u="1"/>
        <s v="Generic ACR Soldered Joint (C1) (Male)" u="1"/>
        <s v="Generic CPVC Solvent Joint (C1) (Male)" u="1"/>
        <s v="Generic PVC (Schedule 80) Solvent Joint (C1) (Male)" u="1"/>
        <s v="Generic Socket Weld Joint (C1) (Female)" u="1"/>
        <s v="Generic Orbital Weld Joint (Female)" u="1"/>
        <s v="Generic Carbon Steel Plain End (Pipe)" u="1"/>
        <s v="Generic Brazed (Pulled Tee)" u="1"/>
        <s v="Generic Stainless Steel Groove (Pipe)" u="1"/>
        <s v="Generic Stainless Steel MPT (Pipe)" u="1"/>
        <s v="Generic Copper Groove (Pipe)" u="1"/>
        <s v="Generic Buttweld" u="1"/>
        <s v="Generic Bevel (Fishmouth)" u="1"/>
        <s v="Generic Groove (Fishmouth)" u="1"/>
      </sharedItems>
    </cacheField>
    <cacheField name="Conn Type #2" numFmtId="0">
      <sharedItems count="456">
        <s v="Mueller Copper Plain End (Pipe)"/>
        <s v="Nibco Copper (DWV) Cup"/>
        <s v="Nibco Copper Cup"/>
        <s v="Generic Copper Plain End (Pipe)"/>
        <s v="Nibco Copper Plain End"/>
        <s v=""/>
        <s v="Generic Threaded Joint (C2) (Female)"/>
        <s v="Nibco Copper (Cast) Blank (Plug Square End)"/>
        <s v="Generic Soldered Joint (C2) (Female)"/>
        <s v="Generic Soldered Joint (C1) (Male)"/>
        <s v="Nibco Copper Cup (Coupling)"/>
        <s v="Conn Type #2" u="1"/>
        <s v="Apollo Copper Press (Small Diameter)" u="1"/>
        <s v="Generic ProPress Joint (C1) (Male)" u="1"/>
        <s v="Generic ProPress Joint (C2) (Female)" u="1"/>
        <s v="Charlotte PVC Plain End (Pipe)" u="1"/>
        <s v="Charlotte PVC (Schedule 40) Socket" u="1"/>
        <s v="Generic PVC (Schedule 40) Solvent Joint (C2) (Female)" u="1"/>
        <s v="Generic PVC (Schedule 40) Solvent Joint (C1) (Male)" u="1"/>
        <s v="Nibco FPT (B1.20.1 &amp; B16.15) (Hex)" u="1"/>
        <s v="Apollo Copper MPT" u="1"/>
        <s v="Generic Bevel (Pipe)" u="1"/>
        <s v="Weldbend Buttweld" u="1"/>
        <s v="Generic Buttweld Joint (Female)" u="1"/>
        <s v="Generic MPT (Nipple)" u="1"/>
        <s v="Watts Copper Cup (Dielectric)" u="1"/>
        <s v="Generic Brazed Joint (C2) (Female)" u="1"/>
        <s v="None" u="1"/>
        <s v="Hex End Female Pipe Thread" u="1"/>
        <s v="Cello Brass MPT" u="1"/>
        <s v="Female Pipe Thread" u="1"/>
        <s v="Bell and Gossett Cup" u="1"/>
        <s v="Nibco Flange #150 (C2) (Male) (LPBFV)" u="1"/>
        <s v="Generic Cap Screw Set #150 (C2) (Female) (LPBFV)" u="1"/>
        <s v="Weldbend Flange #150 (RF) (Male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Viega Copper (ProPress) FPT" u="1"/>
        <s v="Victaulic MPT" u="1"/>
        <s v="Copper Ftg" u="1"/>
        <s v="CU-BRZ Press Cup - Viega" u="1"/>
        <s v="Press Joint - Ftg" u="1"/>
        <s v="WJ-Press Fit - Nibco" u="1"/>
        <s v="Male Pipe Threads" u="1"/>
        <s v="Female Pipe Threads" u="1"/>
        <s v="MPT Joint" u="1"/>
        <s v="Male Pipe Thread" u="1"/>
        <s v="Hex End Female Pipe Threads" u="1"/>
        <s v="Bevel End 37.5" u="1"/>
        <s v="Shop Weld" u="1"/>
        <s v="Grooved End" u="1"/>
        <s v="QuickVic Style 107V Coupling" u="1"/>
        <s v="150# Lug Pattern" u="1"/>
        <s v="150# RF Flange" u="1"/>
        <s v="Cap Screw Set (150# pattern)" u="1"/>
        <s v="XL-C Press Cup - Viega" u="1"/>
        <s v="3000 Proflex PL Flexible Cplg" u="1"/>
        <s v="NoHub" u="1"/>
        <s v="No Hub Cplg - Charlotte" u="1"/>
        <s v="ASTM_D3311 DWV-Cup" u="1"/>
        <s v="Generic Carbon Steel MPT (Pipe)" u="1"/>
        <s v="Anvil Malleable Iron (#150) FPT" u="1"/>
        <s v="Nibco Copper MPT (Adapter)" u="1"/>
        <s v="PPP MPT (Nipple)" u="1"/>
        <s v="Nibco Copper FPT (Hex)" u="1"/>
        <s v="Charlotte Cast Iron No Hub (Pipe)" u="1"/>
        <s v="Charlotte Cast Iron No Hub" u="1"/>
        <s v="Anaco-Husky Cast Iron Hub (HD 2000)" u="1"/>
        <s v="Fernco PVC Hub (1065 Coupling)" u="1"/>
        <s v="Weldbend Flange (Blind)" u="1"/>
        <s v="Weldbend Stub End" u="1"/>
        <s v="Weldbend Flange #150 (FF) (Lapped) (Male)" u="1"/>
        <s v="Weldbend (XS) Flange #150 (FF) (Male)" u="1"/>
        <s v="Weldbend Flange #150 (FF) (Male)" u="1"/>
        <s v="Weldbend (SER A) Flange #150 (FF) (Male)" u="1"/>
        <s v="Weldbend (SER B) Flange #150 (FF) (Male)" u="1"/>
        <s v="Weldbend (SER A) Flange #150 (RF) (Male)" u="1"/>
        <s v="Weldbend (SER-B) Flange #150 (RF) (Weldneck) (Male)" u="1"/>
        <s v="Weldbend Flange #300 (FF) (Lapped) (Male)" u="1"/>
        <s v="Weldbend (XS) Flange #300 (FF) (Male)" u="1"/>
        <s v="Weldbend Flange #300 (FF) (Male)" u="1"/>
        <s v="Weldbend Flange #300 (RF) (Male)" u="1"/>
        <s v="Weldbend (SER A) Flange #300 (FF) (Male)" u="1"/>
        <s v="Weldbend (SER B) Flange #300 (FF) (Male)" u="1"/>
        <s v="Weldbend (SER A) Flange #300 (RF) (Weldneck) (Male)" u="1"/>
        <s v="Weldbend (SER-B) Flange #300 (RF) (Weldneck) (Male)" u="1"/>
        <s v="Weiss Brass MPT" u="1"/>
        <s v="Weiss Brass FPT" u="1"/>
        <s v="Watts FPT (Dielectric)" u="1"/>
        <s v="Generic MegaPress Joint (C2) (Male)" u="1"/>
        <s v="Viega Carbon Steel (MegaPress) Press" u="1"/>
        <s v="Viega Carbon Steel (MegaPress - MegaPress XL) Press (Ball Valve)" u="1"/>
        <s v="Viega Carbon Steel (MegaPress) MPT" u="1"/>
        <s v="Viega Carbon Steel (MegaPress) FPT (Adapter)" u="1"/>
        <s v="Viega Carbon Steel (MegaPress) Press (Union)" u="1"/>
        <s v="Viega Carbon Steel (MegaPress) FPT (Union)" u="1"/>
        <s v="Viega Carbon Steel (MegaPress - MegaPress XL) Press (Reducer)" u="1"/>
        <s v="Viega Carbon Steel (MegaPress XL) Press" u="1"/>
        <s v="Viega Copper PEX (Adapter)" u="1"/>
        <s v="Viega Copper MPT (ASME B1.20.1)" u="1"/>
        <s v="Viega Copper (ProPress) FPT (Adapter)" u="1"/>
        <s v="Viega Flange #150 (RF) (Male)" u="1"/>
        <s v="Viega Copper (ProPress XL) Press" u="1"/>
        <s v="Victaulic Copper Cup" u="1"/>
        <s v="Victaulic FPT" u="1"/>
        <s v="Victaulic Flange #150 (C1) (C2) (RF) (Male)" u="1"/>
        <s v="Victaulic Copper Groove (607 Coupling)" u="1"/>
        <s v="Victaulic Flange #150 (FF) (Male) (641 Flanged Adapter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 (Flange Adapter)" u="1"/>
        <s v="Victaulic (IPS) Groove (741 Flanged Coupling)" u="1"/>
        <s v="Victaulic Bevel" u="1"/>
        <s v="Victaulic (IPS) Groove (07 Coupling)" u="1"/>
        <s v="Victaulic (IPS) Groove (171 Coupling)" u="1"/>
        <s v="Victaulic (IPS) Groove (177N Coupling)" u="1"/>
        <s v="Victaulic (IPS) Groove (72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150 (FF) (Male)" u="1"/>
        <s v="Victaulic Flange #300 (FF) (Male)" u="1"/>
        <s v="Victaulic Flange #300 (RF) (Male)" u="1"/>
        <s v="Victaulic (IPS) Groove (743 Flanged Coupling)" u="1"/>
        <s v="Victaulic Hose Barb" u="1"/>
        <s v="Victaulic Stainless Steel (AGS) Groove (W89 Coupling)" u="1"/>
        <s v="Victaulic Stainless Steel (OGS) Groove (441 Flanged Coupling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(OGS) Groove (841 Flanged Coupling)" u="1"/>
        <s v="Victaulic Stainless Steel (OGS) Groove (877N Coupling)" u="1"/>
        <s v="Victaulic Stainless Steel (OGS) Groove (89 Coupling)" u="1"/>
        <s v="US Pipe Ductile Iron Plain End (Pipe)" u="1"/>
        <s v="Uponor PEX (ProPEX) Push On Ring (C2) (Male)" u="1"/>
        <s v="Uponor PEX (ProPEX) Barb (Male)" u="1"/>
        <s v="Uponor Brass (ProPEX) Barb (Male)" u="1"/>
        <s v="Uponor Brass (ProPEX) Press (Adapter)" u="1"/>
        <s v="Uponor Brass (ProPEX) Plain End (Fitting Adapter)" u="1"/>
        <s v="Uponor CPVC (ProPEX) Socket (Adapter)" u="1"/>
        <s v="Uponor CPVC (ProPEX) Spigot (Adapter)" u="1"/>
        <s v="Uponor PEX (ProPEX) Flange #150 (RF) (Male)" u="1"/>
        <s v="Uponor Brass (ProPEX) MPT" u="1"/>
        <s v="Uponor Brass (ProPEX) Cup" u="1"/>
        <s v="Uponor Blank" u="1"/>
        <s v="Uponor PEX (ProPEX) Plain End (Female)" u="1"/>
        <s v="Uponor PEX (ProPEX) Plain End (Variable Bend)" u="1"/>
        <s v="Uponor Brass (ProPEX) MPT (Compression)" u="1"/>
        <s v="Unaflex MPT" u="1"/>
        <s v="Unaflex Flange #150 (C2) (FF) (Male)" u="1"/>
        <s v="Tyler (350 PSI) Mechanical Joint Gland (C2)" u="1"/>
        <s v="Tyler (250 PSI) Mechanical Joint Gland (C2)" u="1"/>
        <s v="Tyler Cast Iron Hub (ASTM 74)" u="1"/>
        <s v="Tyler Cast Iron Spigot" u="1"/>
        <s v="Tyler Cast Iron FPT" u="1"/>
        <s v="Tyler (250 PSI) Flange" u="1"/>
        <s v="Tyler (250 PSI) Mechanical Joint" u="1"/>
        <s v="Tyler Plain End" u="1"/>
        <s v="Tyler Ductile Iron FPT (Coupling)" u="1"/>
        <s v="Tyler (350 PSI) Flange" u="1"/>
        <s v="Tyler (350 PSI) Mechanical Joint" u="1"/>
        <s v="Tyler Ductile Iron FPT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Flange #125 (FF) (Male) (DPE)" u="1"/>
        <s v="Spirax Sarco FPT (FT-125)" u="1"/>
        <s v="Spirax Sarco FPT (HM34)" u="1"/>
        <s v="Spirax Sarco FPT" u="1"/>
        <s v="Spirax Sarco Flange #250 (C1) (C2) (FF) (Male)" u="1"/>
        <s v="Spirax Sarco Flange #250 (C1) (C2) (RF) (Male)" u="1"/>
        <s v="Spears CPVC (Schedule 80) Socket" u="1"/>
        <s v="Spears CPVC Plain End" u="1"/>
        <s v="Spears Flange 150# FF (Flange One Piece)" u="1"/>
        <s v="Spears CPVC (Schedule 80) FPT (Female Adapter)" u="1"/>
        <s v="Spears Flange 150# FF (Van Stone)" u="1"/>
        <s v="Spears CPVC (Schedule 80) FPT (Bushing)" u="1"/>
        <s v="Spears CPVC (Schedule 80) Socket (Bushing)" u="1"/>
        <s v="Spears CPVC (Schedule 80) FPT (Union)" u="1"/>
        <s v="Spears CPVC (Schedule 80) Socket (Union)" u="1"/>
        <s v="Spears PVC (Schedule 80) Socket" u="1"/>
        <s v="Spears PVC Plain End" u="1"/>
        <s v="Spears PVC (Schedule 80) Socket (Female Adapter)" u="1"/>
        <s v="Spears PVC (Schedule 80) FPT (Bushing)" u="1"/>
        <s v="Spears PVC (Schedule 80) Socket (Bushing)" u="1"/>
        <s v="Spears PVC (Schedule 80) FPT (Union)" u="1"/>
        <s v="Spears PVC (Schedule 80) Socket (Union)" u="1"/>
        <s v="Spears CPVC Plain End (Pipe)" u="1"/>
        <s v="Spears PVC Plain End (Pipe)" u="1"/>
        <s v="Sovent Cast Iron No Hub" u="1"/>
        <s v="Smith Cooper Stainless Steel Buttweld" u="1"/>
        <s v="Smith Cooper Stainless Steel Lap Joint" u="1"/>
        <s v="Smith Cooper Stainless Steel Flange #150 (C1) (FF) (Male)" u="1"/>
        <s v="Smith Cooper Stainless Steel Flange #150 (C1) (RF) (Male)" u="1"/>
        <s v="PPP Blank" u="1"/>
        <s v="PPP Groove" u="1"/>
        <s v="Powell Flange #150 (C1) (C2) (RF) (Male)" u="1"/>
        <s v="Powell Flange #300 (C1) (C2) (RF) (Male)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Copper Hose" u="1"/>
        <s v="Nibco Groove" u="1"/>
        <s v="Nibco Flange #150 (C2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(DWV) Cup (Trap Adapter)" u="1"/>
        <s v="Nibco Copper (DWV) FPT (Hex)" u="1"/>
        <s v="Nibco Copper MPT" u="1"/>
        <s v="Nibco Copper FPT (Bushing)" u="1"/>
        <s v="Nibco Copper Cup (Hex)" u="1"/>
        <s v="Nexus Flange #125 (C2) (FF) (Male) (NXFB)" u="1"/>
        <s v="Nexus Flange #125 (C2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2) (FF) (Male)" u="1"/>
        <s v="Mueller Flange #150 (C1) (C2) (RF) (Male)" u="1"/>
        <s v="Mueller Flange #300 (C1) (C2) (RF) (Male)" u="1"/>
        <s v="Mueller Copper (Cast) Cup (Coupling)" u="1"/>
        <s v="Mueller Copper (DWV) MPT (ASME B1.20.1)" u="1"/>
        <s v="Mueller Copper (Cast) FPT (Adapter)" u="1"/>
        <s v="Mueller Copper (Cast) FPT (Hex)" u="1"/>
        <s v="Mueller Copper (Cast) Cup (Hex)" u="1"/>
        <s v="Mueller Copper (Cast) Cup" u="1"/>
        <s v="Mueller Copper Cup (Flange #150)" u="1"/>
        <s v="Mueller Copper (Cast) FPT" u="1"/>
        <s v="Mueller Copper (DWV) Cup (ASME B16.23)" u="1"/>
        <s v="Mueller Copper (DWV) Cup (ASME B16.29)" u="1"/>
        <s v="Mueller Copper (Wrot) Slip Joint (Hex)" u="1"/>
        <s v="Mueller Copper Plain End" u="1"/>
        <s v="Mueller Copper (DWV) Cup (Coupling)" u="1"/>
        <s v="Mueller Copper (DWV) FPT (Hex)" u="1"/>
        <s v="Mueller Copper (Wrot) Cup (Coupling)" u="1"/>
        <s v="Mueller Copper (Wrot) Cup" u="1"/>
        <s v="Mueller Copper (Wrot) MPT (Adapter)" u="1"/>
        <s v="Mueller Copper (Wrot) FPT (Hex)" u="1"/>
        <s v="Mueller Copper (Wrot) Cup (Hex)" u="1"/>
        <s v="Mueller Copper (Wrot) FPT (ASME B1.20.1)" u="1"/>
        <s v="Mueller Copper (Cast) FPT (ASME B1.20.1)" u="1"/>
        <s v="Mueller Copper (Cast) FPT (Flanged Sink)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2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Flange #150 (C2) (Male) (Backing Ring)" u="1"/>
        <s v="GF Polypropylene (PPro-Seal) FPT (Coupling)" u="1"/>
        <s v="GF Polypropylene (PPro-Seal) Socket (Bushing)" u="1"/>
        <s v="GF Polypropylene (PPro-Seal) Socket (Tee)" u="1"/>
        <s v="GF Polypropylene (PROGEF Standard) FPT" u="1"/>
        <s v="GF Polypropylene (PROGEF Standard) Blank (Blind Flange)" u="1"/>
        <s v="GF Polypropylene (PROGEF Standard) Flange #125 (FF) (Male)" u="1"/>
        <s v="Generic Full Face Gasket #150 (C2) (Female)" u="1"/>
        <s v="GF Polypropylene (PROGEF Standard) Blank" u="1"/>
        <s v="GF Polypropylene (PROGEF Standard) Clamp" u="1"/>
        <s v="GF Polypropylene (PROGEF Standard) MPT" u="1"/>
        <s v="GF Polypropylene (PROGEF Standard) Butt Fusion (Restraint)" u="1"/>
        <s v="GF PVDF (Fuseal 25_50) Socket" u="1"/>
        <s v="GF PVDF (Fuseal 25_50) Blank (Plug)" u="1"/>
        <s v="GF PVDF (Fuseal 25_50) FPT" u="1"/>
        <s v="GF PVDF (Fuseal 25_50) Plain End" u="1"/>
        <s v="GF PVDF (Fuseal 25_50) MPT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GF Polypropylene (PPro-Seal) Socket (Adapter)" u="1"/>
        <s v="Fernco PVC Hub (3000 Coupling)" u="1"/>
        <s v="DFT Stainless Steel Clamp End (Male) (Valve)" u="1"/>
        <s v="CTS Copper Spigot (Press)" u="1"/>
        <s v="CTS Copper Cup" u="1"/>
        <s v="CTS Copper Groove" u="1"/>
        <s v="Crane Flange #150 (C2) (RF) (Male)" u="1"/>
        <s v="Crane Copper Cup" u="1"/>
        <s v="Crane Flange #1500 (C2) (RF) (Male)" u="1"/>
        <s v="Crane Flange #300 (C2) (RF) (Male)" u="1"/>
        <s v="Crane Flange #600 (C2) (RF) (Male)" u="1"/>
        <s v="Crane Flange #250 (C2) (FF) (Male)" u="1"/>
        <s v="Crane FPT (Hex)" u="1"/>
        <s v="Crane FPT (B1.20.1 &amp; B16.4)" u="1"/>
        <s v="Crane Flange #125 (C2) (FF) (Male)" u="1"/>
        <s v="Crane Flange #900 (C2) (RF) (Male)" u="1"/>
        <s v="Charlotte Cast Iron Hub" u="1"/>
        <s v="Charlotte Cast Iron Spigot" u="1"/>
        <s v="Charlotte Cast Iron FPT (Tapped Tee)" u="1"/>
        <s v="Charlotte Cast Iron No Hub (Coupling)" u="1"/>
        <s v="Charlotte Cast Iron (No Hub) FPT (Test Tee)" u="1"/>
        <s v="Charlotte Cast Iron No Hub (Heavy Coupling)" u="1"/>
        <s v="Charlotte PVC (DWV) Hub (Coupling)" u="1"/>
        <s v="Charlotte PVC (DWV) Blank" u="1"/>
        <s v="Charlotte PVC (DWV) Hub" u="1"/>
        <s v="Charlotte PVC (DWV) Hub (Slip Joint)" u="1"/>
        <s v="Charlotte PVC (DWV) Hub (Slip Joint w Nut)" u="1"/>
        <s v="Charlotte PVC (DWV) Hub (Adapter) (Hex)" u="1"/>
        <s v="Charlotte PVC (DWV) Hub (Slip Joint) (Hex)" u="1"/>
        <s v="Charlotte PVC (DWV) FPT" u="1"/>
        <s v="Charlotte PVC (DWV) FPT (Plug)" u="1"/>
        <s v="Charlotte PVC (DWV) Plain End" u="1"/>
        <s v="Charlotte PVC Spigot (CI Adapter)" u="1"/>
        <s v="Charlotte PVC (Schedule 40) FPT" u="1"/>
        <s v="Charlotte PVC (Schedule 40) Socket (Bushing)" u="1"/>
        <s v="Charlotte PVC (Schedule 40) FPT (Bushing)" u="1"/>
        <s v="Charlotte PVC (Schedule 40) Blank (Plug)" u="1"/>
        <s v="Charlotte PVC (Schedule 40) Spigot" u="1"/>
        <s v="Charlotte PVC (Schedule 40) MPT" u="1"/>
        <s v="Charlotte PVC (Schedule 80) Socket" u="1"/>
        <s v="Charlotte PVC (Schedule 80) FPT" u="1"/>
        <s v="Charlotte PVC (Schedule 80) Socket (Bushing)" u="1"/>
        <s v="Charlotte PVC (Schedule 80) FPT (Bushing)" u="1"/>
        <s v="Charlotte PVC (Schedule 80) MPT" u="1"/>
        <s v="Charlotte PVC (Schedule 80) Blank (Plug)" u="1"/>
        <s v="Charlotte Flange 150# FF (8510 Blind)" u="1"/>
        <s v="Charlotte Cast Iron (Extra Heavy) Blank" u="1"/>
        <s v="Cerro Copper Plain End (Pipe)" u="1"/>
        <s v="Bray Flange #150 (C2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Socket Weld (C2) (Insert)" u="1"/>
        <s v="Bonney Forge Stainless Steel Socket Weld (Union)" u="1"/>
        <s v="Bell and Gossett Flange #125 (C1) (C2) (FF) (Male)" u="1"/>
        <s v="Bell and Gossett FPT (Hex)" u="1"/>
        <s v="Bell and Gossett Blank (High Capacity Air Vent)" u="1"/>
        <s v="Bell and Gossett Blank (Air Vent)" u="1"/>
        <s v="Bell and Gossett Blank" u="1"/>
        <s v="Apollo Bronze FPT (Hex) (Valve)" u="1"/>
        <s v="Apollo Copper Cup" u="1"/>
        <s v="Apollo Bronze Press" u="1"/>
        <s v="Apollo Flange #125 (C2) (FF) (Male)" u="1"/>
        <s v="Apollo Copper Blank (70-200-HC) (Valve)" u="1"/>
        <s v="Apollo Carbon Steel FPT (Hex) (72-100)" u="1"/>
        <s v="Apollo Copper Blank (77W-A-HC) (Valve)" u="1"/>
        <s v="Apollo Copper Press" u="1"/>
        <s v="Apollo Copper Hose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MPT (Nipple)" u="1"/>
        <s v="Anvil Malleable Iron (#150) FPT (Bushing)" u="1"/>
        <s v="Anvil Malleable Iron (#300) FPT" u="1"/>
        <s v="Anvil Malleable Iron (#150) FPT (Coupling)" u="1"/>
        <s v="Anvil Malleable Iron (#150) FPT (Hex)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Hex)" u="1"/>
        <s v="Anvil Malleable Iron (#300) FPT (Union)" u="1"/>
        <s v="Anvil Forged Steel (#3000) Socket Weld (Insert)" u="1"/>
        <s v="Anvil Forged Steel (#3000) Socket Weld (Coupling)" u="1"/>
        <s v="Anvil Forged Steel (#3000) Socket Weld (Union)" u="1"/>
        <s v="Anvil Forged Steel (#3000) Socket Weld" u="1"/>
        <s v="Anvil Forged Steel (#3000) Socket Weld (Half Coupling)" u="1"/>
        <s v="Anvil Forged Steel (#3000) FPT" u="1"/>
        <s v="Anvil Forged Steel (#3000) FPT (Coupling)" u="1"/>
        <s v="Anvil Cast Iron (#125) FPT" u="1"/>
        <s v="Anvil Cast Iron (#125) FPT (Hex)" u="1"/>
        <s v="Anvil Flange #125" u="1"/>
        <s v="Anvil Cast Iron (#125) FPT (Coupling)" u="1"/>
        <s v="Anvil Cast Iron (#250) FPT" u="1"/>
        <s v="Anaco-Husky Cast Iron Hub (HD 4000)" u="1"/>
        <s v="Alfa Laval Stainless Steel Orbital Weld" u="1"/>
        <s v="Alfa Laval Tri Clamp Gasket (C2) (Female)" u="1"/>
        <s v="Alfa Laval Stainless Steel Clamp End (C2) (Female) (Clamps)" u="1"/>
        <s v="Alfa Laval Stainless Steel Hose" u="1"/>
        <s v="Alfa Laval Stainless Steel MPT" u="1"/>
        <s v="Alfa Laval Stainless Steel FPT" u="1"/>
        <s v="Alfa Laval Stainless Steel Clamp End (Male) (Fittings)" u="1"/>
        <s v="Generic Socket Fusion Joint (C2) (Female)" u="1"/>
        <s v="Generic Cap Screw Set #150 (C2) (Female) (Lug)" u="1"/>
        <s v="Generic Cap Screw Set #300 (C2) (Female) (LPBFV)" u="1"/>
        <s v="Generic Cap Screw Set #300 (C2) (Female) (Lug)" u="1"/>
        <s v="Generic Full Face Gasket #300 (C2) (Female)" u="1"/>
        <s v="Generic Ring Gasket #150 (C2) (Female)" u="1"/>
        <s v="Generic Ring Gasket #300 (C2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2) (Female) (Back to Back)" u="1"/>
        <s v="Generic Stud Bolt Set #125 (C2) (Female)" u="1"/>
        <s v="Generic Stud Bolt Set #250 (C2) (Female) (Back to Back)" u="1"/>
        <s v="Generic Stud Bolt Set #250 (C2) (Female)" u="1"/>
        <s v="Generic Stud Bolt Set #150 (C2) (Female) (Back to Back)" u="1"/>
        <s v="Generic Stud Bolt Set #150 (C2) (Female)" u="1"/>
        <s v="Generic Stud Bolt Set #300 (C2) (Female) (Back to Back)" u="1"/>
        <s v="Generic Stud Bolt Set #300 (C2) (Female)" u="1"/>
        <s v="Generic (SV) Hub &amp; Spigot x NH Joint (C2) (Male)" u="1"/>
        <s v="Generic (SV) Hub &amp; Spigot Joint (C2) (Male)" u="1"/>
        <s v="Generic ACR Soldered Joint (C2) (Female)" u="1"/>
        <s v="Generic CPVC Solvent Joint (C2) (Female)" u="1"/>
        <s v="Generic PVC (Schedule 80) Solvent Joint (C2) (Female)" u="1"/>
        <s v="Generic Socket Weld Joint (C2) (Female)" u="1"/>
        <s v="Generic Orbital Weld Joint (Female)" u="1"/>
        <s v="Generic Carbon Steel Plain End (Pipe)" u="1"/>
        <s v="Generic Stainless Steel Groove (Pipe)" u="1"/>
        <s v="Generic Stainless Steel MPT (Pipe)" u="1"/>
        <s v="Generic Copper Groove (Pipe)" u="1"/>
        <s v="Generic Buttweld" u="1"/>
        <s v="Generic Groove (Nipple)" u="1"/>
        <s v="Generic Blank" u="1"/>
      </sharedItems>
    </cacheField>
    <cacheField name="Conn Type #3" numFmtId="0">
      <sharedItems count="93">
        <s v=""/>
        <s v="Nibco Copper (DWV) Cup"/>
        <s v="Nibco Copper Cup"/>
        <s v="Conn Type #3" u="1"/>
        <s v="Apollo Copper Press (Small Diameter)" u="1"/>
        <s v="Charlotte PVC (Schedule 40) Socket" u="1"/>
        <s v="Bell and Gossett FPT (Hex)" u="1"/>
        <s v="Victaulic Groove" u="1"/>
        <s v="Viega Copper (ProPress) Press" u="1"/>
        <s v="CU-BRZ Press Cup - Viega" u="1"/>
        <s v="None" u="1"/>
        <s v="Blank End" u="1"/>
        <s v="Bevel End 37.5" u="1"/>
        <s v="XL-C Press Cup - Viega" u="1"/>
        <s v="NoHub" u="1"/>
        <s v="Anvil Malleable Iron (#150) FPT" u="1"/>
        <s v="Weldbend Buttweld" u="1"/>
        <s v="Charlotte Cast Iron No Hub" u="1"/>
        <s v="Charlotte Cast Iron (No Hub) FPT (Test Tee)" u="1"/>
        <s v="Weiss Brass FPT" u="1"/>
        <s v="Viega Carbon Steel (MegaPress) FPT" u="1"/>
        <s v="Viega Carbon Steel (MegaPress) Press" u="1"/>
        <s v="Viega Carbon Steel (MegaPress - MegaPress XL) Press (Reducing Tee)" u="1"/>
        <s v="Viega Carbon Steel (MegaPress XL) Press" u="1"/>
        <s v="Viega Copper (ProPress) FPT" u="1"/>
        <s v="Viega Copper (ProPress XL) Press" u="1"/>
        <s v="Victaulic Blank" u="1"/>
        <s v="Victaulic MPT" u="1"/>
        <s v="Victaulic Copper Cup" u="1"/>
        <s v="Victaulic (IPS) Groove (72 Coupling)" u="1"/>
        <s v="Uponor PEX (ProPEX) Barb (Male)" u="1"/>
        <s v="Uponor Brass (ProPEX) Barb (Male)" u="1"/>
        <s v="Uponor Blank" u="1"/>
        <s v="Tyler Cast Iron Hub (ASTM 74)" u="1"/>
        <s v="Tyler Cast Iron Spigot" u="1"/>
        <s v="Tyler Cast Iron FPT (Coupling)" u="1"/>
        <s v="Tyler Cast Iron FPT" u="1"/>
        <s v="Tyler (250 PSI) Mechanical Joint" u="1"/>
        <s v="Tyler (250 PSI) Flange" u="1"/>
        <s v="Tyler (350 PSI) Mechanical Joint" u="1"/>
        <s v="Tyler Ductile Iron FPT" u="1"/>
        <s v="Tyler Swivel" u="1"/>
        <s v="Tyler Cast Iron Blank (Hex)" u="1"/>
        <s v="Titan Cast Iron Blank (YS Cap)" u="1"/>
        <s v="Titan Carbon Steel Blank (YS Cap)" u="1"/>
        <s v="Spirax Sarco FPT (DPE)" u="1"/>
        <s v="Spirax Sarco FPT (FT-125)" u="1"/>
        <s v="Spirax Sarco FPT (HM34)" u="1"/>
        <s v="Spirax Sarco Cast Iron Blank (25P)" u="1"/>
        <s v="Spears CPVC (Schedule 80) Socket" u="1"/>
        <s v="Spears CPVC (Schedule 80) FPT" u="1"/>
        <s v="Spears PVC (Schedule 80) Socket" u="1"/>
        <s v="Spears PVC (Schedule 80) FPT" u="1"/>
        <s v="Sovent Cast Iron No Hub" u="1"/>
        <s v="Smith Cooper Stainless Steel Buttweld" u="1"/>
        <s v="Powell Stainless Steel Blank (Cap)" u="1"/>
        <s v="Powell Carbon Steel Blank (Cap)" u="1"/>
        <s v="Mueller Carbon Steel Blank (581-SS)" u="1"/>
        <s v="Mueller Copper (Cast) Cup" u="1"/>
        <s v="Mueller Copper (Cast) FPT" u="1"/>
        <s v="Mueller Copper (DWV) Cup (ASME B16.29)" u="1"/>
        <s v="Mueller Copper (Wrot) Cup" u="1"/>
        <s v="Honeywell Blank (T&amp;P Plug)" u="1"/>
        <s v="Honeywell FPT" u="1"/>
        <s v="Honeywell Flange #125 (C1) (C2) (FF) (Male)" u="1"/>
        <s v="GF Polypropylene (PROGEF Standard) Butt Fusion" u="1"/>
        <s v="GF Polypropylene (PPro-Seal) Socket" u="1"/>
        <s v="GF Polypropylene (PPro-Seal) Socket (Tee)" u="1"/>
        <s v="GF Polypropylene (PROGEF Standard) Clamp" u="1"/>
        <s v="GF Polypropylene (PROGEF Standard) MPT" u="1"/>
        <s v="GF PVDF (Fuseal 25_50) Socket" u="1"/>
        <s v="GF PVDF (Fuseal 25_50) Blank (Plug)" u="1"/>
        <s v="GF PVDF (Fuseal 25_50) FPT" u="1"/>
        <s v="Charlotte Cast Iron Hub" u="1"/>
        <s v="Charlotte Cast Iron (Extra Heavy) Blank" u="1"/>
        <s v="Charlotte Cast Iron FPT (Tapped Tee)" u="1"/>
        <s v="Charlotte PVC (DWV) Hub" u="1"/>
        <s v="Charlotte PVC (DWV) Blank (Square End Plug)" u="1"/>
        <s v="Charlotte PVC (DWV) FPT (Plug)" u="1"/>
        <s v="Charlotte PVC (DWV) Blank" u="1"/>
        <s v="Charlotte PVC (Schedule 40) FPT" u="1"/>
        <s v="Charlotte PVC (Schedule 80) Socket" u="1"/>
        <s v="Charlotte PVC (Schedule 80) FPT" u="1"/>
        <s v="Charlotte Cast Iron Spigot" u="1"/>
        <s v="Generic Blank" u="1"/>
        <s v="Bonney Forge Stainless Steel Socket Weld" u="1"/>
        <s v="Anvil Malleable Iron (#300) FPT" u="1"/>
        <s v="Anvil Forged Steel (#3000) Socket Weld" u="1"/>
        <s v="Anvil Forged Steel (#3000) FPT" u="1"/>
        <s v="Anvil Cast Iron (#125) FPT" u="1"/>
        <s v="Anvil Cast Iron (#250) FPT" u="1"/>
        <s v="Alfa Laval Stainless Steel Clamp End (Male) (Fittings)" u="1"/>
        <s v="Alfa Laval Stainless Steel Orbital Weld" u="1"/>
      </sharedItems>
    </cacheField>
    <cacheField name="Conn Type #4" numFmtId="0">
      <sharedItems count="1">
        <s v=""/>
      </sharedItems>
    </cacheField>
    <cacheField name="Conn Type #5" numFmtId="0">
      <sharedItems count="1">
        <s v=""/>
      </sharedItems>
    </cacheField>
    <cacheField name="Conn Type #6" numFmtId="0">
      <sharedItems count="1">
        <s v=""/>
      </sharedItems>
    </cacheField>
    <cacheField name="Conn Type #7" numFmtId="0">
      <sharedItems count="1">
        <s v=""/>
      </sharedItems>
    </cacheField>
    <cacheField name="Conn Type #8" numFmtId="0">
      <sharedItems count="1">
        <s v=""/>
      </sharedItems>
    </cacheField>
    <cacheField name="Column1" numFmtId="0">
      <sharedItems count="1">
        <s v=""/>
      </sharedItems>
    </cacheField>
    <cacheField name="_1" numFmtId="0">
      <sharedItems count="1">
        <s v=""/>
      </sharedItems>
    </cacheField>
    <cacheField name="_2" numFmtId="0">
      <sharedItems count="1">
        <s v=""/>
      </sharedItems>
    </cacheField>
    <cacheField name="_3" numFmtId="0">
      <sharedItems count="1">
        <s v=""/>
      </sharedItems>
    </cacheField>
    <cacheField name="_4" numFmtId="0">
      <sharedItems count="1">
        <s v=""/>
      </sharedItems>
    </cacheField>
    <cacheField name="_5" numFmtId="0">
      <sharedItems count="1">
        <s v=""/>
      </sharedItems>
    </cacheField>
    <cacheField name="_6" numFmtId="0">
      <sharedItems count="1">
        <s v=""/>
      </sharedItems>
    </cacheField>
    <cacheField name="_7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s v="237666ae-b89d-4571-bf0d-ccb06c53c266-0029890f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4' - 4 1/2&quot;"/>
    <n v="14.375299999999999"/>
    <n v="1"/>
    <s v=""/>
    <s v=""/>
    <s v="PLC-CD-06"/>
    <s v="PLC-CD-06"/>
    <s v="Spooled"/>
    <s v="12981"/>
    <s v="1"/>
    <s v=""/>
    <s v="11.63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915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7' - 0 3/8&quot;"/>
    <n v="7.0324"/>
    <n v="1"/>
    <s v=""/>
    <s v=""/>
    <s v="PLC-CD-02"/>
    <s v="PLC-CD-02"/>
    <s v="Spooled"/>
    <s v="12981"/>
    <s v="1"/>
    <s v=""/>
    <s v="5.69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91b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1' - 11 5/8&quot;"/>
    <n v="11.966100000000001"/>
    <n v="1"/>
    <s v=""/>
    <s v=""/>
    <s v="PLD-CD-02"/>
    <s v="PLD-CD-02"/>
    <s v="Spooled"/>
    <s v="12981"/>
    <s v="1"/>
    <s v=""/>
    <s v="9.68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91e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5' - 8 3/8&quot;"/>
    <n v="5.7019000000000002"/>
    <n v="1"/>
    <s v=""/>
    <s v=""/>
    <s v="PLD-CD-03"/>
    <s v="PLD-CD-03"/>
    <s v="Spooled"/>
    <s v="12981"/>
    <s v="1"/>
    <s v=""/>
    <s v="4.61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924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9' - 11 3/8&quot;"/>
    <n v="9.9514999999999993"/>
    <n v="1"/>
    <s v=""/>
    <s v=""/>
    <s v="PLC-CD-08"/>
    <s v="PLC-CD-08"/>
    <s v="Spooled"/>
    <s v="12981"/>
    <s v="1"/>
    <s v=""/>
    <s v="8.05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92d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0' - 7 1/8&quot;"/>
    <n v="10.5947"/>
    <n v="1"/>
    <s v=""/>
    <s v=""/>
    <s v="PLC-CD-07"/>
    <s v="PLC-CD-07"/>
    <s v="Spooled"/>
    <s v="12981"/>
    <s v="1"/>
    <s v=""/>
    <s v="8.57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237666ae-b89d-4571-bf0d-ccb06c53c266-00298b1a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3"/>
    <s v="PLD-CD-03"/>
    <s v="Spooled"/>
    <s v="12981"/>
    <s v="2"/>
    <s v=""/>
    <s v="0.32"/>
    <s v="PLAZA LEVEL"/>
    <s v="MEP Fabrication Pipework"/>
    <s v=""/>
    <s v="MDSK_NIB_000051-0002"/>
    <s v=""/>
    <s v=""/>
    <s v=""/>
    <m/>
    <s v=""/>
    <s v=""/>
    <m/>
    <s v="Nibco Copper (DWV) Cup"/>
    <s v="Nibco Copper (DWV) Cup"/>
    <s v=""/>
    <s v=""/>
    <s v=""/>
    <s v=""/>
    <s v=""/>
    <s v=""/>
  </r>
  <r>
    <s v="acd491e1-b885-4972-b735-049e7ea592d7-002d5391"/>
    <s v="UNC Carrington Hall Phase 2"/>
    <s v="120 Medical Drive, Chapel Hill, NC 27514"/>
    <s v="Condensate"/>
    <s v="A, C,D"/>
    <s v="87400403"/>
    <s v=""/>
    <m/>
    <s v=""/>
    <n v="2523"/>
    <x v="1"/>
    <x v="1"/>
    <s v="AGM: Condensate Drain (CD)"/>
    <s v="CD"/>
    <s v=""/>
    <x v="2"/>
    <s v="Wrot"/>
    <s v="45"/>
    <s v="Nibco"/>
    <s v="BIMrxDBS"/>
    <x v="0"/>
    <s v="Cu"/>
    <x v="1"/>
    <n v="0.75"/>
    <s v="3/4&quot;"/>
    <n v="0.75"/>
    <s v=""/>
    <s v=""/>
    <s v=""/>
    <s v=""/>
    <s v=""/>
    <m/>
    <n v="1"/>
    <s v=""/>
    <s v=""/>
    <s v="PLA-CD-10"/>
    <s v="PLA-CD-10"/>
    <s v="Spooled"/>
    <s v="12981"/>
    <s v="3"/>
    <s v=""/>
    <s v="0.1"/>
    <s v="PLAZA LEVEL"/>
    <s v="MEP Fabrication Pipework"/>
    <s v=""/>
    <s v="MDSK_NIB_000066-0006"/>
    <s v=""/>
    <s v=""/>
    <s v=""/>
    <m/>
    <s v=""/>
    <s v=""/>
    <m/>
    <s v="Nibco Copper Cup"/>
    <s v="Nibco Copper Cup"/>
    <s v=""/>
    <s v=""/>
    <s v=""/>
    <s v=""/>
    <s v=""/>
    <s v=""/>
  </r>
  <r>
    <s v="7d930897-721f-4ac6-99a2-c4061f4caacf-002e4fcb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C-CD-07"/>
    <s v="PLC-CD-07"/>
    <s v="Spooled"/>
    <s v="12981"/>
    <s v="2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7d930897-721f-4ac6-99a2-c4061f4caacf-002e50b9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C-CD-02"/>
    <s v="PLC-CD-02"/>
    <s v="Spooled"/>
    <s v="12981"/>
    <s v="4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7d930897-721f-4ac6-99a2-c4061f4caacf-002e50bc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3' - 2 5/8&quot;"/>
    <n v="3.2195"/>
    <n v="1"/>
    <s v=""/>
    <s v=""/>
    <s v="PLC-CD-02"/>
    <s v="PLC-CD-02"/>
    <s v="Spooled"/>
    <s v="12981"/>
    <s v="2"/>
    <s v=""/>
    <s v="2.6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e8a53a3a-6131-4f99-ad98-2299de1c717f-0039d833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2"/>
    <n v="1.25"/>
    <s v="1 1/4&quot;"/>
    <n v="1.25"/>
    <s v=""/>
    <s v=""/>
    <s v=""/>
    <s v=""/>
    <s v=""/>
    <m/>
    <n v="1"/>
    <s v=""/>
    <s v=""/>
    <s v="PLA-CD-01"/>
    <s v="PLA-CD-01"/>
    <s v="Spooled"/>
    <s v="12981"/>
    <s v="2"/>
    <s v=""/>
    <s v="0.18"/>
    <s v="PLAZA LEVEL"/>
    <s v="MEP Fabrication Pipework"/>
    <s v=""/>
    <s v="MDSK_NIB_000051-0001"/>
    <s v=""/>
    <s v=""/>
    <s v=""/>
    <m/>
    <s v=""/>
    <s v=""/>
    <m/>
    <s v="Nibco Copper (DWV) Cup"/>
    <s v="Nibco Copper (DWV) Cup"/>
    <s v=""/>
    <s v=""/>
    <s v=""/>
    <s v=""/>
    <s v=""/>
    <s v=""/>
  </r>
  <r>
    <s v="dbd99e9a-ef70-4eb2-a4c4-46c949251837-003a5963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3' - 5&quot;"/>
    <n v="3.4117000000000002"/>
    <n v="1"/>
    <s v=""/>
    <s v=""/>
    <s v="PLC-CD-01"/>
    <s v="PLC-CD-01"/>
    <s v="Spooled"/>
    <s v="12981"/>
    <s v="1"/>
    <s v=""/>
    <s v="2.76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dbd99e9a-ef70-4eb2-a4c4-46c949251837-003a5d5b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4"/>
    <s v="DWV"/>
    <s v="45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1"/>
    <s v="PLC-CD-01"/>
    <s v="Spooled"/>
    <s v="12981"/>
    <s v="3"/>
    <s v=""/>
    <s v="0.21"/>
    <s v="PLAZA LEVEL"/>
    <s v="MEP Fabrication Pipework"/>
    <s v=""/>
    <s v="MDSK_NIB_000049-0002"/>
    <s v=""/>
    <s v=""/>
    <s v=""/>
    <m/>
    <s v=""/>
    <s v=""/>
    <m/>
    <s v="Nibco Copper (DWV) Cup"/>
    <s v="Nibco Copper (DWV) Cup"/>
    <s v=""/>
    <s v=""/>
    <s v=""/>
    <s v=""/>
    <s v=""/>
    <s v=""/>
  </r>
  <r>
    <s v="dbd99e9a-ef70-4eb2-a4c4-46c949251837-003a5dce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0"/>
    <n v="1.5"/>
    <s v="1 1/2&quot;"/>
    <n v="1.5"/>
    <s v=""/>
    <s v=""/>
    <s v=""/>
    <s v=""/>
    <s v="2' - 8 1/2&quot;"/>
    <n v="2.7052"/>
    <n v="1"/>
    <s v=""/>
    <s v=""/>
    <s v="PLC-CD-01"/>
    <s v="PLC-CD-01"/>
    <s v="Spooled"/>
    <s v="12981"/>
    <s v="2"/>
    <s v=""/>
    <s v="2.54"/>
    <s v="PLAZA LEVEL"/>
    <s v="MEP Fabrication Pipework"/>
    <s v=""/>
    <s v="MDSK_GEN_000402-0006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bd99e9a-ef70-4eb2-a4c4-46c949251837-003a5de6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4"/>
    <s v="DWV"/>
    <s v="45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1"/>
    <s v="PLC-CD-01"/>
    <s v="Spooled"/>
    <s v="12981"/>
    <s v="3"/>
    <s v=""/>
    <s v="0.21"/>
    <s v="PLAZA LEVEL"/>
    <s v="MEP Fabrication Pipework"/>
    <s v=""/>
    <s v="MDSK_NIB_000049-0002"/>
    <s v=""/>
    <s v=""/>
    <s v=""/>
    <m/>
    <s v=""/>
    <s v=""/>
    <m/>
    <s v="Nibco Copper (DWV) Cup"/>
    <s v="Nibco Copper (DWV) Cup"/>
    <s v=""/>
    <s v=""/>
    <s v=""/>
    <s v=""/>
    <s v=""/>
    <s v=""/>
  </r>
  <r>
    <s v="65aed96e-d8a7-4ccf-98fd-fbdea0cdd39b-003a60c3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0"/>
    <n v="1.5"/>
    <s v="1 1/2&quot;"/>
    <n v="1.5"/>
    <s v=""/>
    <s v=""/>
    <s v=""/>
    <s v=""/>
    <s v="0' - 2 5/8&quot;"/>
    <n v="0.2213"/>
    <n v="1"/>
    <s v=""/>
    <s v=""/>
    <s v="PLC-CD-02"/>
    <s v="PLC-CD-02"/>
    <s v="Spooled"/>
    <s v="12981"/>
    <s v="3"/>
    <s v=""/>
    <s v="0.21"/>
    <s v="PLAZA LEVEL"/>
    <s v="MEP Fabrication Pipework"/>
    <s v=""/>
    <s v="MDSK_GEN_000402-0006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65aed96e-d8a7-4ccf-98fd-fbdea0cdd39b-003a60da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4"/>
    <s v="DWV"/>
    <s v="45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5"/>
    <s v=""/>
    <s v="0.21"/>
    <s v="PLAZA LEVEL"/>
    <s v="MEP Fabrication Pipework"/>
    <s v=""/>
    <s v="MDSK_NIB_000049-0002"/>
    <s v=""/>
    <s v=""/>
    <s v=""/>
    <m/>
    <s v=""/>
    <s v=""/>
    <m/>
    <s v="Nibco Copper (DWV) Cup"/>
    <s v="Nibco Copper (DWV) Cup"/>
    <s v=""/>
    <s v=""/>
    <s v=""/>
    <s v=""/>
    <s v=""/>
    <s v=""/>
  </r>
  <r>
    <s v="0f74580a-526d-4be2-bbf1-94bf81eea1c4-003e17ef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2' - 4 1/4&quot;"/>
    <n v="2.3551000000000002"/>
    <n v="1"/>
    <s v=""/>
    <s v=""/>
    <s v="PLD-CD-05"/>
    <s v="PLD-CD-05"/>
    <s v="Spooled"/>
    <s v="12981"/>
    <s v="1"/>
    <s v=""/>
    <s v="1.91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0f74580a-526d-4be2-bbf1-94bf81eea1c4-003e18eb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4"/>
    <s v="PLD-CD-04"/>
    <s v="Spooled"/>
    <s v="12981"/>
    <s v="2"/>
    <s v=""/>
    <s v="0.32"/>
    <s v="PLAZA LEVEL"/>
    <s v="MEP Fabrication Pipework"/>
    <s v=""/>
    <s v="MDSK_NIB_000051-0002"/>
    <s v=""/>
    <s v=""/>
    <s v=""/>
    <m/>
    <s v=""/>
    <s v=""/>
    <m/>
    <s v="Nibco Copper (DWV) Cup"/>
    <s v="Nibco Copper (DWV) Cup"/>
    <s v=""/>
    <s v=""/>
    <s v=""/>
    <s v=""/>
    <s v=""/>
    <s v=""/>
  </r>
  <r>
    <s v="0f74580a-526d-4be2-bbf1-94bf81eea1c4-003e18ff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5"/>
    <s v="PLD-CD-05"/>
    <s v="Spooled"/>
    <s v="12981"/>
    <s v="2"/>
    <s v=""/>
    <s v="0.32"/>
    <s v="PLAZA LEVEL"/>
    <s v="MEP Fabrication Pipework"/>
    <s v=""/>
    <s v="MDSK_NIB_000051-0002"/>
    <s v=""/>
    <s v=""/>
    <s v=""/>
    <m/>
    <s v=""/>
    <s v=""/>
    <m/>
    <s v="Nibco Copper (DWV) Cup"/>
    <s v="Nibco Copper (DWV) Cup"/>
    <s v=""/>
    <s v=""/>
    <s v=""/>
    <s v=""/>
    <s v=""/>
    <s v=""/>
  </r>
  <r>
    <s v="0f74580a-526d-4be2-bbf1-94bf81eea1c4-003e1947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' - 4 7/8&quot;"/>
    <n v="1.4061999999999999"/>
    <n v="1"/>
    <s v=""/>
    <s v=""/>
    <s v="PLD-CD-04"/>
    <s v="PLD-CD-04"/>
    <s v="Spooled"/>
    <s v="12981"/>
    <s v="1"/>
    <s v=""/>
    <s v="1.14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0f74580a-526d-4be2-bbf1-94bf81eea1c4-003e1a7f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0' - 5 1/2&quot;"/>
    <n v="0.45829999999999999"/>
    <n v="1"/>
    <s v=""/>
    <s v=""/>
    <s v="PLD-CD-02"/>
    <s v="PLD-CD-02"/>
    <s v="Spooled"/>
    <s v="12981"/>
    <s v="2"/>
    <s v=""/>
    <s v="0.37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0f74580a-526d-4be2-bbf1-94bf81eea1c4-003e1a95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2"/>
    <s v="PLD-CD-02"/>
    <s v="Spooled"/>
    <s v="12981"/>
    <s v="3"/>
    <s v=""/>
    <s v="0.32"/>
    <s v="PLAZA LEVEL"/>
    <s v="MEP Fabrication Pipework"/>
    <s v=""/>
    <s v="MDSK_NIB_000051-0002"/>
    <s v=""/>
    <s v=""/>
    <s v=""/>
    <m/>
    <s v=""/>
    <s v=""/>
    <m/>
    <s v="Nibco Copper (DWV) Cup"/>
    <s v="Nibco Copper (DWV) Cup"/>
    <s v=""/>
    <s v=""/>
    <s v=""/>
    <s v=""/>
    <s v=""/>
    <s v=""/>
  </r>
  <r>
    <s v="3ccbd990-10d8-428a-b07b-f3acca3c5d24-005790f2"/>
    <s v="UNC Carrington Hall Phase 2"/>
    <s v="120 Medical Drive, Chapel Hill, NC 27514"/>
    <s v="Condensate"/>
    <s v="A, C,D"/>
    <s v="87400403"/>
    <s v=""/>
    <m/>
    <s v=""/>
    <n v="2160"/>
    <x v="1"/>
    <x v="1"/>
    <s v="AGM: Condensate Drain (CD)"/>
    <s v="CD"/>
    <s v=""/>
    <x v="6"/>
    <s v="Wrot"/>
    <s v="T"/>
    <s v="Nibco"/>
    <s v="BIMrxDBS"/>
    <x v="0"/>
    <s v="Cu"/>
    <x v="1"/>
    <n v="0.75"/>
    <s v="3/4&quot;"/>
    <n v="0.75"/>
    <s v="3/4&quot;"/>
    <s v=""/>
    <s v=""/>
    <s v=""/>
    <s v=""/>
    <m/>
    <n v="1"/>
    <s v=""/>
    <s v=""/>
    <s v="PLA-CD-08"/>
    <s v="PLA-CD-08"/>
    <s v="Spooled"/>
    <s v="12981"/>
    <s v="2"/>
    <s v=""/>
    <s v="0.16"/>
    <s v="PLAZA LEVEL"/>
    <s v="MEP Fabrication Pipework"/>
    <s v=""/>
    <s v="MDSK_NIB_000076-0042"/>
    <s v=""/>
    <s v=""/>
    <s v=""/>
    <m/>
    <s v=""/>
    <s v=""/>
    <m/>
    <s v="Nibco Copper Cup"/>
    <s v="Nibco Copper Cup"/>
    <s v="Nibco Copper Cup"/>
    <s v=""/>
    <s v=""/>
    <s v=""/>
    <s v=""/>
    <s v=""/>
  </r>
  <r>
    <s v="3ccbd990-10d8-428a-b07b-f3acca3c5d24-00579249"/>
    <s v="UNC Carrington Hall Phase 2"/>
    <s v="120 Medical Drive, Chapel Hill, NC 27514"/>
    <s v="Condensate"/>
    <s v="A, C,D"/>
    <s v="87400403"/>
    <s v=""/>
    <m/>
    <s v=""/>
    <n v="2522"/>
    <x v="1"/>
    <x v="1"/>
    <s v="AGM: Condensate Drain (CD)"/>
    <s v="CD"/>
    <s v=""/>
    <x v="7"/>
    <s v="Wrot"/>
    <s v=""/>
    <s v="Nibco"/>
    <s v="BIMrxDBS"/>
    <x v="0"/>
    <s v="Cu"/>
    <x v="1"/>
    <n v="0.75"/>
    <s v="3/4&quot;"/>
    <n v="0.75"/>
    <s v=""/>
    <s v=""/>
    <s v=""/>
    <s v=""/>
    <s v=""/>
    <m/>
    <n v="1"/>
    <s v=""/>
    <s v=""/>
    <s v="PLA-CD-08"/>
    <s v="PLA-CD-08"/>
    <s v="Spooled"/>
    <s v="12981"/>
    <s v="3"/>
    <s v=""/>
    <s v="0.13"/>
    <s v="PLAZA LEVEL"/>
    <s v="MEP Fabrication Pipework"/>
    <s v=""/>
    <s v="MDSK_NIB_000063-0005"/>
    <s v=""/>
    <s v=""/>
    <s v=""/>
    <m/>
    <s v=""/>
    <s v=""/>
    <m/>
    <s v="Nibco Copper FPT (Hex)"/>
    <s v="Nibco Copper Plain End"/>
    <s v=""/>
    <s v=""/>
    <s v=""/>
    <s v=""/>
    <s v=""/>
    <s v=""/>
  </r>
  <r>
    <s v="3ccbd990-10d8-428a-b07b-f3acca3c5d24-00579266"/>
    <s v="UNC Carrington Hall Phase 2"/>
    <s v="120 Medical Drive, Chapel Hill, NC 27514"/>
    <s v="Condensate"/>
    <s v="A, C,D"/>
    <s v="87400403"/>
    <s v=""/>
    <m/>
    <s v=""/>
    <n v="2060"/>
    <x v="1"/>
    <x v="2"/>
    <s v="AGM: Condensate Drain (CD)"/>
    <s v="CD"/>
    <s v=""/>
    <x v="8"/>
    <s v="Standard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8"/>
    <s v="PLA-CD-08"/>
    <s v="Spooled"/>
    <s v="12981"/>
    <s v="4"/>
    <s v=""/>
    <s v="0.08"/>
    <s v="PLAZA LEVEL"/>
    <s v="MEP Fabrication Pipework"/>
    <s v=""/>
    <s v="MDSK_NIB_000321-0001"/>
    <s v=""/>
    <s v=""/>
    <s v=""/>
    <m/>
    <s v=""/>
    <s v=""/>
    <m/>
    <s v="Nibco PVC (DWV) MPT"/>
    <s v=""/>
    <s v=""/>
    <s v=""/>
    <s v=""/>
    <s v=""/>
    <s v=""/>
    <s v=""/>
  </r>
  <r>
    <s v="3ccbd990-10d8-428a-b07b-f3acca3c5d24-0057926a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8"/>
    <s v="Standard"/>
    <s v=""/>
    <s v="Joint"/>
    <s v="BIMrxDBS"/>
    <x v="1"/>
    <s v="CS"/>
    <x v="1"/>
    <n v="0.75"/>
    <s v="3/4&quot;"/>
    <n v="0.75"/>
    <s v=""/>
    <s v=""/>
    <s v=""/>
    <s v=""/>
    <s v=""/>
    <m/>
    <n v="1"/>
    <s v=""/>
    <s v=""/>
    <s v="PLA-CD-08"/>
    <s v="PLA-CD-08"/>
    <s v="Spooled"/>
    <s v="12981"/>
    <s v=""/>
    <s v=""/>
    <s v=""/>
    <s v="PLAZA LEVEL"/>
    <s v="MEP Fabrication Pipework"/>
    <s v=""/>
    <s v="MDSK_JOINT_000041-0005"/>
    <s v=""/>
    <s v=""/>
    <s v=""/>
    <m/>
    <s v=""/>
    <s v=""/>
    <m/>
    <s v="Generic Threaded Joint (C1) (Male)"/>
    <s v="Generic Threaded Joint (C2) (Female)"/>
    <s v=""/>
    <s v=""/>
    <s v=""/>
    <s v=""/>
    <s v=""/>
    <s v=""/>
  </r>
  <r>
    <s v="8ba1ce2a-f395-4c11-a8a2-e2bafdf840d3-0057bb51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1' - 3 1/8&quot;"/>
    <n v="11.264099999999999"/>
    <n v="1"/>
    <s v=""/>
    <s v=""/>
    <s v="PLD-CD-01"/>
    <s v="PLD-CD-01"/>
    <s v="Spooled"/>
    <s v="12981"/>
    <s v="1"/>
    <s v=""/>
    <s v="9.11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8ba1ce2a-f395-4c11-a8a2-e2bafdf840d3-0057bbfb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D-CD-01"/>
    <s v="PLD-CD-01"/>
    <s v="Spooled"/>
    <s v="12981"/>
    <s v="2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8ba1ce2a-f395-4c11-a8a2-e2bafdf840d3-0057bc5b"/>
    <s v="UNC Carrington Hall Phase 2"/>
    <s v="120 Medical Drive, Chapel Hill, NC 27514"/>
    <s v="Condensate"/>
    <s v="A, C,D"/>
    <s v="87400403"/>
    <s v=""/>
    <m/>
    <s v=""/>
    <n v="2522"/>
    <x v="1"/>
    <x v="0"/>
    <s v="AGM: Condensate Drain (CD)"/>
    <s v="CD"/>
    <s v=""/>
    <x v="9"/>
    <s v="DWV"/>
    <s v="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1"/>
    <s v="PLD-CD-01"/>
    <s v="Spooled"/>
    <s v="12981"/>
    <s v="3"/>
    <s v=""/>
    <s v="0.59"/>
    <s v="PLAZA LEVEL"/>
    <s v="MEP Fabrication Pipework"/>
    <s v=""/>
    <s v="MDSK_NIB_000320-0002"/>
    <s v=""/>
    <s v=""/>
    <s v=""/>
    <m/>
    <s v=""/>
    <s v=""/>
    <m/>
    <s v="Nibco Copper Plain End"/>
    <s v="Nibco Copper (Cast) Blank (Plug Square End)"/>
    <s v=""/>
    <s v=""/>
    <s v=""/>
    <s v=""/>
    <s v=""/>
    <s v=""/>
  </r>
  <r>
    <s v="8ba1ce2a-f395-4c11-a8a2-e2bafdf840d3-0057c022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C-CD-06"/>
    <s v="PLC-CD-06"/>
    <s v="Spooled"/>
    <s v="12981"/>
    <s v="2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8ba1ce2a-f395-4c11-a8a2-e2bafdf840d3-0057c096"/>
    <s v="UNC Carrington Hall Phase 2"/>
    <s v="120 Medical Drive, Chapel Hill, NC 27514"/>
    <s v="Condensate"/>
    <s v="A, C,D"/>
    <s v="87400403"/>
    <s v=""/>
    <m/>
    <s v=""/>
    <n v="2522"/>
    <x v="1"/>
    <x v="0"/>
    <s v="AGM: Condensate Drain (CD)"/>
    <s v="CD"/>
    <s v=""/>
    <x v="9"/>
    <s v="DWV"/>
    <s v="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6"/>
    <s v="PLC-CD-06"/>
    <s v="Spooled"/>
    <s v="12981"/>
    <s v="3"/>
    <s v=""/>
    <s v="0.59"/>
    <s v="PLAZA LEVEL"/>
    <s v="MEP Fabrication Pipework"/>
    <s v=""/>
    <s v="MDSK_NIB_000320-0002"/>
    <s v=""/>
    <s v=""/>
    <s v=""/>
    <m/>
    <s v=""/>
    <s v=""/>
    <m/>
    <s v="Nibco Copper (Cast) Blank (Plug Square End)"/>
    <s v="Nibco Copper Plain End"/>
    <s v=""/>
    <s v=""/>
    <s v=""/>
    <s v=""/>
    <s v=""/>
    <s v=""/>
  </r>
  <r>
    <s v="8ba1ce2a-f395-4c11-a8a2-e2bafdf840d3-0057c0da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C-CD-02"/>
    <s v="PLC-CD-02"/>
    <s v="Spooled"/>
    <s v="12981"/>
    <s v="4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8ba1ce2a-f395-4c11-a8a2-e2bafdf840d3-0057c152"/>
    <s v="UNC Carrington Hall Phase 2"/>
    <s v="120 Medical Drive, Chapel Hill, NC 27514"/>
    <s v="Condensate"/>
    <s v="A, C,D"/>
    <s v="87400403"/>
    <s v=""/>
    <m/>
    <s v=""/>
    <n v="2522"/>
    <x v="1"/>
    <x v="0"/>
    <s v="AGM: Condensate Drain (CD)"/>
    <s v="CD"/>
    <s v=""/>
    <x v="9"/>
    <s v="DWV"/>
    <s v="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6"/>
    <s v=""/>
    <s v="0.59"/>
    <s v="PLAZA LEVEL"/>
    <s v="MEP Fabrication Pipework"/>
    <s v=""/>
    <s v="MDSK_NIB_000320-0002"/>
    <s v=""/>
    <s v=""/>
    <s v=""/>
    <m/>
    <s v=""/>
    <s v=""/>
    <m/>
    <s v="Nibco Copper Plain End"/>
    <s v="Nibco Copper (Cast) Blank (Plug Square End)"/>
    <s v=""/>
    <s v=""/>
    <s v=""/>
    <s v=""/>
    <s v=""/>
    <s v=""/>
  </r>
  <r>
    <s v="d7aae066-93ad-4262-9398-c70251b7b472-005a2844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7' - 1 1/2&quot;"/>
    <n v="7.1208999999999998"/>
    <n v="1"/>
    <s v=""/>
    <s v=""/>
    <s v="PLA-CD-10"/>
    <s v="PLA-CD-10"/>
    <s v="Spooled"/>
    <s v="12981"/>
    <s v="1"/>
    <s v=""/>
    <s v="2.34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7aae066-93ad-4262-9398-c70251b7b472-005a28a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10"/>
    <s v="PLA-CD-10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d7aae066-93ad-4262-9398-c70251b7b472-005a293b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0' - 10 3/4&quot;"/>
    <n v="0.89370000000000005"/>
    <n v="1"/>
    <s v=""/>
    <s v=""/>
    <s v="PLA-CD-10"/>
    <s v="PLA-CD-10"/>
    <s v="Spooled"/>
    <s v="12981"/>
    <s v="2"/>
    <s v=""/>
    <s v="0.29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d7aae066-93ad-4262-9398-c70251b7b472-005a2957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10"/>
    <s v="PLA-CD-10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d7aae066-93ad-4262-9398-c70251b7b472-005a2a59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0' - 11 1/4&quot;"/>
    <n v="0.94030000000000002"/>
    <n v="1"/>
    <s v=""/>
    <s v=""/>
    <s v="PLA-CD-08"/>
    <s v="PLA-CD-08"/>
    <s v="Spooled"/>
    <s v="12981"/>
    <s v="1"/>
    <s v=""/>
    <s v="0.31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7abcb650-3317-42ae-96f0-d97d4a69d249-005a6204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8' - 11&quot;"/>
    <n v="8.9167000000000005"/>
    <n v="1"/>
    <s v=""/>
    <s v=""/>
    <s v="PLA-CD-09"/>
    <s v="PLA-CD-09"/>
    <s v="Spooled"/>
    <s v="12981"/>
    <s v="1"/>
    <s v=""/>
    <s v="2.92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5429ca3-4bcc-4f41-ae37-9a1d05de520c-005a6f78"/>
    <s v="UNC Carrington Hall Phase 2"/>
    <s v="120 Medical Drive, Chapel Hill, NC 27514"/>
    <s v="Condensate"/>
    <s v="A, C,D"/>
    <s v="87400403"/>
    <s v=""/>
    <m/>
    <s v=""/>
    <n v="2160"/>
    <x v="1"/>
    <x v="1"/>
    <s v="AGM: Condensate Drain (CD)"/>
    <s v="CD"/>
    <s v=""/>
    <x v="6"/>
    <s v="Wrot"/>
    <s v="T"/>
    <s v="Nibco"/>
    <s v="BIMrxDBS"/>
    <x v="0"/>
    <s v="Cu"/>
    <x v="1"/>
    <n v="0.75"/>
    <s v="3/4&quot;"/>
    <n v="0.75"/>
    <s v="3/4&quot;"/>
    <s v=""/>
    <s v=""/>
    <s v=""/>
    <s v=""/>
    <m/>
    <n v="1"/>
    <s v=""/>
    <s v=""/>
    <s v="PLA-CD-08"/>
    <s v="PLA-CD-08"/>
    <s v="Spooled"/>
    <s v="12981"/>
    <s v="2"/>
    <s v=""/>
    <s v="0.16"/>
    <s v="PLAZA LEVEL"/>
    <s v="MEP Fabrication Pipework"/>
    <s v=""/>
    <s v="MDSK_NIB_000076-0042"/>
    <s v=""/>
    <s v=""/>
    <s v=""/>
    <m/>
    <s v=""/>
    <s v=""/>
    <m/>
    <s v="Nibco Copper Cup"/>
    <s v="Nibco Copper Cup"/>
    <s v="Nibco Copper Cup"/>
    <s v=""/>
    <s v=""/>
    <s v=""/>
    <s v=""/>
    <s v=""/>
  </r>
  <r>
    <s v="85429ca3-4bcc-4f41-ae37-9a1d05de520c-005a6f8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8"/>
    <s v="PLA-CD-08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04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04f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20' - 0&quot;"/>
    <n v="20"/>
    <n v="1"/>
    <s v=""/>
    <s v=""/>
    <s v="PLA-CD-07"/>
    <s v="PLA-CD-07"/>
    <s v="Spooled"/>
    <s v="12981"/>
    <s v="1"/>
    <s v=""/>
    <s v="6.56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5429ca3-4bcc-4f41-ae37-9a1d05de520c-005a705f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109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2"/>
    <n v="1.25"/>
    <s v="1 1/4&quot;"/>
    <n v="1.25"/>
    <s v=""/>
    <s v=""/>
    <s v=""/>
    <s v=""/>
    <s v="2' - 7 1/4&quot;"/>
    <n v="2.6086999999999998"/>
    <n v="1"/>
    <s v=""/>
    <s v=""/>
    <s v="PLA-CD-05"/>
    <s v="PLA-CD-05"/>
    <s v="Spooled"/>
    <s v="12981"/>
    <s v="1"/>
    <s v=""/>
    <s v="1.7"/>
    <s v="PLAZA LEVEL"/>
    <s v="MEP Fabrication Pipework"/>
    <s v=""/>
    <s v="MDSK_MUE_000101-0001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85429ca3-4bcc-4f41-ae37-9a1d05de520c-005a751f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5"/>
    <s v="PLD-CD-05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552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563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4"/>
    <s v="PLD-CD-04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57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59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5a0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3"/>
    <s v="PLD-CD-03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5a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2"/>
    <s v="PLD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5c6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2"/>
    <s v="PLD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5f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5f3"/>
    <s v="UNC Carrington Hall Phase 2"/>
    <s v="120 Medical Drive, Chapel Hill, NC 27514"/>
    <s v="Condensate"/>
    <s v="A, C,D"/>
    <s v="87400403"/>
    <s v=""/>
    <m/>
    <s v=""/>
    <n v="2522"/>
    <x v="1"/>
    <x v="1"/>
    <s v="AGM: Condensate Drain (CD)"/>
    <s v="CD"/>
    <s v=""/>
    <x v="11"/>
    <s v="Wrot"/>
    <s v="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D-CD-01"/>
    <s v="PLD-CD-01"/>
    <s v="Spooled"/>
    <s v="12981"/>
    <s v="4"/>
    <s v=""/>
    <s v="0.22"/>
    <s v="PLAZA LEVEL"/>
    <s v="MEP Fabrication Pipework"/>
    <s v=""/>
    <s v="MDSK_NIB_000060-0012"/>
    <s v=""/>
    <s v=""/>
    <s v=""/>
    <m/>
    <s v=""/>
    <s v=""/>
    <m/>
    <s v="Nibco Copper Cup (Coupling)"/>
    <s v="Nibco Copper Cup (Coupling)"/>
    <s v=""/>
    <s v=""/>
    <s v=""/>
    <s v=""/>
    <s v=""/>
    <s v=""/>
  </r>
  <r>
    <s v="85429ca3-4bcc-4f41-ae37-9a1d05de520c-005a75f6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1"/>
    <s v="PLD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612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1"/>
    <s v="PLD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65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67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7"/>
    <s v="PLC-CD-07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69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6b6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35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b7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bb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d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e2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7e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1"/>
    <s v="PLC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5429ca3-4bcc-4f41-ae37-9a1d05de520c-005a77f0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1"/>
    <s v="PLC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5429ca3-4bcc-4f41-ae37-9a1d05de520c-005a7809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1"/>
    <s v="PLC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a1a49aa-23cd-44b4-9b47-13d0ff0419f4-005a8886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0"/>
    <n v="1.5"/>
    <s v="1 1/2&quot;"/>
    <n v="1.5"/>
    <s v="1 1/2&quot;"/>
    <s v=""/>
    <s v=""/>
    <s v=""/>
    <s v=""/>
    <m/>
    <n v="1"/>
    <s v=""/>
    <s v=""/>
    <s v="PLC-CD-03"/>
    <s v="PLC-CD-03"/>
    <s v="Spooled"/>
    <s v="12981"/>
    <s v="2"/>
    <s v=""/>
    <s v="0.49"/>
    <s v="PLAZA LEVEL"/>
    <s v="MEP Fabrication Pipework"/>
    <s v=""/>
    <s v="MDSK_NIB_000054-0002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8a1a49aa-23cd-44b4-9b47-13d0ff0419f4-005a88b8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9' - 11 3/4&quot;"/>
    <n v="9.9764999999999997"/>
    <n v="1"/>
    <s v=""/>
    <s v=""/>
    <s v="PLC-CD-05"/>
    <s v="PLC-CD-05"/>
    <s v="Spooled"/>
    <s v="12981"/>
    <s v="1"/>
    <s v=""/>
    <s v="8.07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8a1a49aa-23cd-44b4-9b47-13d0ff0419f4-005a88bb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a1a49aa-23cd-44b4-9b47-13d0ff0419f4-005a88cf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0' - 5 7/8&quot;"/>
    <n v="0.49070000000000003"/>
    <n v="1"/>
    <s v=""/>
    <s v=""/>
    <s v="PLC-CD-04"/>
    <s v="PLC-CD-04"/>
    <s v="Spooled"/>
    <s v="12981"/>
    <s v="1"/>
    <s v=""/>
    <s v="0.4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8a1a49aa-23cd-44b4-9b47-13d0ff0419f4-005a88ef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a1a49aa-23cd-44b4-9b47-13d0ff0419f4-005a8a25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4"/>
    <s v="DWV"/>
    <s v="45"/>
    <s v="Nibco"/>
    <s v="BIMrxDBS"/>
    <x v="0"/>
    <s v="Cu"/>
    <x v="0"/>
    <n v="1.5"/>
    <s v="1 1/2&quot;"/>
    <n v="1.5"/>
    <s v=""/>
    <s v=""/>
    <s v=""/>
    <s v=""/>
    <s v=""/>
    <m/>
    <n v="1"/>
    <s v=""/>
    <s v=""/>
    <s v="PLC-CD-04"/>
    <s v="PLC-CD-04"/>
    <s v="Spooled"/>
    <s v="12981"/>
    <s v="3"/>
    <s v=""/>
    <s v="0.21"/>
    <s v="PLAZA LEVEL"/>
    <s v="MEP Fabrication Pipework"/>
    <s v=""/>
    <s v="MDSK_NIB_000049-0002"/>
    <s v=""/>
    <s v=""/>
    <s v=""/>
    <m/>
    <s v=""/>
    <s v=""/>
    <m/>
    <s v="Nibco Copper (DWV) Cup"/>
    <s v="Nibco Copper (DWV) Cup"/>
    <s v=""/>
    <s v=""/>
    <s v=""/>
    <s v=""/>
    <s v=""/>
    <s v=""/>
  </r>
  <r>
    <s v="8a1a49aa-23cd-44b4-9b47-13d0ff0419f4-005a8a2d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4"/>
    <s v="PLC-CD-04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a1a49aa-23cd-44b4-9b47-13d0ff0419f4-005a8a39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2' - 6 7/8&quot;"/>
    <n v="2.5764"/>
    <n v="1"/>
    <s v=""/>
    <s v=""/>
    <s v="PLC-CD-04"/>
    <s v="PLC-CD-04"/>
    <s v="Spooled"/>
    <s v="12981"/>
    <s v="2"/>
    <s v=""/>
    <s v="2.08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8a1a49aa-23cd-44b4-9b47-13d0ff0419f4-005a8a5d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4"/>
    <s v="PLC-CD-04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b11114-ba35-44a3-a2e1-77c1d63343fe-005a9089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b11114-ba35-44a3-a2e1-77c1d63343fe-005a9c0d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b11114-ba35-44a3-a2e1-77c1d63343fe-005a9de2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9b11114-ba35-44a3-a2e1-77c1d63343fe-005a9e69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1"/>
    <s v="PLD-CD-01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b11114-ba35-44a3-a2e1-77c1d63343fe-005a9e7d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6"/>
    <s v="PLC-CD-06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9b11114-ba35-44a3-a2e1-77c1d63343fe-005a9e8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2"/>
    <s v="PLC-CD-02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abf8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2"/>
    <n v="1.25"/>
    <s v="1 1/4&quot;"/>
    <n v="1.25"/>
    <s v="1 1/4&quot;"/>
    <s v=""/>
    <s v=""/>
    <s v=""/>
    <s v=""/>
    <m/>
    <n v="1"/>
    <s v=""/>
    <s v=""/>
    <s v="PLA-CD-05"/>
    <s v="PLA-CD-05"/>
    <s v="Spooled"/>
    <s v="12981"/>
    <s v="3"/>
    <s v=""/>
    <s v="0.32"/>
    <s v="PLAZA LEVEL"/>
    <s v="MEP Fabrication Pipework"/>
    <s v=""/>
    <s v="MDSK_NIB_000054-0001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fa79b914-eb2b-43ae-bee8-973517d36efb-005aac4c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2"/>
    <n v="1.25"/>
    <s v="1 1/4&quot;"/>
    <n v="1.25"/>
    <s v=""/>
    <s v=""/>
    <s v=""/>
    <s v=""/>
    <s v="2' - 10 1/2&quot;"/>
    <n v="2.8721000000000001"/>
    <n v="1"/>
    <s v=""/>
    <s v=""/>
    <s v="PLA-CD-06"/>
    <s v="PLA-CD-06"/>
    <s v="Spooled"/>
    <s v="12981"/>
    <s v="1"/>
    <s v=""/>
    <s v="1.87"/>
    <s v="PLAZA LEVEL"/>
    <s v="MEP Fabrication Pipework"/>
    <s v=""/>
    <s v="MDSK_MUE_000101-0001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fa79b914-eb2b-43ae-bee8-973517d36efb-005aac4f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ac5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5"/>
    <s v="PLA-CD-05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ace3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2"/>
    <n v="1.25"/>
    <s v="1 1/4&quot;"/>
    <n v="1.25"/>
    <s v=""/>
    <s v=""/>
    <s v=""/>
    <s v=""/>
    <s v="12' - 5 5/8&quot;"/>
    <n v="12.4688"/>
    <n v="1"/>
    <s v=""/>
    <s v=""/>
    <s v="PLA-CD-04"/>
    <s v="PLA-CD-04"/>
    <s v="Spooled"/>
    <s v="12981"/>
    <s v="1"/>
    <s v=""/>
    <s v="8.1"/>
    <s v="PLAZA LEVEL"/>
    <s v="MEP Fabrication Pipework"/>
    <s v=""/>
    <s v="MDSK_MUE_000101-0001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fa79b914-eb2b-43ae-bee8-973517d36efb-005aae15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2"/>
    <n v="1.25"/>
    <s v="1 1/4&quot;"/>
    <n v="1.25"/>
    <s v="1 1/4&quot;"/>
    <s v=""/>
    <s v=""/>
    <s v=""/>
    <s v=""/>
    <m/>
    <n v="1"/>
    <s v=""/>
    <s v=""/>
    <s v="PLA-CD-04"/>
    <s v="PLA-CD-04"/>
    <s v="Spooled"/>
    <s v="12981"/>
    <s v="2"/>
    <s v=""/>
    <s v="0.32"/>
    <s v="PLAZA LEVEL"/>
    <s v="MEP Fabrication Pipework"/>
    <s v=""/>
    <s v="MDSK_NIB_000054-0001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fa79b914-eb2b-43ae-bee8-973517d36efb-005aae5c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4"/>
    <s v="PLA-CD-04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ae89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ae9b"/>
    <s v="UNC Carrington Hall Phase 2"/>
    <s v="120 Medical Drive, Chapel Hill, NC 27514"/>
    <s v="Condensate"/>
    <s v="A, C,D"/>
    <s v="87400403"/>
    <s v=""/>
    <m/>
    <s v=""/>
    <n v="2522"/>
    <x v="1"/>
    <x v="0"/>
    <s v="AGM: Condensate Drain (CD)"/>
    <s v="CD"/>
    <s v=""/>
    <x v="9"/>
    <s v="DWV"/>
    <s v=""/>
    <s v="Nibco"/>
    <s v="BIMrxDBS"/>
    <x v="0"/>
    <s v="Cu"/>
    <x v="2"/>
    <n v="1.25"/>
    <s v="1 1/4&quot;"/>
    <n v="1.25"/>
    <s v=""/>
    <s v=""/>
    <s v=""/>
    <s v=""/>
    <s v=""/>
    <m/>
    <n v="1"/>
    <s v=""/>
    <s v=""/>
    <s v="PLA-CD-04"/>
    <s v="PLA-CD-04"/>
    <s v="Spooled"/>
    <s v="12981"/>
    <s v="3"/>
    <s v=""/>
    <s v="0.49"/>
    <s v="PLAZA LEVEL"/>
    <s v="MEP Fabrication Pipework"/>
    <s v=""/>
    <s v="MDSK_NIB_000320-0001"/>
    <s v=""/>
    <s v=""/>
    <s v=""/>
    <m/>
    <s v=""/>
    <s v=""/>
    <m/>
    <s v="Nibco Copper Plain End"/>
    <s v="Nibco Copper (Cast) Blank (Plug Square End)"/>
    <s v=""/>
    <s v=""/>
    <s v=""/>
    <s v=""/>
    <s v=""/>
    <s v=""/>
  </r>
  <r>
    <s v="fa79b914-eb2b-43ae-bee8-973517d36efb-005aaea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4"/>
    <s v="PLA-CD-04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af92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2"/>
    <n v="1.25"/>
    <s v="1 1/4&quot;"/>
    <n v="1.25"/>
    <s v=""/>
    <s v=""/>
    <s v=""/>
    <s v=""/>
    <s v=""/>
    <m/>
    <n v="1"/>
    <s v=""/>
    <s v=""/>
    <s v="PLA-CD-04"/>
    <s v="PLA-CD-04"/>
    <s v="Spooled"/>
    <s v="12981"/>
    <s v="4"/>
    <s v=""/>
    <s v="0.18"/>
    <s v="PLAZA LEVEL"/>
    <s v="MEP Fabrication Pipework"/>
    <s v=""/>
    <s v="MDSK_NIB_000051-0001"/>
    <s v=""/>
    <s v=""/>
    <s v=""/>
    <m/>
    <s v=""/>
    <s v=""/>
    <m/>
    <s v="Nibco Copper (DWV) Cup"/>
    <s v="Nibco Copper (DWV) Cup"/>
    <s v=""/>
    <s v=""/>
    <s v=""/>
    <s v=""/>
    <s v=""/>
    <s v=""/>
  </r>
  <r>
    <s v="fa79b914-eb2b-43ae-bee8-973517d36efb-005aafa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4"/>
    <s v="PLA-CD-04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aff0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2"/>
    <n v="1.25"/>
    <s v="1 1/4&quot;"/>
    <n v="1.25"/>
    <s v=""/>
    <s v=""/>
    <s v=""/>
    <s v=""/>
    <s v="1' - 10 5/8&quot;"/>
    <n v="1.885"/>
    <n v="1"/>
    <s v=""/>
    <s v=""/>
    <s v="PLA-CD-03"/>
    <s v="PLA-CD-03"/>
    <s v="Spooled"/>
    <s v="12981"/>
    <s v="1"/>
    <s v=""/>
    <s v="1.23"/>
    <s v="PLAZA LEVEL"/>
    <s v="MEP Fabrication Pipework"/>
    <s v=""/>
    <s v="MDSK_MUE_000101-0001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fa79b914-eb2b-43ae-bee8-973517d36efb-005ab012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b09f"/>
    <s v="UNC Carrington Hall Phase 2"/>
    <s v="120 Medical Drive, Chapel Hill, NC 27514"/>
    <s v="Condensate"/>
    <s v="A, C,D"/>
    <s v="87400403"/>
    <s v=""/>
    <m/>
    <s v=""/>
    <n v="2523"/>
    <x v="1"/>
    <x v="0"/>
    <s v="AGM: Condensate Drain (CD)"/>
    <s v="CD"/>
    <s v=""/>
    <x v="1"/>
    <s v="DWV"/>
    <s v="90"/>
    <s v="Nibco"/>
    <s v="BIMrxDBS"/>
    <x v="0"/>
    <s v="Cu"/>
    <x v="2"/>
    <n v="1.25"/>
    <s v="1 1/4&quot;"/>
    <n v="1.25"/>
    <s v=""/>
    <s v=""/>
    <s v=""/>
    <s v=""/>
    <s v=""/>
    <m/>
    <n v="1"/>
    <s v=""/>
    <s v=""/>
    <s v="PLA-CD-03"/>
    <s v="PLA-CD-03"/>
    <s v="Spooled"/>
    <s v="12981"/>
    <s v="3"/>
    <s v=""/>
    <s v="0.18"/>
    <s v="PLAZA LEVEL"/>
    <s v="MEP Fabrication Pipework"/>
    <s v=""/>
    <s v="MDSK_NIB_000051-0001"/>
    <s v=""/>
    <s v=""/>
    <s v=""/>
    <m/>
    <s v=""/>
    <s v=""/>
    <m/>
    <s v="Nibco Copper (DWV) Cup"/>
    <s v="Nibco Copper (DWV) Cup"/>
    <s v=""/>
    <s v=""/>
    <s v=""/>
    <s v=""/>
    <s v=""/>
    <s v=""/>
  </r>
  <r>
    <s v="fa79b914-eb2b-43ae-bee8-973517d36efb-005ab0ab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3"/>
    <s v="PLA-CD-03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b132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2"/>
    <n v="1.25"/>
    <s v="1 1/4&quot;"/>
    <n v="1.25"/>
    <s v=""/>
    <s v=""/>
    <s v=""/>
    <s v=""/>
    <s v="5' - 10 5/8&quot;"/>
    <n v="5.8857999999999997"/>
    <n v="1"/>
    <s v=""/>
    <s v=""/>
    <s v="PLA-CD-03"/>
    <s v="PLA-CD-03"/>
    <s v="Spooled"/>
    <s v="12981"/>
    <s v="2"/>
    <s v=""/>
    <s v="3.83"/>
    <s v="PLAZA LEVEL"/>
    <s v="MEP Fabrication Pipework"/>
    <s v=""/>
    <s v="MDSK_MUE_000101-0001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fa79b914-eb2b-43ae-bee8-973517d36efb-005ab257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3"/>
    <s v="PLA-CD-03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b2c8"/>
    <s v="UNC Carrington Hall Phase 2"/>
    <s v="120 Medical Drive, Chapel Hill, NC 27514"/>
    <s v="Condensate"/>
    <s v="A, C,D"/>
    <s v="87400403"/>
    <s v=""/>
    <m/>
    <s v=""/>
    <n v="2900"/>
    <x v="1"/>
    <x v="0"/>
    <s v="AGM: Condensate Drain (CD)"/>
    <s v="CD"/>
    <s v=""/>
    <x v="3"/>
    <s v="DWV"/>
    <s v="T"/>
    <s v="Nibco"/>
    <s v="BIMrxDBS"/>
    <x v="0"/>
    <s v="Cu"/>
    <x v="2"/>
    <n v="1.25"/>
    <s v="1 1/4&quot;"/>
    <n v="1.25"/>
    <s v="1 1/4&quot;"/>
    <s v=""/>
    <s v=""/>
    <s v=""/>
    <s v=""/>
    <m/>
    <n v="1"/>
    <s v=""/>
    <s v=""/>
    <s v="PLA-CD-02"/>
    <s v="PLA-CD-02"/>
    <s v="Spooled"/>
    <s v="12981"/>
    <s v="2"/>
    <s v=""/>
    <s v="0.32"/>
    <s v="PLAZA LEVEL"/>
    <s v="MEP Fabrication Pipework"/>
    <s v=""/>
    <s v="MDSK_NIB_000054-0001"/>
    <s v=""/>
    <s v=""/>
    <s v=""/>
    <m/>
    <s v=""/>
    <s v=""/>
    <m/>
    <s v="Nibco Copper (DWV) Cup"/>
    <s v="Nibco Copper (DWV) Cup"/>
    <s v="Nibco Copper (DWV) Cup"/>
    <s v=""/>
    <s v=""/>
    <s v=""/>
    <s v=""/>
    <s v=""/>
  </r>
  <r>
    <s v="fa79b914-eb2b-43ae-bee8-973517d36efb-005ab340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2"/>
    <n v="1.25"/>
    <s v="1 1/4&quot;"/>
    <n v="1.25"/>
    <s v=""/>
    <s v=""/>
    <s v=""/>
    <s v=""/>
    <s v="12' - 6 3/8&quot;"/>
    <n v="12.533899999999999"/>
    <n v="1"/>
    <s v=""/>
    <s v=""/>
    <s v="PLA-CD-02"/>
    <s v="PLA-CD-02"/>
    <s v="Spooled"/>
    <s v="12981"/>
    <s v="1"/>
    <s v=""/>
    <s v="8.55"/>
    <s v="PLAZA LEVEL"/>
    <s v="MEP Fabrication Pipework"/>
    <s v=""/>
    <s v="MDSK_GEN_000402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fa79b914-eb2b-43ae-bee8-973517d36efb-005ab343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2"/>
    <s v="PLA-CD-02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b37f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fa79b914-eb2b-43ae-bee8-973517d36efb-005ab391"/>
    <s v="UNC Carrington Hall Phase 2"/>
    <s v="120 Medical Drive, Chapel Hill, NC 27514"/>
    <s v="Condensate"/>
    <s v="A, C,D"/>
    <s v="87400403"/>
    <s v=""/>
    <m/>
    <s v=""/>
    <n v="2522"/>
    <x v="1"/>
    <x v="0"/>
    <s v="AGM: Condensate Drain (CD)"/>
    <s v="CD"/>
    <s v=""/>
    <x v="9"/>
    <s v="DWV"/>
    <s v=""/>
    <s v="Nibco"/>
    <s v="BIMrxDBS"/>
    <x v="0"/>
    <s v="Cu"/>
    <x v="2"/>
    <n v="1.25"/>
    <s v="1 1/4&quot;"/>
    <n v="1.25"/>
    <s v=""/>
    <s v=""/>
    <s v=""/>
    <s v=""/>
    <s v=""/>
    <m/>
    <n v="1"/>
    <s v=""/>
    <s v=""/>
    <s v="PLA-CD-02"/>
    <s v="PLA-CD-02"/>
    <s v="Spooled"/>
    <s v="12981"/>
    <s v="3"/>
    <s v=""/>
    <s v="0.49"/>
    <s v="PLAZA LEVEL"/>
    <s v="MEP Fabrication Pipework"/>
    <s v=""/>
    <s v="MDSK_NIB_000320-0001"/>
    <s v=""/>
    <s v=""/>
    <s v=""/>
    <m/>
    <s v=""/>
    <s v=""/>
    <m/>
    <s v="Nibco Copper (Cast) Blank (Plug Square End)"/>
    <s v="Nibco Copper Plain End"/>
    <s v=""/>
    <s v=""/>
    <s v=""/>
    <s v=""/>
    <s v=""/>
    <s v=""/>
  </r>
  <r>
    <s v="fa79b914-eb2b-43ae-bee8-973517d36efb-005ab397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2"/>
    <s v="PLA-CD-02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b407"/>
    <s v="UNC Carrington Hall Phase 2"/>
    <s v="120 Medical Drive, Chapel Hill, NC 27514"/>
    <s v="Condensate"/>
    <s v="A, C,D"/>
    <s v="87400403"/>
    <s v=""/>
    <m/>
    <s v=""/>
    <n v="2051"/>
    <x v="1"/>
    <x v="1"/>
    <s v="AGM: Condensate Drain (CD)"/>
    <s v="CD"/>
    <s v=""/>
    <x v="12"/>
    <s v="Wrot"/>
    <s v=""/>
    <s v="Nibco"/>
    <s v="BIMrxDBS"/>
    <x v="0"/>
    <s v="Cu"/>
    <x v="3"/>
    <n v="1.25"/>
    <s v="1 1/4&quot;"/>
    <n v="0.75"/>
    <s v=""/>
    <s v=""/>
    <s v=""/>
    <s v=""/>
    <s v=""/>
    <m/>
    <n v="1"/>
    <s v=""/>
    <s v=""/>
    <s v="PLA-CD-05"/>
    <s v="PLA-CD-05"/>
    <s v="Spooled"/>
    <s v="12981"/>
    <s v="4"/>
    <s v=""/>
    <s v="0.16"/>
    <s v="PLAZA LEVEL"/>
    <s v="MEP Fabrication Pipework"/>
    <s v=""/>
    <s v="MDSK_NIB_000058-0018"/>
    <s v=""/>
    <s v=""/>
    <s v=""/>
    <m/>
    <s v=""/>
    <s v=""/>
    <m/>
    <s v="Nibco Copper Plain End"/>
    <s v="Nibco Copper Cup"/>
    <s v=""/>
    <s v=""/>
    <s v=""/>
    <s v=""/>
    <s v=""/>
    <s v=""/>
  </r>
  <r>
    <s v="fa79b914-eb2b-43ae-bee8-973517d36efb-005ab413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5"/>
    <s v="PLA-CD-05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b44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5"/>
    <s v="PLA-CD-05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fa79b914-eb2b-43ae-bee8-973517d36efb-005ab468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2"/>
    <n v="1.25"/>
    <s v="1 1/4&quot;"/>
    <n v="1.25"/>
    <s v=""/>
    <s v=""/>
    <s v=""/>
    <s v=""/>
    <s v="7' - 3 7/8&quot;"/>
    <n v="7.3197000000000001"/>
    <n v="1"/>
    <s v=""/>
    <s v=""/>
    <s v="PLA-CD-01"/>
    <s v="PLA-CD-01"/>
    <s v="Spooled"/>
    <s v="12981"/>
    <s v="1"/>
    <s v=""/>
    <s v="4.99"/>
    <s v="PLAZA LEVEL"/>
    <s v="MEP Fabrication Pipework"/>
    <s v=""/>
    <s v="MDSK_GEN_000402-0005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fa79b914-eb2b-43ae-bee8-973517d36efb-005ab4cc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2"/>
    <n v="1.25"/>
    <s v="1 1/4&quot;"/>
    <n v="1.25"/>
    <s v=""/>
    <s v=""/>
    <s v=""/>
    <s v=""/>
    <s v=""/>
    <m/>
    <n v="1"/>
    <s v=""/>
    <s v=""/>
    <s v="PLA-CD-01"/>
    <s v="PLA-CD-01"/>
    <s v="Spooled"/>
    <s v="12981"/>
    <s v=""/>
    <s v=""/>
    <s v=""/>
    <s v="PLAZA LEVEL"/>
    <s v="MEP Fabrication Pipework"/>
    <s v=""/>
    <s v="MDSK_JOINT_000036-0007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ecfacab4-0936-4f9e-a402-175eadb5c41c-005aba59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ecfacab4-0936-4f9e-a402-175eadb5c41c-005aba70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8"/>
    <s v="PLA-CD-08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47392e17-435f-400d-9f86-50906602dc57-005ac913"/>
    <s v="UNC Carrington Hall Phase 2"/>
    <s v="120 Medical Drive, Chapel Hill, NC 27514"/>
    <s v="Condensate"/>
    <s v="A, C,D"/>
    <s v="87400403"/>
    <s v=""/>
    <m/>
    <s v=""/>
    <n v="2060"/>
    <x v="1"/>
    <x v="0"/>
    <s v="AGM: Condensate Drain (CD)"/>
    <s v="CD"/>
    <s v=""/>
    <x v="13"/>
    <s v="DWV"/>
    <s v=""/>
    <s v="Nibco"/>
    <s v="BIMrxDBS"/>
    <x v="0"/>
    <s v="Cu"/>
    <x v="0"/>
    <n v="1.5"/>
    <s v="1 1/2&quot;"/>
    <m/>
    <s v=""/>
    <s v=""/>
    <s v=""/>
    <s v=""/>
    <s v=""/>
    <m/>
    <n v="1"/>
    <s v=""/>
    <s v=""/>
    <s v="PLC-CD-04"/>
    <s v="PLC-CD-04"/>
    <s v="Spooled"/>
    <s v="12981"/>
    <s v="4"/>
    <s v=""/>
    <s v="0.01"/>
    <s v="PLAZA LEVEL"/>
    <s v="MEP Fabrication Pipework"/>
    <s v=""/>
    <s v="MDSK_NIB_000055-0005"/>
    <s v=""/>
    <s v=""/>
    <s v=""/>
    <m/>
    <s v=""/>
    <s v=""/>
    <m/>
    <s v="Nibco Copper Cup (Cap)"/>
    <s v=""/>
    <s v=""/>
    <s v=""/>
    <s v=""/>
    <s v=""/>
    <s v=""/>
    <s v=""/>
  </r>
  <r>
    <s v="47392e17-435f-400d-9f86-50906602dc57-005ac91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4"/>
    <s v="PLC-CD-04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47392e17-435f-400d-9f86-50906602dc57-005ac91a"/>
    <s v="UNC Carrington Hall Phase 2"/>
    <s v="120 Medical Drive, Chapel Hill, NC 27514"/>
    <s v="Condensate"/>
    <s v="A, C,D"/>
    <s v="87400403"/>
    <s v=""/>
    <m/>
    <s v=""/>
    <n v="2060"/>
    <x v="1"/>
    <x v="0"/>
    <s v="AGM: Condensate Drain (CD)"/>
    <s v="CD"/>
    <s v=""/>
    <x v="13"/>
    <s v="DWV"/>
    <s v=""/>
    <s v="Nibco"/>
    <s v="BIMrxDBS"/>
    <x v="0"/>
    <s v="Cu"/>
    <x v="0"/>
    <n v="1.5"/>
    <s v="1 1/2&quot;"/>
    <m/>
    <s v=""/>
    <s v=""/>
    <s v=""/>
    <s v=""/>
    <s v=""/>
    <m/>
    <n v="1"/>
    <s v=""/>
    <s v=""/>
    <s v="PLC-CD-08"/>
    <s v="PLC-CD-08"/>
    <s v="Spooled"/>
    <s v="12981"/>
    <s v="2"/>
    <s v=""/>
    <s v="0.01"/>
    <s v="PLAZA LEVEL"/>
    <s v="MEP Fabrication Pipework"/>
    <s v=""/>
    <s v="MDSK_NIB_000055-0005"/>
    <s v=""/>
    <s v=""/>
    <s v=""/>
    <m/>
    <s v=""/>
    <s v=""/>
    <m/>
    <s v="Nibco Copper Cup (Cap)"/>
    <s v=""/>
    <s v=""/>
    <s v=""/>
    <s v=""/>
    <s v=""/>
    <s v=""/>
    <s v=""/>
  </r>
  <r>
    <s v="47392e17-435f-400d-9f86-50906602dc57-005ac91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8"/>
    <s v="PLC-CD-08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47392e17-435f-400d-9f86-50906602dc57-005ac920"/>
    <s v="UNC Carrington Hall Phase 2"/>
    <s v="120 Medical Drive, Chapel Hill, NC 27514"/>
    <s v="Condensate"/>
    <s v="A, C,D"/>
    <s v="87400403"/>
    <s v=""/>
    <m/>
    <s v=""/>
    <n v="2060"/>
    <x v="1"/>
    <x v="0"/>
    <s v="AGM: Condensate Drain (CD)"/>
    <s v="CD"/>
    <s v=""/>
    <x v="13"/>
    <s v="DWV"/>
    <s v=""/>
    <s v="Nibco"/>
    <s v="BIMrxDBS"/>
    <x v="0"/>
    <s v="Cu"/>
    <x v="0"/>
    <n v="1.5"/>
    <s v="1 1/2&quot;"/>
    <m/>
    <s v=""/>
    <s v=""/>
    <s v=""/>
    <s v=""/>
    <s v=""/>
    <m/>
    <n v="1"/>
    <s v=""/>
    <s v=""/>
    <s v="PLD-CD-05"/>
    <s v="PLD-CD-05"/>
    <s v="Spooled"/>
    <s v="12981"/>
    <s v="3"/>
    <s v=""/>
    <s v="0.01"/>
    <s v="PLAZA LEVEL"/>
    <s v="MEP Fabrication Pipework"/>
    <s v=""/>
    <s v="MDSK_NIB_000055-0005"/>
    <s v=""/>
    <s v=""/>
    <s v=""/>
    <m/>
    <s v=""/>
    <s v=""/>
    <m/>
    <s v="Nibco Copper Cup (Cap)"/>
    <s v=""/>
    <s v=""/>
    <s v=""/>
    <s v=""/>
    <s v=""/>
    <s v=""/>
    <s v=""/>
  </r>
  <r>
    <s v="47392e17-435f-400d-9f86-50906602dc57-005ac92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D-CD-05"/>
    <s v="PLD-CD-05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47392e17-435f-400d-9f86-50906602dc57-005aca04"/>
    <s v="UNC Carrington Hall Phase 2"/>
    <s v="120 Medical Drive, Chapel Hill, NC 27514"/>
    <s v="Condensate"/>
    <s v="A, C,D"/>
    <s v="87400403"/>
    <s v=""/>
    <m/>
    <s v=""/>
    <n v="2041"/>
    <x v="0"/>
    <x v="0"/>
    <s v="AGM: Condensate Drain (CD)"/>
    <s v="CD"/>
    <s v=""/>
    <x v="0"/>
    <s v="DWV"/>
    <s v=""/>
    <s v="Mueller"/>
    <s v="BIMrxDBS"/>
    <x v="0"/>
    <s v="Cu"/>
    <x v="0"/>
    <n v="1.5"/>
    <s v="1 1/2&quot;"/>
    <n v="1.5"/>
    <s v=""/>
    <s v=""/>
    <s v=""/>
    <s v=""/>
    <s v="18' - 7 1/4&quot;"/>
    <n v="18.603899999999999"/>
    <n v="1"/>
    <s v=""/>
    <s v=""/>
    <s v="PLC-CD-03"/>
    <s v="PLC-CD-03"/>
    <s v="Spooled"/>
    <s v="12981"/>
    <s v="1"/>
    <s v=""/>
    <s v="15.05"/>
    <s v="PLAZA LEVEL"/>
    <s v="MEP Fabrication Pipework"/>
    <s v=""/>
    <s v="MDSK_MUE_000101-0002"/>
    <s v=""/>
    <s v=""/>
    <s v=""/>
    <m/>
    <s v=""/>
    <s v=""/>
    <m/>
    <s v="Mueller Copper Plain End (Pipe)"/>
    <s v="Mueller Copper Plain End (Pipe)"/>
    <s v=""/>
    <s v=""/>
    <s v=""/>
    <s v=""/>
    <s v=""/>
    <s v=""/>
  </r>
  <r>
    <s v="47392e17-435f-400d-9f86-50906602dc57-005acade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3"/>
    <s v="PLC-CD-03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47392e17-435f-400d-9f86-50906602dc57-005acc28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9a9e7fe-b244-49c4-adeb-5412e802ece3-005ace1f"/>
    <s v="UNC Carrington Hall Phase 2"/>
    <s v="120 Medical Drive, Chapel Hill, NC 27514"/>
    <s v="Condensate"/>
    <s v="A, C,D"/>
    <s v="87400403"/>
    <s v=""/>
    <m/>
    <s v=""/>
    <n v="2060"/>
    <x v="1"/>
    <x v="1"/>
    <s v="AGM: Condensate Drain (CD)"/>
    <s v="CD"/>
    <s v=""/>
    <x v="14"/>
    <s v="Wrot"/>
    <s v=""/>
    <s v="Nibco"/>
    <s v="BIMrxDBS"/>
    <x v="0"/>
    <s v="Cu"/>
    <x v="1"/>
    <n v="0.75"/>
    <s v="3/4&quot;"/>
    <m/>
    <s v=""/>
    <s v=""/>
    <s v=""/>
    <s v=""/>
    <s v=""/>
    <m/>
    <n v="1"/>
    <s v=""/>
    <s v=""/>
    <s v="PLA-CD-10"/>
    <s v="PLA-CD-10"/>
    <s v="Spooled"/>
    <s v="12981"/>
    <s v="4"/>
    <s v=""/>
    <s v="0.05"/>
    <s v="PLAZA LEVEL"/>
    <s v="MEP Fabrication Pipework"/>
    <s v=""/>
    <s v="MDSK_NIB_000081-0006"/>
    <s v=""/>
    <s v=""/>
    <s v=""/>
    <m/>
    <s v=""/>
    <s v=""/>
    <m/>
    <s v="Nibco Copper Cup"/>
    <s v=""/>
    <s v=""/>
    <s v=""/>
    <s v=""/>
    <s v=""/>
    <s v=""/>
    <s v=""/>
  </r>
  <r>
    <s v="89a9e7fe-b244-49c4-adeb-5412e802ece3-005ace2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10"/>
    <s v="PLA-CD-10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9a9e7fe-b244-49c4-adeb-5412e802ece3-005ace27"/>
    <s v="UNC Carrington Hall Phase 2"/>
    <s v="120 Medical Drive, Chapel Hill, NC 27514"/>
    <s v="Condensate"/>
    <s v="A, C,D"/>
    <s v="87400403"/>
    <s v=""/>
    <m/>
    <s v=""/>
    <n v="2060"/>
    <x v="1"/>
    <x v="1"/>
    <s v="AGM: Condensate Drain (CD)"/>
    <s v="CD"/>
    <s v=""/>
    <x v="14"/>
    <s v="Wrot"/>
    <s v=""/>
    <s v="Nibco"/>
    <s v="BIMrxDBS"/>
    <x v="0"/>
    <s v="Cu"/>
    <x v="1"/>
    <n v="0.75"/>
    <s v="3/4&quot;"/>
    <m/>
    <s v=""/>
    <s v=""/>
    <s v=""/>
    <s v=""/>
    <s v=""/>
    <m/>
    <n v="1"/>
    <s v=""/>
    <s v=""/>
    <s v="PLA-CD-09"/>
    <s v="PLA-CD-09"/>
    <s v="Spooled"/>
    <s v="12981"/>
    <s v="2"/>
    <s v=""/>
    <s v="0.05"/>
    <s v="PLAZA LEVEL"/>
    <s v="MEP Fabrication Pipework"/>
    <s v=""/>
    <s v="MDSK_NIB_000081-0006"/>
    <s v=""/>
    <s v=""/>
    <s v=""/>
    <m/>
    <s v=""/>
    <s v=""/>
    <m/>
    <s v="Nibco Copper Cup"/>
    <s v=""/>
    <s v=""/>
    <s v=""/>
    <s v=""/>
    <s v=""/>
    <s v=""/>
    <s v=""/>
  </r>
  <r>
    <s v="89a9e7fe-b244-49c4-adeb-5412e802ece3-005ace2b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9"/>
    <s v="PLA-CD-09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a9e7fe-b244-49c4-adeb-5412e802ece3-005acf31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PLA-CD-07"/>
    <s v="PLA-CD-07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1) (Male)"/>
    <s v="Generic Soldered Joint (C2) (Female)"/>
    <s v=""/>
    <s v=""/>
    <s v=""/>
    <s v=""/>
    <s v=""/>
    <s v=""/>
  </r>
  <r>
    <s v="89a9e7fe-b244-49c4-adeb-5412e802ece3-005acf33"/>
    <s v="UNC Carrington Hall Phase 2"/>
    <s v="120 Medical Drive, Chapel Hill, NC 27514"/>
    <s v="Condensate"/>
    <s v="A, C,D"/>
    <s v="87400403"/>
    <s v=""/>
    <m/>
    <s v=""/>
    <n v="2522"/>
    <x v="1"/>
    <x v="1"/>
    <s v="AGM: Condensate Drain (CD)"/>
    <s v="CD"/>
    <s v=""/>
    <x v="11"/>
    <s v="Wrot"/>
    <s v=""/>
    <s v="Nibco"/>
    <s v="BIMrxDBS"/>
    <x v="0"/>
    <s v="Cu"/>
    <x v="1"/>
    <n v="0.75"/>
    <s v="3/4&quot;"/>
    <n v="0.75"/>
    <s v=""/>
    <s v=""/>
    <s v=""/>
    <s v=""/>
    <s v=""/>
    <m/>
    <n v="1"/>
    <s v=""/>
    <s v=""/>
    <s v="PLA-CD-07"/>
    <s v="PLA-CD-07"/>
    <s v="Spooled"/>
    <s v="12981"/>
    <s v="2"/>
    <s v=""/>
    <s v="0.06"/>
    <s v="PLAZA LEVEL"/>
    <s v="MEP Fabrication Pipework"/>
    <s v=""/>
    <s v="MDSK_NIB_000060-0008"/>
    <s v=""/>
    <s v=""/>
    <s v=""/>
    <m/>
    <s v=""/>
    <s v=""/>
    <m/>
    <s v="Nibco Copper Cup (Coupling)"/>
    <s v="Nibco Copper Cup (Coupling)"/>
    <s v=""/>
    <s v=""/>
    <s v=""/>
    <s v=""/>
    <s v=""/>
    <s v=""/>
  </r>
  <r>
    <s v="89a9e7fe-b244-49c4-adeb-5412e802ece3-005acf36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1"/>
    <n v="0.75"/>
    <s v="3/4&quot;"/>
    <n v="0.75"/>
    <s v=""/>
    <s v=""/>
    <s v=""/>
    <s v=""/>
    <s v=""/>
    <m/>
    <n v="1"/>
    <s v=""/>
    <s v=""/>
    <s v=""/>
    <s v=""/>
    <s v="Spooled"/>
    <s v="12981"/>
    <s v=""/>
    <s v=""/>
    <s v=""/>
    <s v="PLAZA LEVEL"/>
    <s v="MEP Fabrication Pipework"/>
    <s v=""/>
    <s v="MDSK_JOINT_000036-0005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s v="89a9e7fe-b244-49c4-adeb-5412e802ece3-005acf38"/>
    <s v="UNC Carrington Hall Phase 2"/>
    <s v="120 Medical Drive, Chapel Hill, NC 27514"/>
    <s v="Condensate"/>
    <s v="A, C,D"/>
    <s v="87400403"/>
    <s v=""/>
    <m/>
    <s v=""/>
    <n v="2041"/>
    <x v="0"/>
    <x v="1"/>
    <s v="AGM: Condensate Drain (CD)"/>
    <s v="CD"/>
    <s v=""/>
    <x v="5"/>
    <s v="Type M"/>
    <s v=""/>
    <s v="(Generic)"/>
    <s v="BIMrxDBS"/>
    <x v="0"/>
    <s v="Cu"/>
    <x v="1"/>
    <n v="0.75"/>
    <s v="3/4&quot;"/>
    <n v="0.75"/>
    <s v=""/>
    <s v=""/>
    <s v=""/>
    <s v=""/>
    <s v="0' - 3 1/8&quot;"/>
    <n v="0.26100000000000001"/>
    <n v="1"/>
    <s v=""/>
    <s v=""/>
    <s v="PLA-CD-05"/>
    <s v="PLA-CD-05"/>
    <s v="Spooled"/>
    <s v="12981"/>
    <s v="2"/>
    <s v=""/>
    <s v="0.09"/>
    <s v="PLAZA LEVEL"/>
    <s v="MEP Fabrication Pipework"/>
    <s v=""/>
    <s v="MDSK_GEN_000402-0003"/>
    <s v=""/>
    <s v=""/>
    <s v=""/>
    <m/>
    <s v=""/>
    <s v=""/>
    <m/>
    <s v="Generic Copper Plain End (Pipe)"/>
    <s v="Generic Copper Plain End (Pipe)"/>
    <s v=""/>
    <s v=""/>
    <s v=""/>
    <s v=""/>
    <s v=""/>
    <s v=""/>
  </r>
  <r>
    <s v="89a9e7fe-b244-49c4-adeb-5412e802ece3-005acfe4"/>
    <s v="UNC Carrington Hall Phase 2"/>
    <s v="120 Medical Drive, Chapel Hill, NC 27514"/>
    <s v="Condensate"/>
    <s v="A, C,D"/>
    <s v="87400403"/>
    <s v=""/>
    <m/>
    <s v=""/>
    <n v="2522"/>
    <x v="1"/>
    <x v="2"/>
    <s v="AGM: Condensate Drain (CD)"/>
    <s v="CD"/>
    <s v=""/>
    <x v="10"/>
    <s v="Wrot"/>
    <s v=""/>
    <s v="Joint"/>
    <s v="BIMrxDBS"/>
    <x v="0"/>
    <s v="Cu"/>
    <x v="0"/>
    <n v="1.5"/>
    <s v="1 1/2&quot;"/>
    <n v="1.5"/>
    <s v=""/>
    <s v=""/>
    <s v=""/>
    <s v=""/>
    <s v=""/>
    <m/>
    <n v="1"/>
    <s v=""/>
    <s v=""/>
    <s v="PLC-CD-06"/>
    <s v="PLC-CD-06"/>
    <s v="Spooled"/>
    <s v="12981"/>
    <s v=""/>
    <s v=""/>
    <s v=""/>
    <s v="PLAZA LEVEL"/>
    <s v="MEP Fabrication Pipework"/>
    <s v=""/>
    <s v="MDSK_JOINT_000036-0008"/>
    <s v=""/>
    <s v=""/>
    <s v=""/>
    <m/>
    <s v=""/>
    <s v=""/>
    <m/>
    <s v="Generic Soldered Joint (C2) (Female)"/>
    <s v="Generic Soldered Joint (C1) (Male)"/>
    <s v=""/>
    <s v=""/>
    <s v=""/>
    <s v=""/>
    <s v=""/>
    <s v=""/>
  </r>
  <r>
    <m/>
    <m/>
    <m/>
    <m/>
    <m/>
    <m/>
    <m/>
    <m/>
    <m/>
    <m/>
    <x v="2"/>
    <x v="3"/>
    <m/>
    <m/>
    <m/>
    <x v="15"/>
    <m/>
    <m/>
    <m/>
    <m/>
    <x v="2"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2"/>
    <x v="3"/>
    <m/>
    <m/>
    <m/>
    <x v="15"/>
    <m/>
    <m/>
    <m/>
    <m/>
    <x v="2"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237666ae-b89d-4571-bf0d-ccb06c53c266-0029890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4.375299999999999"/>
    <x v="0"/>
    <x v="0"/>
    <x v="0"/>
    <x v="0"/>
    <x v="0"/>
    <x v="0"/>
    <x v="0"/>
    <x v="0"/>
    <x v="0"/>
    <s v="11.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9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n v="7.0324"/>
    <x v="0"/>
    <x v="0"/>
    <x v="0"/>
    <x v="1"/>
    <x v="1"/>
    <x v="0"/>
    <x v="0"/>
    <x v="0"/>
    <x v="0"/>
    <s v="5.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91b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n v="11.966100000000001"/>
    <x v="0"/>
    <x v="0"/>
    <x v="0"/>
    <x v="2"/>
    <x v="2"/>
    <x v="0"/>
    <x v="0"/>
    <x v="0"/>
    <x v="0"/>
    <s v="9.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91e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n v="5.7019000000000002"/>
    <x v="0"/>
    <x v="0"/>
    <x v="0"/>
    <x v="3"/>
    <x v="3"/>
    <x v="0"/>
    <x v="0"/>
    <x v="0"/>
    <x v="0"/>
    <s v="4.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9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n v="9.9514999999999993"/>
    <x v="0"/>
    <x v="0"/>
    <x v="0"/>
    <x v="4"/>
    <x v="4"/>
    <x v="0"/>
    <x v="0"/>
    <x v="0"/>
    <x v="0"/>
    <s v="8.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92d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n v="10.5947"/>
    <x v="0"/>
    <x v="0"/>
    <x v="0"/>
    <x v="5"/>
    <x v="5"/>
    <x v="0"/>
    <x v="0"/>
    <x v="0"/>
    <x v="0"/>
    <s v="8.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7666ae-b89d-4571-bf0d-ccb06c53c266-00298b1a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0"/>
    <x v="0"/>
    <x v="0"/>
    <x v="0"/>
    <x v="0"/>
    <x v="0"/>
    <x v="0"/>
    <x v="0"/>
    <x v="6"/>
    <m/>
    <x v="0"/>
    <x v="0"/>
    <x v="0"/>
    <x v="3"/>
    <x v="3"/>
    <x v="0"/>
    <x v="0"/>
    <x v="1"/>
    <x v="0"/>
    <s v="0.32"/>
    <x v="0"/>
    <x v="0"/>
    <x v="0"/>
    <x v="1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acd491e1-b885-4972-b735-049e7ea592d7-002d5391"/>
    <x v="0"/>
    <x v="0"/>
    <x v="0"/>
    <x v="0"/>
    <x v="0"/>
    <x v="0"/>
    <x v="0"/>
    <x v="0"/>
    <x v="1"/>
    <x v="1"/>
    <x v="1"/>
    <x v="0"/>
    <x v="0"/>
    <x v="0"/>
    <x v="2"/>
    <x v="1"/>
    <x v="2"/>
    <x v="1"/>
    <x v="0"/>
    <x v="0"/>
    <x v="0"/>
    <x v="1"/>
    <x v="1"/>
    <x v="1"/>
    <x v="1"/>
    <x v="0"/>
    <x v="0"/>
    <x v="0"/>
    <x v="0"/>
    <x v="6"/>
    <m/>
    <x v="0"/>
    <x v="0"/>
    <x v="0"/>
    <x v="6"/>
    <x v="6"/>
    <x v="0"/>
    <x v="0"/>
    <x v="2"/>
    <x v="0"/>
    <s v="0.1"/>
    <x v="0"/>
    <x v="0"/>
    <x v="0"/>
    <x v="2"/>
    <x v="0"/>
    <x v="0"/>
    <x v="0"/>
    <x v="0"/>
    <x v="0"/>
    <x v="0"/>
    <x v="0"/>
    <x v="2"/>
    <x v="2"/>
    <x v="0"/>
    <x v="0"/>
    <x v="0"/>
    <x v="0"/>
    <x v="0"/>
    <x v="0"/>
    <x v="0"/>
    <x v="0"/>
    <x v="0"/>
    <x v="0"/>
    <x v="0"/>
    <x v="0"/>
    <x v="0"/>
    <x v="0"/>
  </r>
  <r>
    <s v="7d930897-721f-4ac6-99a2-c4061f4caacf-002e4fcb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5"/>
    <x v="5"/>
    <x v="0"/>
    <x v="0"/>
    <x v="1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7d930897-721f-4ac6-99a2-c4061f4caacf-002e50b9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1"/>
    <x v="1"/>
    <x v="0"/>
    <x v="0"/>
    <x v="3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7d930897-721f-4ac6-99a2-c4061f4caacf-002e50b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n v="3.2195"/>
    <x v="0"/>
    <x v="0"/>
    <x v="0"/>
    <x v="1"/>
    <x v="1"/>
    <x v="0"/>
    <x v="0"/>
    <x v="1"/>
    <x v="0"/>
    <s v="2.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8a53a3a-6131-4f99-ad98-2299de1c717f-0039d833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2"/>
    <x v="2"/>
    <x v="2"/>
    <x v="2"/>
    <x v="0"/>
    <x v="0"/>
    <x v="0"/>
    <x v="0"/>
    <x v="6"/>
    <m/>
    <x v="0"/>
    <x v="0"/>
    <x v="0"/>
    <x v="7"/>
    <x v="7"/>
    <x v="0"/>
    <x v="0"/>
    <x v="1"/>
    <x v="0"/>
    <s v="0.18"/>
    <x v="0"/>
    <x v="0"/>
    <x v="0"/>
    <x v="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d99e9a-ef70-4eb2-a4c4-46c949251837-003a59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n v="3.4117000000000002"/>
    <x v="0"/>
    <x v="0"/>
    <x v="0"/>
    <x v="8"/>
    <x v="8"/>
    <x v="0"/>
    <x v="0"/>
    <x v="0"/>
    <x v="0"/>
    <s v="2.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dbd99e9a-ef70-4eb2-a4c4-46c949251837-003a5d5b"/>
    <x v="0"/>
    <x v="0"/>
    <x v="0"/>
    <x v="0"/>
    <x v="0"/>
    <x v="0"/>
    <x v="0"/>
    <x v="0"/>
    <x v="1"/>
    <x v="1"/>
    <x v="0"/>
    <x v="0"/>
    <x v="0"/>
    <x v="0"/>
    <x v="4"/>
    <x v="0"/>
    <x v="2"/>
    <x v="1"/>
    <x v="0"/>
    <x v="0"/>
    <x v="0"/>
    <x v="0"/>
    <x v="0"/>
    <x v="0"/>
    <x v="0"/>
    <x v="0"/>
    <x v="0"/>
    <x v="0"/>
    <x v="0"/>
    <x v="6"/>
    <m/>
    <x v="0"/>
    <x v="0"/>
    <x v="0"/>
    <x v="8"/>
    <x v="8"/>
    <x v="0"/>
    <x v="0"/>
    <x v="2"/>
    <x v="0"/>
    <s v="0.21"/>
    <x v="0"/>
    <x v="0"/>
    <x v="0"/>
    <x v="5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dbd99e9a-ef70-4eb2-a4c4-46c949251837-003a5dce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0"/>
    <x v="0"/>
    <x v="0"/>
    <x v="0"/>
    <x v="0"/>
    <x v="0"/>
    <x v="0"/>
    <x v="0"/>
    <x v="9"/>
    <n v="2.7052"/>
    <x v="0"/>
    <x v="0"/>
    <x v="0"/>
    <x v="8"/>
    <x v="8"/>
    <x v="0"/>
    <x v="0"/>
    <x v="1"/>
    <x v="0"/>
    <s v="2.54"/>
    <x v="0"/>
    <x v="0"/>
    <x v="0"/>
    <x v="6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bd99e9a-ef70-4eb2-a4c4-46c949251837-003a5de6"/>
    <x v="0"/>
    <x v="0"/>
    <x v="0"/>
    <x v="0"/>
    <x v="0"/>
    <x v="0"/>
    <x v="0"/>
    <x v="0"/>
    <x v="1"/>
    <x v="1"/>
    <x v="0"/>
    <x v="0"/>
    <x v="0"/>
    <x v="0"/>
    <x v="4"/>
    <x v="0"/>
    <x v="2"/>
    <x v="1"/>
    <x v="0"/>
    <x v="0"/>
    <x v="0"/>
    <x v="0"/>
    <x v="0"/>
    <x v="0"/>
    <x v="0"/>
    <x v="0"/>
    <x v="0"/>
    <x v="0"/>
    <x v="0"/>
    <x v="6"/>
    <m/>
    <x v="0"/>
    <x v="0"/>
    <x v="0"/>
    <x v="8"/>
    <x v="8"/>
    <x v="0"/>
    <x v="0"/>
    <x v="2"/>
    <x v="0"/>
    <s v="0.21"/>
    <x v="0"/>
    <x v="0"/>
    <x v="0"/>
    <x v="5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65aed96e-d8a7-4ccf-98fd-fbdea0cdd39b-003a60c3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0"/>
    <x v="0"/>
    <x v="0"/>
    <x v="0"/>
    <x v="0"/>
    <x v="0"/>
    <x v="0"/>
    <x v="0"/>
    <x v="10"/>
    <n v="0.2213"/>
    <x v="0"/>
    <x v="0"/>
    <x v="0"/>
    <x v="1"/>
    <x v="1"/>
    <x v="0"/>
    <x v="0"/>
    <x v="2"/>
    <x v="0"/>
    <s v="0.21"/>
    <x v="0"/>
    <x v="0"/>
    <x v="0"/>
    <x v="6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65aed96e-d8a7-4ccf-98fd-fbdea0cdd39b-003a60da"/>
    <x v="0"/>
    <x v="0"/>
    <x v="0"/>
    <x v="0"/>
    <x v="0"/>
    <x v="0"/>
    <x v="0"/>
    <x v="0"/>
    <x v="1"/>
    <x v="1"/>
    <x v="0"/>
    <x v="0"/>
    <x v="0"/>
    <x v="0"/>
    <x v="4"/>
    <x v="0"/>
    <x v="2"/>
    <x v="1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4"/>
    <x v="0"/>
    <s v="0.21"/>
    <x v="0"/>
    <x v="0"/>
    <x v="0"/>
    <x v="5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0f74580a-526d-4be2-bbf1-94bf81eea1c4-003e17e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n v="2.3551000000000002"/>
    <x v="0"/>
    <x v="0"/>
    <x v="0"/>
    <x v="9"/>
    <x v="9"/>
    <x v="0"/>
    <x v="0"/>
    <x v="0"/>
    <x v="0"/>
    <s v="1.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f74580a-526d-4be2-bbf1-94bf81eea1c4-003e18eb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0"/>
    <x v="0"/>
    <x v="0"/>
    <x v="0"/>
    <x v="0"/>
    <x v="0"/>
    <x v="0"/>
    <x v="0"/>
    <x v="6"/>
    <m/>
    <x v="0"/>
    <x v="0"/>
    <x v="0"/>
    <x v="10"/>
    <x v="10"/>
    <x v="0"/>
    <x v="0"/>
    <x v="1"/>
    <x v="0"/>
    <s v="0.32"/>
    <x v="0"/>
    <x v="0"/>
    <x v="0"/>
    <x v="1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0f74580a-526d-4be2-bbf1-94bf81eea1c4-003e18ff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0"/>
    <x v="0"/>
    <x v="0"/>
    <x v="0"/>
    <x v="0"/>
    <x v="0"/>
    <x v="0"/>
    <x v="0"/>
    <x v="6"/>
    <m/>
    <x v="0"/>
    <x v="0"/>
    <x v="0"/>
    <x v="9"/>
    <x v="9"/>
    <x v="0"/>
    <x v="0"/>
    <x v="1"/>
    <x v="0"/>
    <s v="0.32"/>
    <x v="0"/>
    <x v="0"/>
    <x v="0"/>
    <x v="1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0f74580a-526d-4be2-bbf1-94bf81eea1c4-003e19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n v="1.4061999999999999"/>
    <x v="0"/>
    <x v="0"/>
    <x v="0"/>
    <x v="10"/>
    <x v="10"/>
    <x v="0"/>
    <x v="0"/>
    <x v="0"/>
    <x v="0"/>
    <s v="1.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f74580a-526d-4be2-bbf1-94bf81eea1c4-003e1a7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n v="0.45829999999999999"/>
    <x v="0"/>
    <x v="0"/>
    <x v="0"/>
    <x v="2"/>
    <x v="2"/>
    <x v="0"/>
    <x v="0"/>
    <x v="1"/>
    <x v="0"/>
    <s v="0.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0f74580a-526d-4be2-bbf1-94bf81eea1c4-003e1a95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0"/>
    <x v="0"/>
    <x v="0"/>
    <x v="0"/>
    <x v="0"/>
    <x v="0"/>
    <x v="0"/>
    <x v="0"/>
    <x v="6"/>
    <m/>
    <x v="0"/>
    <x v="0"/>
    <x v="0"/>
    <x v="2"/>
    <x v="2"/>
    <x v="0"/>
    <x v="0"/>
    <x v="2"/>
    <x v="0"/>
    <s v="0.32"/>
    <x v="0"/>
    <x v="0"/>
    <x v="0"/>
    <x v="1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3ccbd990-10d8-428a-b07b-f3acca3c5d24-005790f2"/>
    <x v="0"/>
    <x v="0"/>
    <x v="0"/>
    <x v="0"/>
    <x v="0"/>
    <x v="0"/>
    <x v="0"/>
    <x v="0"/>
    <x v="3"/>
    <x v="1"/>
    <x v="1"/>
    <x v="0"/>
    <x v="0"/>
    <x v="0"/>
    <x v="6"/>
    <x v="1"/>
    <x v="3"/>
    <x v="1"/>
    <x v="0"/>
    <x v="0"/>
    <x v="0"/>
    <x v="1"/>
    <x v="1"/>
    <x v="1"/>
    <x v="1"/>
    <x v="2"/>
    <x v="0"/>
    <x v="0"/>
    <x v="0"/>
    <x v="6"/>
    <m/>
    <x v="0"/>
    <x v="0"/>
    <x v="0"/>
    <x v="11"/>
    <x v="11"/>
    <x v="0"/>
    <x v="0"/>
    <x v="1"/>
    <x v="0"/>
    <s v="0.16"/>
    <x v="0"/>
    <x v="0"/>
    <x v="0"/>
    <x v="7"/>
    <x v="0"/>
    <x v="0"/>
    <x v="0"/>
    <x v="0"/>
    <x v="0"/>
    <x v="0"/>
    <x v="0"/>
    <x v="2"/>
    <x v="2"/>
    <x v="2"/>
    <x v="0"/>
    <x v="0"/>
    <x v="0"/>
    <x v="0"/>
    <x v="0"/>
    <x v="0"/>
    <x v="0"/>
    <x v="0"/>
    <x v="0"/>
    <x v="0"/>
    <x v="0"/>
    <x v="0"/>
    <x v="0"/>
  </r>
  <r>
    <s v="3ccbd990-10d8-428a-b07b-f3acca3c5d24-00579249"/>
    <x v="0"/>
    <x v="0"/>
    <x v="0"/>
    <x v="0"/>
    <x v="0"/>
    <x v="0"/>
    <x v="0"/>
    <x v="0"/>
    <x v="4"/>
    <x v="1"/>
    <x v="1"/>
    <x v="0"/>
    <x v="0"/>
    <x v="0"/>
    <x v="7"/>
    <x v="1"/>
    <x v="0"/>
    <x v="1"/>
    <x v="0"/>
    <x v="0"/>
    <x v="0"/>
    <x v="1"/>
    <x v="1"/>
    <x v="1"/>
    <x v="1"/>
    <x v="0"/>
    <x v="0"/>
    <x v="0"/>
    <x v="0"/>
    <x v="6"/>
    <m/>
    <x v="0"/>
    <x v="0"/>
    <x v="0"/>
    <x v="11"/>
    <x v="11"/>
    <x v="0"/>
    <x v="0"/>
    <x v="2"/>
    <x v="0"/>
    <s v="0.13"/>
    <x v="0"/>
    <x v="0"/>
    <x v="0"/>
    <x v="8"/>
    <x v="0"/>
    <x v="0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ccbd990-10d8-428a-b07b-f3acca3c5d24-00579266"/>
    <x v="0"/>
    <x v="0"/>
    <x v="0"/>
    <x v="0"/>
    <x v="0"/>
    <x v="0"/>
    <x v="0"/>
    <x v="0"/>
    <x v="5"/>
    <x v="1"/>
    <x v="2"/>
    <x v="0"/>
    <x v="0"/>
    <x v="0"/>
    <x v="8"/>
    <x v="3"/>
    <x v="0"/>
    <x v="3"/>
    <x v="0"/>
    <x v="0"/>
    <x v="0"/>
    <x v="1"/>
    <x v="1"/>
    <x v="1"/>
    <x v="1"/>
    <x v="0"/>
    <x v="0"/>
    <x v="0"/>
    <x v="0"/>
    <x v="6"/>
    <m/>
    <x v="0"/>
    <x v="0"/>
    <x v="0"/>
    <x v="11"/>
    <x v="11"/>
    <x v="0"/>
    <x v="0"/>
    <x v="3"/>
    <x v="0"/>
    <s v="0.08"/>
    <x v="0"/>
    <x v="0"/>
    <x v="0"/>
    <x v="9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3ccbd990-10d8-428a-b07b-f3acca3c5d24-0057926a"/>
    <x v="0"/>
    <x v="0"/>
    <x v="0"/>
    <x v="0"/>
    <x v="0"/>
    <x v="0"/>
    <x v="0"/>
    <x v="0"/>
    <x v="4"/>
    <x v="1"/>
    <x v="2"/>
    <x v="0"/>
    <x v="0"/>
    <x v="0"/>
    <x v="8"/>
    <x v="3"/>
    <x v="0"/>
    <x v="3"/>
    <x v="0"/>
    <x v="1"/>
    <x v="1"/>
    <x v="1"/>
    <x v="1"/>
    <x v="1"/>
    <x v="1"/>
    <x v="0"/>
    <x v="0"/>
    <x v="0"/>
    <x v="0"/>
    <x v="6"/>
    <m/>
    <x v="0"/>
    <x v="0"/>
    <x v="0"/>
    <x v="11"/>
    <x v="11"/>
    <x v="0"/>
    <x v="0"/>
    <x v="5"/>
    <x v="0"/>
    <s v=""/>
    <x v="0"/>
    <x v="0"/>
    <x v="0"/>
    <x v="10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8ba1ce2a-f395-4c11-a8a2-e2bafdf840d3-0057bb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n v="11.264099999999999"/>
    <x v="0"/>
    <x v="0"/>
    <x v="0"/>
    <x v="12"/>
    <x v="12"/>
    <x v="0"/>
    <x v="0"/>
    <x v="0"/>
    <x v="0"/>
    <s v="9.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ba1ce2a-f395-4c11-a8a2-e2bafdf840d3-0057bbfb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12"/>
    <x v="12"/>
    <x v="0"/>
    <x v="0"/>
    <x v="1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8ba1ce2a-f395-4c11-a8a2-e2bafdf840d3-0057bc5b"/>
    <x v="0"/>
    <x v="0"/>
    <x v="0"/>
    <x v="0"/>
    <x v="0"/>
    <x v="0"/>
    <x v="0"/>
    <x v="0"/>
    <x v="4"/>
    <x v="1"/>
    <x v="0"/>
    <x v="0"/>
    <x v="0"/>
    <x v="0"/>
    <x v="9"/>
    <x v="0"/>
    <x v="0"/>
    <x v="1"/>
    <x v="0"/>
    <x v="0"/>
    <x v="0"/>
    <x v="0"/>
    <x v="0"/>
    <x v="0"/>
    <x v="0"/>
    <x v="0"/>
    <x v="0"/>
    <x v="0"/>
    <x v="0"/>
    <x v="6"/>
    <m/>
    <x v="0"/>
    <x v="0"/>
    <x v="0"/>
    <x v="12"/>
    <x v="12"/>
    <x v="0"/>
    <x v="0"/>
    <x v="2"/>
    <x v="0"/>
    <s v="0.59"/>
    <x v="0"/>
    <x v="0"/>
    <x v="0"/>
    <x v="11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8ba1ce2a-f395-4c11-a8a2-e2bafdf840d3-0057c022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0"/>
    <x v="0"/>
    <x v="0"/>
    <x v="0"/>
    <x v="1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8ba1ce2a-f395-4c11-a8a2-e2bafdf840d3-0057c096"/>
    <x v="0"/>
    <x v="0"/>
    <x v="0"/>
    <x v="0"/>
    <x v="0"/>
    <x v="0"/>
    <x v="0"/>
    <x v="0"/>
    <x v="4"/>
    <x v="1"/>
    <x v="0"/>
    <x v="0"/>
    <x v="0"/>
    <x v="0"/>
    <x v="9"/>
    <x v="0"/>
    <x v="0"/>
    <x v="1"/>
    <x v="0"/>
    <x v="0"/>
    <x v="0"/>
    <x v="0"/>
    <x v="0"/>
    <x v="0"/>
    <x v="0"/>
    <x v="0"/>
    <x v="0"/>
    <x v="0"/>
    <x v="0"/>
    <x v="6"/>
    <m/>
    <x v="0"/>
    <x v="0"/>
    <x v="0"/>
    <x v="0"/>
    <x v="0"/>
    <x v="0"/>
    <x v="0"/>
    <x v="2"/>
    <x v="0"/>
    <s v="0.59"/>
    <x v="0"/>
    <x v="0"/>
    <x v="0"/>
    <x v="11"/>
    <x v="0"/>
    <x v="0"/>
    <x v="0"/>
    <x v="0"/>
    <x v="0"/>
    <x v="0"/>
    <x v="0"/>
    <x v="8"/>
    <x v="4"/>
    <x v="0"/>
    <x v="0"/>
    <x v="0"/>
    <x v="0"/>
    <x v="0"/>
    <x v="0"/>
    <x v="0"/>
    <x v="0"/>
    <x v="0"/>
    <x v="0"/>
    <x v="0"/>
    <x v="0"/>
    <x v="0"/>
    <x v="0"/>
  </r>
  <r>
    <s v="8ba1ce2a-f395-4c11-a8a2-e2bafdf840d3-0057c0da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1"/>
    <x v="1"/>
    <x v="0"/>
    <x v="0"/>
    <x v="3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8ba1ce2a-f395-4c11-a8a2-e2bafdf840d3-0057c152"/>
    <x v="0"/>
    <x v="0"/>
    <x v="0"/>
    <x v="0"/>
    <x v="0"/>
    <x v="0"/>
    <x v="0"/>
    <x v="0"/>
    <x v="4"/>
    <x v="1"/>
    <x v="0"/>
    <x v="0"/>
    <x v="0"/>
    <x v="0"/>
    <x v="9"/>
    <x v="0"/>
    <x v="0"/>
    <x v="1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6"/>
    <x v="0"/>
    <s v="0.59"/>
    <x v="0"/>
    <x v="0"/>
    <x v="0"/>
    <x v="11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d7aae066-93ad-4262-9398-c70251b7b472-005a2844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15"/>
    <n v="7.1208999999999998"/>
    <x v="0"/>
    <x v="0"/>
    <x v="0"/>
    <x v="6"/>
    <x v="6"/>
    <x v="0"/>
    <x v="0"/>
    <x v="0"/>
    <x v="0"/>
    <s v="2.34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7aae066-93ad-4262-9398-c70251b7b472-005a28a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6"/>
    <x v="6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d7aae066-93ad-4262-9398-c70251b7b472-005a293b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16"/>
    <n v="0.89370000000000005"/>
    <x v="0"/>
    <x v="0"/>
    <x v="0"/>
    <x v="6"/>
    <x v="6"/>
    <x v="0"/>
    <x v="0"/>
    <x v="1"/>
    <x v="0"/>
    <s v="0.29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d7aae066-93ad-4262-9398-c70251b7b472-005a2957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6"/>
    <x v="6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d7aae066-93ad-4262-9398-c70251b7b472-005a2a59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17"/>
    <n v="0.94030000000000002"/>
    <x v="0"/>
    <x v="0"/>
    <x v="0"/>
    <x v="11"/>
    <x v="11"/>
    <x v="0"/>
    <x v="0"/>
    <x v="0"/>
    <x v="0"/>
    <s v="0.31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7abcb650-3317-42ae-96f0-d97d4a69d249-005a6204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18"/>
    <n v="8.9167000000000005"/>
    <x v="0"/>
    <x v="0"/>
    <x v="0"/>
    <x v="13"/>
    <x v="13"/>
    <x v="0"/>
    <x v="0"/>
    <x v="0"/>
    <x v="0"/>
    <s v="2.92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85429ca3-4bcc-4f41-ae37-9a1d05de520c-005a6f78"/>
    <x v="0"/>
    <x v="0"/>
    <x v="0"/>
    <x v="0"/>
    <x v="0"/>
    <x v="0"/>
    <x v="0"/>
    <x v="0"/>
    <x v="3"/>
    <x v="1"/>
    <x v="1"/>
    <x v="0"/>
    <x v="0"/>
    <x v="0"/>
    <x v="6"/>
    <x v="1"/>
    <x v="3"/>
    <x v="1"/>
    <x v="0"/>
    <x v="0"/>
    <x v="0"/>
    <x v="1"/>
    <x v="1"/>
    <x v="1"/>
    <x v="1"/>
    <x v="2"/>
    <x v="0"/>
    <x v="0"/>
    <x v="0"/>
    <x v="6"/>
    <m/>
    <x v="0"/>
    <x v="0"/>
    <x v="0"/>
    <x v="11"/>
    <x v="11"/>
    <x v="0"/>
    <x v="0"/>
    <x v="1"/>
    <x v="0"/>
    <s v="0.16"/>
    <x v="0"/>
    <x v="0"/>
    <x v="0"/>
    <x v="7"/>
    <x v="0"/>
    <x v="0"/>
    <x v="0"/>
    <x v="0"/>
    <x v="0"/>
    <x v="0"/>
    <x v="0"/>
    <x v="2"/>
    <x v="2"/>
    <x v="2"/>
    <x v="0"/>
    <x v="0"/>
    <x v="0"/>
    <x v="0"/>
    <x v="0"/>
    <x v="0"/>
    <x v="0"/>
    <x v="0"/>
    <x v="0"/>
    <x v="0"/>
    <x v="0"/>
    <x v="0"/>
    <x v="0"/>
  </r>
  <r>
    <s v="85429ca3-4bcc-4f41-ae37-9a1d05de520c-005a6f8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1"/>
    <x v="11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04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04f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19"/>
    <n v="20"/>
    <x v="0"/>
    <x v="0"/>
    <x v="0"/>
    <x v="15"/>
    <x v="15"/>
    <x v="0"/>
    <x v="0"/>
    <x v="0"/>
    <x v="0"/>
    <s v="6.56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85429ca3-4bcc-4f41-ae37-9a1d05de520c-005a705f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1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2"/>
    <x v="2"/>
    <x v="2"/>
    <x v="0"/>
    <x v="0"/>
    <x v="0"/>
    <x v="0"/>
    <x v="20"/>
    <n v="2.6086999999999998"/>
    <x v="0"/>
    <x v="0"/>
    <x v="0"/>
    <x v="16"/>
    <x v="16"/>
    <x v="0"/>
    <x v="0"/>
    <x v="0"/>
    <x v="0"/>
    <s v="1.7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1f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9"/>
    <x v="9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52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63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0"/>
    <x v="10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7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9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a0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3"/>
    <x v="3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a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2"/>
    <x v="2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c6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2"/>
    <x v="2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f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f3"/>
    <x v="0"/>
    <x v="0"/>
    <x v="0"/>
    <x v="0"/>
    <x v="0"/>
    <x v="0"/>
    <x v="0"/>
    <x v="0"/>
    <x v="4"/>
    <x v="1"/>
    <x v="1"/>
    <x v="0"/>
    <x v="0"/>
    <x v="0"/>
    <x v="11"/>
    <x v="1"/>
    <x v="0"/>
    <x v="1"/>
    <x v="0"/>
    <x v="0"/>
    <x v="0"/>
    <x v="0"/>
    <x v="0"/>
    <x v="0"/>
    <x v="0"/>
    <x v="0"/>
    <x v="0"/>
    <x v="0"/>
    <x v="0"/>
    <x v="6"/>
    <m/>
    <x v="0"/>
    <x v="0"/>
    <x v="0"/>
    <x v="12"/>
    <x v="12"/>
    <x v="0"/>
    <x v="0"/>
    <x v="3"/>
    <x v="0"/>
    <s v="0.22"/>
    <x v="0"/>
    <x v="0"/>
    <x v="0"/>
    <x v="16"/>
    <x v="0"/>
    <x v="0"/>
    <x v="0"/>
    <x v="0"/>
    <x v="0"/>
    <x v="0"/>
    <x v="0"/>
    <x v="11"/>
    <x v="10"/>
    <x v="0"/>
    <x v="0"/>
    <x v="0"/>
    <x v="0"/>
    <x v="0"/>
    <x v="0"/>
    <x v="0"/>
    <x v="0"/>
    <x v="0"/>
    <x v="0"/>
    <x v="0"/>
    <x v="0"/>
    <x v="0"/>
    <x v="0"/>
  </r>
  <r>
    <s v="85429ca3-4bcc-4f41-ae37-9a1d05de520c-005a75f6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2"/>
    <x v="12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612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2"/>
    <x v="12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65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67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5"/>
    <x v="5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69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6b6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35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b7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bb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d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e2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e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8"/>
    <x v="8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5429ca3-4bcc-4f41-ae37-9a1d05de520c-005a77f0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8"/>
    <x v="8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5429ca3-4bcc-4f41-ae37-9a1d05de520c-005a7809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8"/>
    <x v="8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a1a49aa-23cd-44b4-9b47-13d0ff0419f4-005a8886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0"/>
    <x v="0"/>
    <x v="0"/>
    <x v="0"/>
    <x v="1"/>
    <x v="0"/>
    <x v="0"/>
    <x v="0"/>
    <x v="6"/>
    <m/>
    <x v="0"/>
    <x v="0"/>
    <x v="0"/>
    <x v="17"/>
    <x v="17"/>
    <x v="0"/>
    <x v="0"/>
    <x v="1"/>
    <x v="0"/>
    <s v="0.49"/>
    <x v="0"/>
    <x v="0"/>
    <x v="0"/>
    <x v="3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8a1a49aa-23cd-44b4-9b47-13d0ff0419f4-005a88b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n v="9.9764999999999997"/>
    <x v="0"/>
    <x v="0"/>
    <x v="0"/>
    <x v="18"/>
    <x v="18"/>
    <x v="0"/>
    <x v="0"/>
    <x v="0"/>
    <x v="0"/>
    <s v="8.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a1a49aa-23cd-44b4-9b47-13d0ff0419f4-005a88bb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a1a49aa-23cd-44b4-9b47-13d0ff0419f4-005a88c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n v="0.49070000000000003"/>
    <x v="0"/>
    <x v="0"/>
    <x v="0"/>
    <x v="19"/>
    <x v="19"/>
    <x v="0"/>
    <x v="0"/>
    <x v="0"/>
    <x v="0"/>
    <s v="0.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a1a49aa-23cd-44b4-9b47-13d0ff0419f4-005a88ef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a1a49aa-23cd-44b4-9b47-13d0ff0419f4-005a8a25"/>
    <x v="0"/>
    <x v="0"/>
    <x v="0"/>
    <x v="0"/>
    <x v="0"/>
    <x v="0"/>
    <x v="0"/>
    <x v="0"/>
    <x v="1"/>
    <x v="1"/>
    <x v="0"/>
    <x v="0"/>
    <x v="0"/>
    <x v="0"/>
    <x v="4"/>
    <x v="0"/>
    <x v="2"/>
    <x v="1"/>
    <x v="0"/>
    <x v="0"/>
    <x v="0"/>
    <x v="0"/>
    <x v="0"/>
    <x v="0"/>
    <x v="0"/>
    <x v="0"/>
    <x v="0"/>
    <x v="0"/>
    <x v="0"/>
    <x v="6"/>
    <m/>
    <x v="0"/>
    <x v="0"/>
    <x v="0"/>
    <x v="19"/>
    <x v="19"/>
    <x v="0"/>
    <x v="0"/>
    <x v="2"/>
    <x v="0"/>
    <s v="0.21"/>
    <x v="0"/>
    <x v="0"/>
    <x v="0"/>
    <x v="5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8a1a49aa-23cd-44b4-9b47-13d0ff0419f4-005a8a2d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9"/>
    <x v="19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a1a49aa-23cd-44b4-9b47-13d0ff0419f4-005a8a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n v="2.5764"/>
    <x v="0"/>
    <x v="0"/>
    <x v="0"/>
    <x v="19"/>
    <x v="19"/>
    <x v="0"/>
    <x v="0"/>
    <x v="1"/>
    <x v="0"/>
    <s v="2.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a1a49aa-23cd-44b4-9b47-13d0ff0419f4-005a8a5d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9"/>
    <x v="19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b11114-ba35-44a3-a2e1-77c1d63343fe-005a9089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b11114-ba35-44a3-a2e1-77c1d63343fe-005a9c0d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b11114-ba35-44a3-a2e1-77c1d63343fe-005a9de2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9b11114-ba35-44a3-a2e1-77c1d63343fe-005a9e69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2"/>
    <x v="12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b11114-ba35-44a3-a2e1-77c1d63343fe-005a9e7d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0"/>
    <x v="0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9b11114-ba35-44a3-a2e1-77c1d63343fe-005a9e8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"/>
    <x v="1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abf8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2"/>
    <x v="2"/>
    <x v="2"/>
    <x v="2"/>
    <x v="3"/>
    <x v="0"/>
    <x v="0"/>
    <x v="0"/>
    <x v="6"/>
    <m/>
    <x v="0"/>
    <x v="0"/>
    <x v="0"/>
    <x v="16"/>
    <x v="16"/>
    <x v="0"/>
    <x v="0"/>
    <x v="2"/>
    <x v="0"/>
    <s v="0.32"/>
    <x v="0"/>
    <x v="0"/>
    <x v="0"/>
    <x v="18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fa79b914-eb2b-43ae-bee8-973517d36efb-005aac4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2"/>
    <x v="2"/>
    <x v="2"/>
    <x v="0"/>
    <x v="0"/>
    <x v="0"/>
    <x v="0"/>
    <x v="24"/>
    <n v="2.8721000000000001"/>
    <x v="0"/>
    <x v="0"/>
    <x v="0"/>
    <x v="20"/>
    <x v="20"/>
    <x v="0"/>
    <x v="0"/>
    <x v="0"/>
    <x v="0"/>
    <s v="1.87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fa79b914-eb2b-43ae-bee8-973517d36efb-005aac4f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ac5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6"/>
    <x v="16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ace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2"/>
    <x v="2"/>
    <x v="2"/>
    <x v="0"/>
    <x v="0"/>
    <x v="0"/>
    <x v="0"/>
    <x v="25"/>
    <n v="12.4688"/>
    <x v="0"/>
    <x v="0"/>
    <x v="0"/>
    <x v="21"/>
    <x v="21"/>
    <x v="0"/>
    <x v="0"/>
    <x v="0"/>
    <x v="0"/>
    <s v="8.1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fa79b914-eb2b-43ae-bee8-973517d36efb-005aae15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2"/>
    <x v="2"/>
    <x v="2"/>
    <x v="2"/>
    <x v="3"/>
    <x v="0"/>
    <x v="0"/>
    <x v="0"/>
    <x v="6"/>
    <m/>
    <x v="0"/>
    <x v="0"/>
    <x v="0"/>
    <x v="21"/>
    <x v="21"/>
    <x v="0"/>
    <x v="0"/>
    <x v="1"/>
    <x v="0"/>
    <s v="0.32"/>
    <x v="0"/>
    <x v="0"/>
    <x v="0"/>
    <x v="18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fa79b914-eb2b-43ae-bee8-973517d36efb-005aae5c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1"/>
    <x v="21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ae89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ae9b"/>
    <x v="0"/>
    <x v="0"/>
    <x v="0"/>
    <x v="0"/>
    <x v="0"/>
    <x v="0"/>
    <x v="0"/>
    <x v="0"/>
    <x v="4"/>
    <x v="1"/>
    <x v="0"/>
    <x v="0"/>
    <x v="0"/>
    <x v="0"/>
    <x v="9"/>
    <x v="0"/>
    <x v="0"/>
    <x v="1"/>
    <x v="0"/>
    <x v="0"/>
    <x v="0"/>
    <x v="2"/>
    <x v="2"/>
    <x v="2"/>
    <x v="2"/>
    <x v="0"/>
    <x v="0"/>
    <x v="0"/>
    <x v="0"/>
    <x v="6"/>
    <m/>
    <x v="0"/>
    <x v="0"/>
    <x v="0"/>
    <x v="21"/>
    <x v="21"/>
    <x v="0"/>
    <x v="0"/>
    <x v="2"/>
    <x v="0"/>
    <s v="0.49"/>
    <x v="0"/>
    <x v="0"/>
    <x v="0"/>
    <x v="19"/>
    <x v="0"/>
    <x v="0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fa79b914-eb2b-43ae-bee8-973517d36efb-005aaea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1"/>
    <x v="21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af92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2"/>
    <x v="2"/>
    <x v="2"/>
    <x v="2"/>
    <x v="0"/>
    <x v="0"/>
    <x v="0"/>
    <x v="0"/>
    <x v="6"/>
    <m/>
    <x v="0"/>
    <x v="0"/>
    <x v="0"/>
    <x v="21"/>
    <x v="21"/>
    <x v="0"/>
    <x v="0"/>
    <x v="3"/>
    <x v="0"/>
    <s v="0.18"/>
    <x v="0"/>
    <x v="0"/>
    <x v="0"/>
    <x v="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fa79b914-eb2b-43ae-bee8-973517d36efb-005aafa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1"/>
    <x v="21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aff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2"/>
    <x v="2"/>
    <x v="2"/>
    <x v="0"/>
    <x v="0"/>
    <x v="0"/>
    <x v="0"/>
    <x v="26"/>
    <n v="1.885"/>
    <x v="0"/>
    <x v="0"/>
    <x v="0"/>
    <x v="22"/>
    <x v="22"/>
    <x v="0"/>
    <x v="0"/>
    <x v="0"/>
    <x v="0"/>
    <s v="1.23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fa79b914-eb2b-43ae-bee8-973517d36efb-005ab012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b09f"/>
    <x v="0"/>
    <x v="0"/>
    <x v="0"/>
    <x v="0"/>
    <x v="0"/>
    <x v="0"/>
    <x v="0"/>
    <x v="0"/>
    <x v="1"/>
    <x v="1"/>
    <x v="0"/>
    <x v="0"/>
    <x v="0"/>
    <x v="0"/>
    <x v="1"/>
    <x v="0"/>
    <x v="1"/>
    <x v="1"/>
    <x v="0"/>
    <x v="0"/>
    <x v="0"/>
    <x v="2"/>
    <x v="2"/>
    <x v="2"/>
    <x v="2"/>
    <x v="0"/>
    <x v="0"/>
    <x v="0"/>
    <x v="0"/>
    <x v="6"/>
    <m/>
    <x v="0"/>
    <x v="0"/>
    <x v="0"/>
    <x v="22"/>
    <x v="22"/>
    <x v="0"/>
    <x v="0"/>
    <x v="2"/>
    <x v="0"/>
    <s v="0.18"/>
    <x v="0"/>
    <x v="0"/>
    <x v="0"/>
    <x v="4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</r>
  <r>
    <s v="fa79b914-eb2b-43ae-bee8-973517d36efb-005ab0ab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2"/>
    <x v="22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b1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2"/>
    <x v="2"/>
    <x v="2"/>
    <x v="0"/>
    <x v="0"/>
    <x v="0"/>
    <x v="0"/>
    <x v="27"/>
    <n v="5.8857999999999997"/>
    <x v="0"/>
    <x v="0"/>
    <x v="0"/>
    <x v="22"/>
    <x v="22"/>
    <x v="0"/>
    <x v="0"/>
    <x v="1"/>
    <x v="0"/>
    <s v="3.83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fa79b914-eb2b-43ae-bee8-973517d36efb-005ab257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2"/>
    <x v="22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b2c8"/>
    <x v="0"/>
    <x v="0"/>
    <x v="0"/>
    <x v="0"/>
    <x v="0"/>
    <x v="0"/>
    <x v="0"/>
    <x v="0"/>
    <x v="2"/>
    <x v="1"/>
    <x v="0"/>
    <x v="0"/>
    <x v="0"/>
    <x v="0"/>
    <x v="3"/>
    <x v="0"/>
    <x v="3"/>
    <x v="1"/>
    <x v="0"/>
    <x v="0"/>
    <x v="0"/>
    <x v="2"/>
    <x v="2"/>
    <x v="2"/>
    <x v="2"/>
    <x v="3"/>
    <x v="0"/>
    <x v="0"/>
    <x v="0"/>
    <x v="6"/>
    <m/>
    <x v="0"/>
    <x v="0"/>
    <x v="0"/>
    <x v="23"/>
    <x v="23"/>
    <x v="0"/>
    <x v="0"/>
    <x v="1"/>
    <x v="0"/>
    <s v="0.32"/>
    <x v="0"/>
    <x v="0"/>
    <x v="0"/>
    <x v="18"/>
    <x v="0"/>
    <x v="0"/>
    <x v="0"/>
    <x v="0"/>
    <x v="0"/>
    <x v="0"/>
    <x v="0"/>
    <x v="1"/>
    <x v="1"/>
    <x v="1"/>
    <x v="0"/>
    <x v="0"/>
    <x v="0"/>
    <x v="0"/>
    <x v="0"/>
    <x v="0"/>
    <x v="0"/>
    <x v="0"/>
    <x v="0"/>
    <x v="0"/>
    <x v="0"/>
    <x v="0"/>
    <x v="0"/>
  </r>
  <r>
    <s v="fa79b914-eb2b-43ae-bee8-973517d36efb-005ab340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2"/>
    <x v="2"/>
    <x v="2"/>
    <x v="2"/>
    <x v="0"/>
    <x v="0"/>
    <x v="0"/>
    <x v="0"/>
    <x v="28"/>
    <n v="12.533899999999999"/>
    <x v="0"/>
    <x v="0"/>
    <x v="0"/>
    <x v="23"/>
    <x v="23"/>
    <x v="0"/>
    <x v="0"/>
    <x v="0"/>
    <x v="0"/>
    <s v="8.55"/>
    <x v="0"/>
    <x v="0"/>
    <x v="0"/>
    <x v="20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fa79b914-eb2b-43ae-bee8-973517d36efb-005ab343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3"/>
    <x v="23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b37f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7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fa79b914-eb2b-43ae-bee8-973517d36efb-005ab391"/>
    <x v="0"/>
    <x v="0"/>
    <x v="0"/>
    <x v="0"/>
    <x v="0"/>
    <x v="0"/>
    <x v="0"/>
    <x v="0"/>
    <x v="4"/>
    <x v="1"/>
    <x v="0"/>
    <x v="0"/>
    <x v="0"/>
    <x v="0"/>
    <x v="9"/>
    <x v="0"/>
    <x v="0"/>
    <x v="1"/>
    <x v="0"/>
    <x v="0"/>
    <x v="0"/>
    <x v="2"/>
    <x v="2"/>
    <x v="2"/>
    <x v="2"/>
    <x v="0"/>
    <x v="0"/>
    <x v="0"/>
    <x v="0"/>
    <x v="6"/>
    <m/>
    <x v="0"/>
    <x v="0"/>
    <x v="0"/>
    <x v="23"/>
    <x v="23"/>
    <x v="0"/>
    <x v="0"/>
    <x v="2"/>
    <x v="0"/>
    <s v="0.49"/>
    <x v="0"/>
    <x v="0"/>
    <x v="0"/>
    <x v="19"/>
    <x v="0"/>
    <x v="0"/>
    <x v="0"/>
    <x v="0"/>
    <x v="0"/>
    <x v="0"/>
    <x v="0"/>
    <x v="8"/>
    <x v="4"/>
    <x v="0"/>
    <x v="0"/>
    <x v="0"/>
    <x v="0"/>
    <x v="0"/>
    <x v="0"/>
    <x v="0"/>
    <x v="0"/>
    <x v="0"/>
    <x v="0"/>
    <x v="0"/>
    <x v="0"/>
    <x v="0"/>
    <x v="0"/>
  </r>
  <r>
    <s v="fa79b914-eb2b-43ae-bee8-973517d36efb-005ab397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23"/>
    <x v="23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b407"/>
    <x v="0"/>
    <x v="0"/>
    <x v="0"/>
    <x v="0"/>
    <x v="0"/>
    <x v="0"/>
    <x v="0"/>
    <x v="0"/>
    <x v="6"/>
    <x v="1"/>
    <x v="1"/>
    <x v="0"/>
    <x v="0"/>
    <x v="0"/>
    <x v="12"/>
    <x v="1"/>
    <x v="0"/>
    <x v="1"/>
    <x v="0"/>
    <x v="0"/>
    <x v="0"/>
    <x v="3"/>
    <x v="2"/>
    <x v="2"/>
    <x v="1"/>
    <x v="0"/>
    <x v="0"/>
    <x v="0"/>
    <x v="0"/>
    <x v="6"/>
    <m/>
    <x v="0"/>
    <x v="0"/>
    <x v="0"/>
    <x v="16"/>
    <x v="16"/>
    <x v="0"/>
    <x v="0"/>
    <x v="3"/>
    <x v="0"/>
    <s v="0.16"/>
    <x v="0"/>
    <x v="0"/>
    <x v="0"/>
    <x v="21"/>
    <x v="0"/>
    <x v="0"/>
    <x v="0"/>
    <x v="0"/>
    <x v="0"/>
    <x v="0"/>
    <x v="0"/>
    <x v="7"/>
    <x v="2"/>
    <x v="0"/>
    <x v="0"/>
    <x v="0"/>
    <x v="0"/>
    <x v="0"/>
    <x v="0"/>
    <x v="0"/>
    <x v="0"/>
    <x v="0"/>
    <x v="0"/>
    <x v="0"/>
    <x v="0"/>
    <x v="0"/>
    <x v="0"/>
  </r>
  <r>
    <s v="fa79b914-eb2b-43ae-bee8-973517d36efb-005ab413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16"/>
    <x v="16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b44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6"/>
    <x v="16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fa79b914-eb2b-43ae-bee8-973517d36efb-005ab468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2"/>
    <x v="2"/>
    <x v="2"/>
    <x v="2"/>
    <x v="0"/>
    <x v="0"/>
    <x v="0"/>
    <x v="0"/>
    <x v="29"/>
    <n v="7.3197000000000001"/>
    <x v="0"/>
    <x v="0"/>
    <x v="0"/>
    <x v="7"/>
    <x v="7"/>
    <x v="0"/>
    <x v="0"/>
    <x v="0"/>
    <x v="0"/>
    <s v="4.99"/>
    <x v="0"/>
    <x v="0"/>
    <x v="0"/>
    <x v="20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fa79b914-eb2b-43ae-bee8-973517d36efb-005ab4cc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2"/>
    <x v="2"/>
    <x v="2"/>
    <x v="2"/>
    <x v="0"/>
    <x v="0"/>
    <x v="0"/>
    <x v="0"/>
    <x v="6"/>
    <m/>
    <x v="0"/>
    <x v="0"/>
    <x v="0"/>
    <x v="7"/>
    <x v="7"/>
    <x v="0"/>
    <x v="0"/>
    <x v="5"/>
    <x v="0"/>
    <s v=""/>
    <x v="0"/>
    <x v="0"/>
    <x v="0"/>
    <x v="17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ecfacab4-0936-4f9e-a402-175eadb5c41c-005aba59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ecfacab4-0936-4f9e-a402-175eadb5c41c-005aba70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1"/>
    <x v="11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13"/>
    <x v="0"/>
    <x v="0"/>
    <x v="0"/>
    <x v="0"/>
    <x v="0"/>
    <x v="0"/>
    <x v="0"/>
    <x v="0"/>
    <x v="5"/>
    <x v="1"/>
    <x v="0"/>
    <x v="0"/>
    <x v="0"/>
    <x v="0"/>
    <x v="13"/>
    <x v="0"/>
    <x v="0"/>
    <x v="1"/>
    <x v="0"/>
    <x v="0"/>
    <x v="0"/>
    <x v="0"/>
    <x v="0"/>
    <x v="0"/>
    <x v="3"/>
    <x v="0"/>
    <x v="0"/>
    <x v="0"/>
    <x v="0"/>
    <x v="6"/>
    <m/>
    <x v="0"/>
    <x v="0"/>
    <x v="0"/>
    <x v="19"/>
    <x v="19"/>
    <x v="0"/>
    <x v="0"/>
    <x v="3"/>
    <x v="0"/>
    <s v="0.01"/>
    <x v="0"/>
    <x v="0"/>
    <x v="0"/>
    <x v="22"/>
    <x v="0"/>
    <x v="0"/>
    <x v="0"/>
    <x v="0"/>
    <x v="0"/>
    <x v="0"/>
    <x v="0"/>
    <x v="12"/>
    <x v="5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1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9"/>
    <x v="19"/>
    <x v="0"/>
    <x v="0"/>
    <x v="5"/>
    <x v="0"/>
    <s v=""/>
    <x v="0"/>
    <x v="0"/>
    <x v="0"/>
    <x v="15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1a"/>
    <x v="0"/>
    <x v="0"/>
    <x v="0"/>
    <x v="0"/>
    <x v="0"/>
    <x v="0"/>
    <x v="0"/>
    <x v="0"/>
    <x v="5"/>
    <x v="1"/>
    <x v="0"/>
    <x v="0"/>
    <x v="0"/>
    <x v="0"/>
    <x v="13"/>
    <x v="0"/>
    <x v="0"/>
    <x v="1"/>
    <x v="0"/>
    <x v="0"/>
    <x v="0"/>
    <x v="0"/>
    <x v="0"/>
    <x v="0"/>
    <x v="3"/>
    <x v="0"/>
    <x v="0"/>
    <x v="0"/>
    <x v="0"/>
    <x v="6"/>
    <m/>
    <x v="0"/>
    <x v="0"/>
    <x v="0"/>
    <x v="4"/>
    <x v="4"/>
    <x v="0"/>
    <x v="0"/>
    <x v="1"/>
    <x v="0"/>
    <s v="0.01"/>
    <x v="0"/>
    <x v="0"/>
    <x v="0"/>
    <x v="22"/>
    <x v="0"/>
    <x v="0"/>
    <x v="0"/>
    <x v="0"/>
    <x v="0"/>
    <x v="0"/>
    <x v="0"/>
    <x v="12"/>
    <x v="5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1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4"/>
    <x v="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20"/>
    <x v="0"/>
    <x v="0"/>
    <x v="0"/>
    <x v="0"/>
    <x v="0"/>
    <x v="0"/>
    <x v="0"/>
    <x v="0"/>
    <x v="5"/>
    <x v="1"/>
    <x v="0"/>
    <x v="0"/>
    <x v="0"/>
    <x v="0"/>
    <x v="13"/>
    <x v="0"/>
    <x v="0"/>
    <x v="1"/>
    <x v="0"/>
    <x v="0"/>
    <x v="0"/>
    <x v="0"/>
    <x v="0"/>
    <x v="0"/>
    <x v="3"/>
    <x v="0"/>
    <x v="0"/>
    <x v="0"/>
    <x v="0"/>
    <x v="6"/>
    <m/>
    <x v="0"/>
    <x v="0"/>
    <x v="0"/>
    <x v="9"/>
    <x v="9"/>
    <x v="0"/>
    <x v="0"/>
    <x v="2"/>
    <x v="0"/>
    <s v="0.01"/>
    <x v="0"/>
    <x v="0"/>
    <x v="0"/>
    <x v="22"/>
    <x v="0"/>
    <x v="0"/>
    <x v="0"/>
    <x v="0"/>
    <x v="0"/>
    <x v="0"/>
    <x v="0"/>
    <x v="12"/>
    <x v="5"/>
    <x v="0"/>
    <x v="0"/>
    <x v="0"/>
    <x v="0"/>
    <x v="0"/>
    <x v="0"/>
    <x v="0"/>
    <x v="0"/>
    <x v="0"/>
    <x v="0"/>
    <x v="0"/>
    <x v="0"/>
    <x v="0"/>
    <x v="0"/>
  </r>
  <r>
    <s v="47392e17-435f-400d-9f86-50906602dc57-005ac92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9"/>
    <x v="9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47392e17-435f-400d-9f86-50906602dc57-005aca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n v="18.603899999999999"/>
    <x v="0"/>
    <x v="0"/>
    <x v="0"/>
    <x v="17"/>
    <x v="17"/>
    <x v="0"/>
    <x v="0"/>
    <x v="0"/>
    <x v="0"/>
    <s v="15.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47392e17-435f-400d-9f86-50906602dc57-005acade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7"/>
    <x v="17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47392e17-435f-400d-9f86-50906602dc57-005acc28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9a9e7fe-b244-49c4-adeb-5412e802ece3-005ace1f"/>
    <x v="0"/>
    <x v="0"/>
    <x v="0"/>
    <x v="0"/>
    <x v="0"/>
    <x v="0"/>
    <x v="0"/>
    <x v="0"/>
    <x v="5"/>
    <x v="1"/>
    <x v="1"/>
    <x v="0"/>
    <x v="0"/>
    <x v="0"/>
    <x v="14"/>
    <x v="1"/>
    <x v="0"/>
    <x v="1"/>
    <x v="0"/>
    <x v="0"/>
    <x v="0"/>
    <x v="1"/>
    <x v="1"/>
    <x v="1"/>
    <x v="3"/>
    <x v="0"/>
    <x v="0"/>
    <x v="0"/>
    <x v="0"/>
    <x v="6"/>
    <m/>
    <x v="0"/>
    <x v="0"/>
    <x v="0"/>
    <x v="6"/>
    <x v="6"/>
    <x v="0"/>
    <x v="0"/>
    <x v="3"/>
    <x v="0"/>
    <s v="0.05"/>
    <x v="0"/>
    <x v="0"/>
    <x v="0"/>
    <x v="23"/>
    <x v="0"/>
    <x v="0"/>
    <x v="0"/>
    <x v="0"/>
    <x v="0"/>
    <x v="0"/>
    <x v="0"/>
    <x v="2"/>
    <x v="5"/>
    <x v="0"/>
    <x v="0"/>
    <x v="0"/>
    <x v="0"/>
    <x v="0"/>
    <x v="0"/>
    <x v="0"/>
    <x v="0"/>
    <x v="0"/>
    <x v="0"/>
    <x v="0"/>
    <x v="0"/>
    <x v="0"/>
    <x v="0"/>
  </r>
  <r>
    <s v="89a9e7fe-b244-49c4-adeb-5412e802ece3-005ace2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6"/>
    <x v="6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9a9e7fe-b244-49c4-adeb-5412e802ece3-005ace27"/>
    <x v="0"/>
    <x v="0"/>
    <x v="0"/>
    <x v="0"/>
    <x v="0"/>
    <x v="0"/>
    <x v="0"/>
    <x v="0"/>
    <x v="5"/>
    <x v="1"/>
    <x v="1"/>
    <x v="0"/>
    <x v="0"/>
    <x v="0"/>
    <x v="14"/>
    <x v="1"/>
    <x v="0"/>
    <x v="1"/>
    <x v="0"/>
    <x v="0"/>
    <x v="0"/>
    <x v="1"/>
    <x v="1"/>
    <x v="1"/>
    <x v="3"/>
    <x v="0"/>
    <x v="0"/>
    <x v="0"/>
    <x v="0"/>
    <x v="6"/>
    <m/>
    <x v="0"/>
    <x v="0"/>
    <x v="0"/>
    <x v="13"/>
    <x v="13"/>
    <x v="0"/>
    <x v="0"/>
    <x v="1"/>
    <x v="0"/>
    <s v="0.05"/>
    <x v="0"/>
    <x v="0"/>
    <x v="0"/>
    <x v="23"/>
    <x v="0"/>
    <x v="0"/>
    <x v="0"/>
    <x v="0"/>
    <x v="0"/>
    <x v="0"/>
    <x v="0"/>
    <x v="2"/>
    <x v="5"/>
    <x v="0"/>
    <x v="0"/>
    <x v="0"/>
    <x v="0"/>
    <x v="0"/>
    <x v="0"/>
    <x v="0"/>
    <x v="0"/>
    <x v="0"/>
    <x v="0"/>
    <x v="0"/>
    <x v="0"/>
    <x v="0"/>
    <x v="0"/>
  </r>
  <r>
    <s v="89a9e7fe-b244-49c4-adeb-5412e802ece3-005ace2b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3"/>
    <x v="13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a9e7fe-b244-49c4-adeb-5412e802ece3-005acf31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5"/>
    <x v="15"/>
    <x v="0"/>
    <x v="0"/>
    <x v="5"/>
    <x v="0"/>
    <s v=""/>
    <x v="0"/>
    <x v="0"/>
    <x v="0"/>
    <x v="13"/>
    <x v="0"/>
    <x v="0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89a9e7fe-b244-49c4-adeb-5412e802ece3-005acf33"/>
    <x v="0"/>
    <x v="0"/>
    <x v="0"/>
    <x v="0"/>
    <x v="0"/>
    <x v="0"/>
    <x v="0"/>
    <x v="0"/>
    <x v="4"/>
    <x v="1"/>
    <x v="1"/>
    <x v="0"/>
    <x v="0"/>
    <x v="0"/>
    <x v="11"/>
    <x v="1"/>
    <x v="0"/>
    <x v="1"/>
    <x v="0"/>
    <x v="0"/>
    <x v="0"/>
    <x v="1"/>
    <x v="1"/>
    <x v="1"/>
    <x v="1"/>
    <x v="0"/>
    <x v="0"/>
    <x v="0"/>
    <x v="0"/>
    <x v="6"/>
    <m/>
    <x v="0"/>
    <x v="0"/>
    <x v="0"/>
    <x v="15"/>
    <x v="15"/>
    <x v="0"/>
    <x v="0"/>
    <x v="1"/>
    <x v="0"/>
    <s v="0.06"/>
    <x v="0"/>
    <x v="0"/>
    <x v="0"/>
    <x v="24"/>
    <x v="0"/>
    <x v="0"/>
    <x v="0"/>
    <x v="0"/>
    <x v="0"/>
    <x v="0"/>
    <x v="0"/>
    <x v="11"/>
    <x v="10"/>
    <x v="0"/>
    <x v="0"/>
    <x v="0"/>
    <x v="0"/>
    <x v="0"/>
    <x v="0"/>
    <x v="0"/>
    <x v="0"/>
    <x v="0"/>
    <x v="0"/>
    <x v="0"/>
    <x v="0"/>
    <x v="0"/>
    <x v="0"/>
  </r>
  <r>
    <s v="89a9e7fe-b244-49c4-adeb-5412e802ece3-005acf36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1"/>
    <x v="1"/>
    <x v="1"/>
    <x v="1"/>
    <x v="0"/>
    <x v="0"/>
    <x v="0"/>
    <x v="0"/>
    <x v="6"/>
    <m/>
    <x v="0"/>
    <x v="0"/>
    <x v="0"/>
    <x v="14"/>
    <x v="14"/>
    <x v="0"/>
    <x v="0"/>
    <x v="5"/>
    <x v="0"/>
    <s v=""/>
    <x v="0"/>
    <x v="0"/>
    <x v="0"/>
    <x v="13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89a9e7fe-b244-49c4-adeb-5412e802ece3-005acf38"/>
    <x v="0"/>
    <x v="0"/>
    <x v="0"/>
    <x v="0"/>
    <x v="0"/>
    <x v="0"/>
    <x v="0"/>
    <x v="0"/>
    <x v="0"/>
    <x v="0"/>
    <x v="1"/>
    <x v="0"/>
    <x v="0"/>
    <x v="0"/>
    <x v="5"/>
    <x v="2"/>
    <x v="0"/>
    <x v="2"/>
    <x v="0"/>
    <x v="0"/>
    <x v="0"/>
    <x v="1"/>
    <x v="1"/>
    <x v="1"/>
    <x v="1"/>
    <x v="0"/>
    <x v="0"/>
    <x v="0"/>
    <x v="0"/>
    <x v="31"/>
    <n v="0.26100000000000001"/>
    <x v="0"/>
    <x v="0"/>
    <x v="0"/>
    <x v="16"/>
    <x v="16"/>
    <x v="0"/>
    <x v="0"/>
    <x v="1"/>
    <x v="0"/>
    <s v="0.09"/>
    <x v="0"/>
    <x v="0"/>
    <x v="0"/>
    <x v="12"/>
    <x v="0"/>
    <x v="0"/>
    <x v="0"/>
    <x v="0"/>
    <x v="0"/>
    <x v="0"/>
    <x v="0"/>
    <x v="3"/>
    <x v="3"/>
    <x v="0"/>
    <x v="0"/>
    <x v="0"/>
    <x v="0"/>
    <x v="0"/>
    <x v="0"/>
    <x v="0"/>
    <x v="0"/>
    <x v="0"/>
    <x v="0"/>
    <x v="0"/>
    <x v="0"/>
    <x v="0"/>
    <x v="0"/>
  </r>
  <r>
    <s v="89a9e7fe-b244-49c4-adeb-5412e802ece3-005acfe4"/>
    <x v="0"/>
    <x v="0"/>
    <x v="0"/>
    <x v="0"/>
    <x v="0"/>
    <x v="0"/>
    <x v="0"/>
    <x v="0"/>
    <x v="4"/>
    <x v="1"/>
    <x v="2"/>
    <x v="0"/>
    <x v="0"/>
    <x v="0"/>
    <x v="10"/>
    <x v="1"/>
    <x v="0"/>
    <x v="3"/>
    <x v="0"/>
    <x v="0"/>
    <x v="0"/>
    <x v="0"/>
    <x v="0"/>
    <x v="0"/>
    <x v="0"/>
    <x v="0"/>
    <x v="0"/>
    <x v="0"/>
    <x v="0"/>
    <x v="6"/>
    <m/>
    <x v="0"/>
    <x v="0"/>
    <x v="0"/>
    <x v="0"/>
    <x v="0"/>
    <x v="0"/>
    <x v="0"/>
    <x v="5"/>
    <x v="0"/>
    <s v=""/>
    <x v="0"/>
    <x v="0"/>
    <x v="0"/>
    <x v="15"/>
    <x v="0"/>
    <x v="0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2B41-3D88-4711-A66D-D8F83116C40F}" name="PivotTable34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Z5:JD9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4">
    <i>
      <x v="5"/>
    </i>
    <i r="1">
      <x v="7"/>
    </i>
    <i r="2">
      <x v="4"/>
      <x v="2511"/>
    </i>
    <i t="grand">
      <x/>
    </i>
  </rowItems>
  <colItems count="1">
    <i/>
  </colItems>
  <dataFields count="1">
    <dataField name="QTY" fld="32" subtotal="count" baseField="21" baseItem="1"/>
  </dataFields>
  <formats count="3">
    <format dxfId="2040">
      <pivotArea outline="0" fieldPosition="0">
        <references count="1">
          <reference field="4294967294" count="1" selected="0">
            <x v="0"/>
          </reference>
        </references>
      </pivotArea>
    </format>
    <format dxfId="20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D8BE8-1556-472F-81CA-4AF92A326759}" name="PivotTable27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A5:F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3">
      <pivotArea outline="0" fieldPosition="0">
        <references count="1">
          <reference field="4294967294" count="1" selected="0">
            <x v="0"/>
          </reference>
        </references>
      </pivotArea>
    </format>
    <format dxfId="20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FA9E-2ECA-4DB9-873D-F202D89196FE}" name="PivotTable6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Y5:G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6">
      <pivotArea outline="0" fieldPosition="0">
        <references count="1">
          <reference field="4294967294" count="1" selected="0">
            <x v="0"/>
          </reference>
        </references>
      </pivotArea>
    </format>
    <format dxfId="20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AA388-0354-41E9-9F1D-9587A3081FB4}" name="PivotTable4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J5:NM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h="1" x="0"/>
        <item h="1" m="1" x="8"/>
        <item h="1" m="1" x="20"/>
        <item h="1" m="1" x="21"/>
        <item h="1" m="1" x="22"/>
        <item h="1" x="2"/>
        <item h="1" m="1" x="23"/>
        <item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1"/>
        <item m="1" x="44"/>
        <item m="1" x="5"/>
        <item x="2"/>
        <item x="0"/>
        <item m="1" x="4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9">
      <pivotArea outline="0" fieldPosition="0">
        <references count="1">
          <reference field="4294967294" count="1" selected="0">
            <x v="0"/>
          </reference>
        </references>
      </pivotArea>
    </format>
    <format dxfId="20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7">
      <pivotArea field="22" type="button" dataOnly="0" labelOnly="1" outline="0"/>
    </format>
  </formats>
  <pivotTableStyleInfo name="PivotStyleLight16" showRowHeaders="1" showColHeaders="1" showRowStripes="0" showColStripes="0" showLastColumn="1"/>
  <filters count="3">
    <filter fld="15" type="captionContains" evalOrder="-1" id="5" stringValue1="T-Drill">
      <autoFilter ref="A1">
        <filterColumn colId="0">
          <customFilters>
            <customFilter val="*T-Drill*"/>
          </customFilters>
        </filterColumn>
      </autoFilter>
    </filter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E0833-AE58-47C0-8DB8-DEA74A0634E1}" name="PivotTable3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U5:I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5"/>
        <item m="1" x="86"/>
        <item m="1" x="6"/>
        <item m="1" x="85"/>
        <item m="1" x="74"/>
        <item m="1" x="18"/>
        <item m="1" x="75"/>
        <item m="1" x="73"/>
        <item m="1" x="17"/>
        <item m="1" x="83"/>
        <item m="1" x="79"/>
        <item m="1" x="77"/>
        <item m="1" x="78"/>
        <item m="1" x="76"/>
        <item m="1" x="80"/>
        <item m="1" x="5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x="1"/>
        <item x="2"/>
        <item m="1" x="10"/>
        <item m="1" x="56"/>
        <item m="1" x="55"/>
        <item m="1" x="54"/>
        <item m="1" x="53"/>
        <item m="1" x="50"/>
        <item m="1" x="49"/>
        <item m="1" x="52"/>
        <item m="1" x="51"/>
        <item m="1" x="48"/>
        <item m="1" x="45"/>
        <item m="1" x="46"/>
        <item m="1" x="47"/>
        <item m="1" x="44"/>
        <item m="1" x="43"/>
        <item m="1" x="38"/>
        <item m="1" x="37"/>
        <item m="1" x="39"/>
        <item m="1" x="42"/>
        <item m="1" x="36"/>
        <item m="1" x="35"/>
        <item m="1" x="33"/>
        <item m="1" x="34"/>
        <item m="1" x="40"/>
        <item m="1" x="41"/>
        <item m="1" x="32"/>
        <item m="1" x="31"/>
        <item m="1" x="30"/>
        <item m="1" x="29"/>
        <item m="1" x="26"/>
        <item m="1" x="28"/>
        <item m="1" x="7"/>
        <item m="1" x="27"/>
        <item m="1" x="22"/>
        <item m="1" x="23"/>
        <item m="1" x="20"/>
        <item m="1" x="21"/>
        <item m="1" x="25"/>
        <item m="1" x="24"/>
        <item m="1" x="8"/>
        <item m="1" x="19"/>
        <item m="1" x="16"/>
        <item m="1" x="3"/>
        <item m="1" x="12"/>
        <item m="1" x="14"/>
        <item m="1" x="9"/>
        <item m="1" x="13"/>
        <item m="1" x="11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2">
      <pivotArea outline="0" fieldPosition="0">
        <references count="1">
          <reference field="4294967294" count="1" selected="0">
            <x v="0"/>
          </reference>
        </references>
      </pivotArea>
    </format>
    <format dxfId="20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2C9FF-E963-405C-865B-B53D0C2B4B27}" name="PivotTable37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A5:ID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h="1" m="1" x="7"/>
        <item h="1" x="0"/>
        <item h="1" m="1" x="8"/>
        <item h="1" m="1" x="20"/>
        <item h="1" m="1" x="21"/>
        <item h="1" m="1" x="22"/>
        <item h="1" x="2"/>
        <item h="1" m="1" x="23"/>
        <item h="1" x="1"/>
        <item h="1" m="1" x="6"/>
        <item h="1" m="1" x="4"/>
        <item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5">
      <pivotArea outline="0" fieldPosition="0">
        <references count="1">
          <reference field="4294967294" count="1" selected="0">
            <x v="0"/>
          </reference>
        </references>
      </pivotArea>
    </format>
    <format dxfId="20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BA2F7-0449-49D0-884A-FFC43F40972E}" name="PivotTable8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Y5:P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8">
      <pivotArea outline="0" fieldPosition="0">
        <references count="1">
          <reference field="4294967294" count="1" selected="0">
            <x v="0"/>
          </reference>
        </references>
      </pivotArea>
    </format>
    <format dxfId="20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8B0EC-E7CE-4333-8303-89E32C3AB87F}" name="PIPE CU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B5:LG1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1">
    <i>
      <x v="5"/>
      <x v="5"/>
    </i>
    <i r="2">
      <x v="6"/>
      <x v="25"/>
    </i>
    <i t="default" r="2">
      <x v="6"/>
    </i>
    <i r="1">
      <x v="172"/>
    </i>
    <i r="2">
      <x v="6"/>
      <x v="25"/>
    </i>
    <i t="default" r="2">
      <x v="6"/>
    </i>
    <i r="1">
      <x v="173"/>
    </i>
    <i r="2">
      <x v="6"/>
      <x v="25"/>
    </i>
    <i t="default" r="2">
      <x v="6"/>
    </i>
    <i t="default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06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2">
      <pivotArea outline="0" fieldPosition="0">
        <references count="1">
          <reference field="4294967294" count="1">
            <x v="1"/>
          </reference>
        </references>
      </pivotArea>
    </format>
    <format dxfId="2061">
      <pivotArea outline="0" fieldPosition="0">
        <references count="1">
          <reference field="4294967294" count="1" selected="0">
            <x v="0"/>
          </reference>
        </references>
      </pivotArea>
    </format>
    <format dxfId="20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FA837-F30E-48BC-8FE0-708399C3E591}" name="PivotTable2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O5:ES9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4">
    <i>
      <x v="5"/>
    </i>
    <i r="1">
      <x v="7"/>
    </i>
    <i r="2">
      <x v="4"/>
      <x v="2511"/>
    </i>
    <i t="grand">
      <x/>
    </i>
  </rowItems>
  <colItems count="1">
    <i/>
  </colItems>
  <dataFields count="1">
    <dataField name="QTY" fld="32" subtotal="count" baseField="21" baseItem="1"/>
  </dataFields>
  <formats count="3">
    <format dxfId="2067">
      <pivotArea outline="0" fieldPosition="0">
        <references count="1">
          <reference field="4294967294" count="1" selected="0">
            <x v="0"/>
          </reference>
        </references>
      </pivotArea>
    </format>
    <format dxfId="20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38CEF-9C3D-4F86-B89F-36AFDCEB6CF8}" name="PivotTable1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X5:D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0">
      <pivotArea outline="0" fieldPosition="0">
        <references count="1">
          <reference field="4294967294" count="1" selected="0">
            <x v="0"/>
          </reference>
        </references>
      </pivotArea>
    </format>
    <format dxfId="20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C5CE-02AD-470E-8866-3EB83F2BB0D9}" name="PivotTable2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J5:D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3">
      <pivotArea outline="0" fieldPosition="0">
        <references count="1">
          <reference field="4294967294" count="1" selected="0">
            <x v="0"/>
          </reference>
        </references>
      </pivotArea>
    </format>
    <format dxfId="20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48E85-F52F-4AEC-88B6-B539E2D29AB7}" name="PivotTable5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I5:M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5"/>
        <item m="1" x="86"/>
        <item m="1" x="6"/>
        <item m="1" x="85"/>
        <item m="1" x="74"/>
        <item m="1" x="18"/>
        <item m="1" x="75"/>
        <item m="1" x="73"/>
        <item m="1" x="17"/>
        <item m="1" x="83"/>
        <item m="1" x="79"/>
        <item m="1" x="77"/>
        <item m="1" x="78"/>
        <item m="1" x="76"/>
        <item m="1" x="80"/>
        <item m="1" x="5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x="1"/>
        <item x="2"/>
        <item m="1" x="10"/>
        <item m="1" x="56"/>
        <item m="1" x="55"/>
        <item m="1" x="54"/>
        <item m="1" x="53"/>
        <item m="1" x="50"/>
        <item m="1" x="49"/>
        <item m="1" x="52"/>
        <item m="1" x="51"/>
        <item m="1" x="48"/>
        <item m="1" x="45"/>
        <item m="1" x="46"/>
        <item m="1" x="47"/>
        <item m="1" x="44"/>
        <item m="1" x="43"/>
        <item m="1" x="38"/>
        <item m="1" x="37"/>
        <item m="1" x="39"/>
        <item m="1" x="42"/>
        <item m="1" x="36"/>
        <item m="1" x="35"/>
        <item m="1" x="33"/>
        <item m="1" x="34"/>
        <item m="1" x="40"/>
        <item m="1" x="41"/>
        <item m="1" x="32"/>
        <item m="1" x="31"/>
        <item m="1" x="30"/>
        <item m="1" x="29"/>
        <item m="1" x="26"/>
        <item m="1" x="28"/>
        <item m="1" x="7"/>
        <item m="1" x="27"/>
        <item m="1" x="22"/>
        <item m="1" x="23"/>
        <item m="1" x="20"/>
        <item m="1" x="21"/>
        <item m="1" x="25"/>
        <item m="1" x="24"/>
        <item m="1" x="8"/>
        <item m="1" x="19"/>
        <item m="1" x="16"/>
        <item m="1" x="3"/>
        <item m="1" x="12"/>
        <item m="1" x="14"/>
        <item m="1" x="9"/>
        <item m="1" x="13"/>
        <item m="1" x="11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6">
      <pivotArea outline="0" fieldPosition="0">
        <references count="1">
          <reference field="4294967294" count="1" selected="0">
            <x v="0"/>
          </reference>
        </references>
      </pivotArea>
    </format>
    <format dxfId="20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2FF8B-514E-4D65-8C12-F58B1C91E2CE}" name="PivotTable6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W5:TZ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3"/>
        <item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9">
      <pivotArea outline="0" fieldPosition="0">
        <references count="1">
          <reference field="4294967294" count="1" selected="0">
            <x v="0"/>
          </reference>
        </references>
      </pivotArea>
    </format>
    <format dxfId="20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16833-C835-4445-819D-E4E0BB88C12C}" name="PivotTable22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DP5:D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h="1" m="1" x="7"/>
        <item h="1" x="0"/>
        <item h="1" m="1" x="8"/>
        <item h="1" m="1" x="20"/>
        <item h="1" m="1" x="21"/>
        <item h="1" m="1" x="22"/>
        <item h="1" x="2"/>
        <item h="1" m="1" x="23"/>
        <item h="1" x="1"/>
        <item h="1" m="1" x="6"/>
        <item h="1" m="1" x="4"/>
        <item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2">
      <pivotArea outline="0" fieldPosition="0">
        <references count="1">
          <reference field="4294967294" count="1" selected="0">
            <x v="0"/>
          </reference>
        </references>
      </pivotArea>
    </format>
    <format dxfId="20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F8514-A037-46CE-9112-D0ADFB111D11}" name="PivotTable2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J5:EM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5"/>
        <item m="1" x="86"/>
        <item m="1" x="6"/>
        <item m="1" x="85"/>
        <item m="1" x="74"/>
        <item m="1" x="18"/>
        <item m="1" x="75"/>
        <item m="1" x="73"/>
        <item m="1" x="17"/>
        <item m="1" x="83"/>
        <item m="1" x="79"/>
        <item m="1" x="77"/>
        <item m="1" x="78"/>
        <item m="1" x="76"/>
        <item m="1" x="80"/>
        <item m="1" x="5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x="1"/>
        <item x="2"/>
        <item m="1" x="10"/>
        <item m="1" x="56"/>
        <item m="1" x="55"/>
        <item m="1" x="54"/>
        <item m="1" x="53"/>
        <item m="1" x="50"/>
        <item m="1" x="49"/>
        <item m="1" x="52"/>
        <item m="1" x="51"/>
        <item m="1" x="48"/>
        <item m="1" x="45"/>
        <item m="1" x="46"/>
        <item m="1" x="47"/>
        <item m="1" x="44"/>
        <item m="1" x="43"/>
        <item m="1" x="38"/>
        <item m="1" x="37"/>
        <item m="1" x="39"/>
        <item m="1" x="42"/>
        <item m="1" x="36"/>
        <item m="1" x="35"/>
        <item m="1" x="33"/>
        <item m="1" x="34"/>
        <item m="1" x="40"/>
        <item m="1" x="41"/>
        <item m="1" x="32"/>
        <item m="1" x="31"/>
        <item m="1" x="30"/>
        <item m="1" x="29"/>
        <item m="1" x="26"/>
        <item m="1" x="28"/>
        <item m="1" x="7"/>
        <item m="1" x="27"/>
        <item m="1" x="22"/>
        <item m="1" x="23"/>
        <item m="1" x="20"/>
        <item m="1" x="21"/>
        <item m="1" x="25"/>
        <item m="1" x="24"/>
        <item m="1" x="8"/>
        <item m="1" x="19"/>
        <item m="1" x="16"/>
        <item m="1" x="3"/>
        <item m="1" x="12"/>
        <item m="1" x="14"/>
        <item m="1" x="9"/>
        <item m="1" x="13"/>
        <item m="1" x="11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5">
      <pivotArea outline="0" fieldPosition="0">
        <references count="1">
          <reference field="4294967294" count="1" selected="0">
            <x v="0"/>
          </reference>
        </references>
      </pivotArea>
    </format>
    <format dxfId="20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814A-E426-4497-BF18-CCF81F85C8A8}" name="PivotTable2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D5:D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8">
      <pivotArea outline="0" fieldPosition="0">
        <references count="1">
          <reference field="4294967294" count="1" selected="0">
            <x v="0"/>
          </reference>
        </references>
      </pivotArea>
    </format>
    <format dxfId="20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DA70E-F137-4848-A0A8-79ABC1D2BFDB}" name="PivotTable8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S5:O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1">
      <pivotArea outline="0" fieldPosition="0">
        <references count="1">
          <reference field="4294967294" count="1" selected="0">
            <x v="0"/>
          </reference>
        </references>
      </pivotArea>
    </format>
    <format dxfId="20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7CCF1-FC3C-49EE-9207-CC37ACCE11AD}" name="PivotTable11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Z5:SE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09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95">
      <pivotArea outline="0" fieldPosition="0">
        <references count="1">
          <reference field="4294967294" count="1">
            <x v="1"/>
          </reference>
        </references>
      </pivotArea>
    </format>
    <format dxfId="2094">
      <pivotArea outline="0" fieldPosition="0">
        <references count="1">
          <reference field="4294967294" count="1" selected="0">
            <x v="0"/>
          </reference>
        </references>
      </pivotArea>
    </format>
    <format dxfId="20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UGG">
      <autoFilter ref="A1">
        <filterColumn colId="0">
          <customFilters>
            <customFilter val="*U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BAC23-8F2B-47FF-8FFF-08CB95AFE9F7}" name="PivotTable5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L5:Q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0">
      <pivotArea outline="0" fieldPosition="0">
        <references count="1">
          <reference field="4294967294" count="1" selected="0">
            <x v="0"/>
          </reference>
        </references>
      </pivotArea>
    </format>
    <format dxfId="20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82F5E-1762-41B1-84B4-EBF1D7791181}" name="PivotTable48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C5:NH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20"/>
    <field x="15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3">
      <pivotArea outline="0" fieldPosition="0">
        <references count="1">
          <reference field="4294967294" count="1" selected="0">
            <x v="0"/>
          </reference>
        </references>
      </pivotArea>
    </format>
    <format dxfId="2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46766-32C2-4419-90D8-DC24BC8409DA}" name="PivotTable1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Q5:TU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3"/>
        <item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14"/>
        <item m="1" x="8"/>
        <item x="1"/>
        <item m="1" x="11"/>
        <item m="1" x="17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6">
      <pivotArea outline="0" fieldPosition="0">
        <references count="1">
          <reference field="4294967294" count="1" selected="0">
            <x v="0"/>
          </reference>
        </references>
      </pivotArea>
    </format>
    <format dxfId="21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4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6B94A-2A94-4260-8589-080FF2FE8421}" name="PivotTable35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IK5:IN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9">
      <pivotArea outline="0" fieldPosition="0">
        <references count="1">
          <reference field="4294967294" count="1" selected="0">
            <x v="0"/>
          </reference>
        </references>
      </pivotArea>
    </format>
    <format dxfId="2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2A747-446A-4292-B0B6-F05441972F63}" name="PivotTable13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T5:SX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0"/>
    <field x="2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3">
      <pivotArea outline="0" fieldPosition="0">
        <references count="1">
          <reference field="4294967294" count="1">
            <x v="1"/>
          </reference>
        </references>
      </pivotArea>
    </format>
    <format dxfId="2112">
      <pivotArea outline="0" fieldPosition="0">
        <references count="1">
          <reference field="4294967294" count="1" selected="0">
            <x v="0"/>
          </reference>
        </references>
      </pivotArea>
    </format>
    <format dxfId="21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0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26EB7-F1BD-4E94-8C9C-61FC383A9A3A}" name="PivotTable2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U5:D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1"/>
        <item m="1" x="44"/>
        <item m="1" x="5"/>
        <item x="2"/>
        <item x="0"/>
        <item m="1" x="4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18">
      <pivotArea outline="0" fieldPosition="0">
        <references count="1">
          <reference field="4294967294" count="1" selected="0">
            <x v="0"/>
          </reference>
        </references>
      </pivotArea>
    </format>
    <format dxfId="21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6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956D-B17D-4892-9759-1E5DD26827CD}" name="PivotTable36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F5:II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x="1"/>
        <item m="1" x="44"/>
        <item m="1" x="5"/>
        <item x="2"/>
        <item x="0"/>
        <item m="1" x="4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1">
      <pivotArea outline="0" fieldPosition="0">
        <references count="1">
          <reference field="4294967294" count="1" selected="0">
            <x v="0"/>
          </reference>
        </references>
      </pivotArea>
    </format>
    <format dxfId="2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9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67909-469F-4AD3-BA16-C1365FA6FA63}" name="PivotTable58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N5:SR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h="1" x="0"/>
        <item h="1" m="1" x="8"/>
        <item h="1" m="1" x="20"/>
        <item m="1" x="21"/>
        <item h="1" m="1" x="22"/>
        <item h="1"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4">
      <pivotArea outline="0" fieldPosition="0">
        <references count="1">
          <reference field="4294967294" count="1" selected="0">
            <x v="0"/>
          </reference>
        </references>
      </pivotArea>
    </format>
    <format dxfId="21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9904D-7CEC-4A22-BFF8-22B2C91C77EF}" name="PivotTable14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Z5:TD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7">
      <pivotArea outline="0" fieldPosition="0">
        <references count="1">
          <reference field="4294967294" count="1" selected="0">
            <x v="0"/>
          </reference>
        </references>
      </pivotArea>
    </format>
    <format dxfId="2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5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5AD8C-A29A-4A39-B05F-23B9DCD83E50}" name="PivotTable57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S5:RX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15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0">
      <pivotArea outline="0" fieldPosition="0">
        <references count="1">
          <reference field="4294967294" count="1" selected="0">
            <x v="0"/>
          </reference>
        </references>
      </pivotArea>
    </format>
    <format dxfId="21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15" type="captionContains" evalOrder="-1" id="6" stringValue1="COUP">
      <autoFilter ref="A1">
        <filterColumn colId="0">
          <customFilters>
            <customFilter val="*COUP*"/>
          </customFilters>
        </filterColumn>
      </autoFilter>
    </filter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787FB-F500-4F84-B510-0B8480333B1C}" name="PivotTable6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M5:F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3">
      <pivotArea outline="0" fieldPosition="0">
        <references count="1">
          <reference field="4294967294" count="1" selected="0">
            <x v="0"/>
          </reference>
        </references>
      </pivotArea>
    </format>
    <format dxfId="21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E5C34-CF4E-4A51-933A-0AE64E17D7D8}" name="PivotTable8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E5:P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6">
      <pivotArea outline="0" fieldPosition="0">
        <references count="1">
          <reference field="4294967294" count="1" selected="0">
            <x v="0"/>
          </reference>
        </references>
      </pivotArea>
    </format>
    <format dxfId="21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A0585-B018-4465-922B-373E25562867}" name="PivotTable38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O5:H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9">
      <pivotArea outline="0" fieldPosition="0">
        <references count="1">
          <reference field="4294967294" count="1" selected="0">
            <x v="0"/>
          </reference>
        </references>
      </pivotArea>
    </format>
    <format dxfId="2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226C4-2633-49B6-AF00-92B93A0B669D}" name="PivotTable80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OM5:O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2">
      <pivotArea outline="0" fieldPosition="0">
        <references count="1">
          <reference field="4294967294" count="1" selected="0">
            <x v="0"/>
          </reference>
        </references>
      </pivotArea>
    </format>
    <format dxfId="2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6007-4E71-4BAA-A004-1A747D130897}" name="PivotTable64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E5:G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5">
      <pivotArea outline="0" fieldPosition="0">
        <references count="1">
          <reference field="4294967294" count="1" selected="0">
            <x v="0"/>
          </reference>
        </references>
      </pivotArea>
    </format>
    <format dxfId="21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A61C5-CC39-4441-A4B6-B191B6C67DB6}" name="PivotTable47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MV5:NA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8">
      <pivotArea outline="0" fieldPosition="0">
        <references count="1">
          <reference field="4294967294" count="1" selected="0">
            <x v="0"/>
          </reference>
        </references>
      </pivotArea>
    </format>
    <format dxfId="2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EACF6-5B01-42A5-A0EF-E5AE2CA0A8B9}" name="PivotTable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L5:RQ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1">
      <pivotArea outline="0" fieldPosition="0">
        <references count="1">
          <reference field="4294967294" count="1" selected="0">
            <x v="0"/>
          </reference>
        </references>
      </pivotArea>
    </format>
    <format dxfId="21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9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D0655-9DE1-479E-97B1-8AC4EBC1D0AB}" name="PivotTable6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S5:F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4">
      <pivotArea outline="0" fieldPosition="0">
        <references count="1">
          <reference field="4294967294" count="1" selected="0">
            <x v="0"/>
          </reference>
        </references>
      </pivotArea>
    </format>
    <format dxfId="2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DCE7-D07E-4B1A-B983-049BAB789A3F}" name="PivotTable44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O5:N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1"/>
        <item m="1" x="59"/>
        <item m="1" x="58"/>
        <item m="1" x="61"/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21"/>
        <item m="1" x="360"/>
        <item m="1" x="14"/>
        <item m="1" x="366"/>
        <item m="1" x="358"/>
        <item m="1" x="364"/>
        <item m="1" x="365"/>
        <item m="1" x="363"/>
        <item m="1" x="64"/>
        <item m="1" x="35"/>
        <item m="1" x="351"/>
        <item m="1" x="353"/>
        <item m="1" x="352"/>
        <item m="1" x="354"/>
        <item m="1" x="52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13"/>
        <item m="1" x="45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46"/>
        <item m="1" x="300"/>
        <item m="1" x="34"/>
        <item m="1" x="54"/>
        <item m="1" x="72"/>
        <item m="1" x="299"/>
        <item m="1" x="50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5"/>
        <item m="1" x="19"/>
        <item m="1" x="20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53"/>
        <item m="1" x="32"/>
        <item m="1" x="51"/>
        <item m="1" x="274"/>
        <item m="1" x="272"/>
        <item m="1" x="273"/>
        <item m="1" x="271"/>
        <item m="1" x="49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m="1" x="43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63"/>
        <item m="1" x="62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47"/>
        <item m="1" x="56"/>
        <item m="1" x="55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48"/>
        <item m="1" x="60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7">
      <pivotArea outline="0" fieldPosition="0">
        <references count="1">
          <reference field="4294967294" count="1" selected="0">
            <x v="0"/>
          </reference>
        </references>
      </pivotArea>
    </format>
    <format dxfId="21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A9DA-9F04-4C1F-A583-B0A0BC2AD5F0}" name="PivotTable74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J5:K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0">
      <pivotArea outline="0" fieldPosition="0">
        <references count="1">
          <reference field="4294967294" count="1" selected="0">
            <x v="0"/>
          </reference>
        </references>
      </pivotArea>
    </format>
    <format dxfId="21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4B470-6FFB-46F6-9A0C-2C7464619272}" name="PivotTable4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U5:N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3">
      <pivotArea outline="0" fieldPosition="0">
        <references count="1">
          <reference field="4294967294" count="1" selected="0">
            <x v="0"/>
          </reference>
        </references>
      </pivotArea>
    </format>
    <format dxfId="21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DFF71-5AC7-4967-A3E1-3B07D3AACE31}" name="PivotTable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P5:LU12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20"/>
    <field x="15"/>
    <field x="11"/>
  </rowFields>
  <rowItems count="7">
    <i>
      <x v="5"/>
    </i>
    <i r="1">
      <x v="25"/>
      <x v="6"/>
      <x v="2315"/>
      <x v="7"/>
    </i>
    <i>
      <x v="172"/>
    </i>
    <i r="1">
      <x v="25"/>
      <x v="6"/>
      <x v="2315"/>
      <x v="7"/>
    </i>
    <i>
      <x v="173"/>
    </i>
    <i r="1">
      <x v="25"/>
      <x v="6"/>
      <x v="2315"/>
      <x v="7"/>
    </i>
    <i t="grand">
      <x/>
    </i>
  </rowItems>
  <colItems count="1">
    <i/>
  </colItems>
  <dataFields count="1">
    <dataField name="QTY" fld="32" subtotal="count" baseField="21" baseItem="1"/>
  </dataFields>
  <formats count="3">
    <format dxfId="2166">
      <pivotArea outline="0" fieldPosition="0">
        <references count="1">
          <reference field="4294967294" count="1" selected="0">
            <x v="0"/>
          </reference>
        </references>
      </pivotArea>
    </format>
    <format dxfId="21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5" type="captionContains" evalOrder="-1" id="13" stringValue1="Soldered">
      <autoFilter ref="A1">
        <filterColumn colId="0">
          <customFilters>
            <customFilter val="*Soldered*"/>
          </customFilters>
        </filterColumn>
      </autoFilter>
    </filter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873FD-A2DB-4D24-8DDB-A23583E46035}" name="PivotTable1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E5:RJ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7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7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70">
      <pivotArea outline="0" fieldPosition="0">
        <references count="1">
          <reference field="4294967294" count="1">
            <x v="1"/>
          </reference>
        </references>
      </pivotArea>
    </format>
    <format dxfId="2169">
      <pivotArea outline="0" fieldPosition="0">
        <references count="1">
          <reference field="4294967294" count="1" selected="0">
            <x v="0"/>
          </reference>
        </references>
      </pivotArea>
    </format>
    <format dxfId="21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52346-897F-4004-98A5-82C8223FDE97}" name="PivotTable8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K5:PP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76">
      <pivotArea outline="0" fieldPosition="0">
        <references count="1">
          <reference field="4294967294" count="1">
            <x v="1"/>
          </reference>
        </references>
      </pivotArea>
    </format>
    <format dxfId="2175">
      <pivotArea outline="0" fieldPosition="0">
        <references count="1">
          <reference field="4294967294" count="1" selected="0">
            <x v="0"/>
          </reference>
        </references>
      </pivotArea>
    </format>
    <format dxfId="21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E37D3-FDDD-4AC1-B624-AE3D8798E643}" name="PivotTable76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JX5:K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81">
      <pivotArea outline="0" fieldPosition="0">
        <references count="1">
          <reference field="4294967294" count="1" selected="0">
            <x v="0"/>
          </reference>
        </references>
      </pivotArea>
    </format>
    <format dxfId="21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C929-746D-4B93-BB9B-CAD9D13588B2}" name="PivotTable46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O5:MT9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4">
    <i>
      <x v="5"/>
    </i>
    <i r="1">
      <x v="7"/>
    </i>
    <i r="2">
      <x v="6"/>
      <x v="25"/>
      <x v="2511"/>
    </i>
    <i t="grand">
      <x/>
    </i>
  </rowItems>
  <colItems count="1">
    <i/>
  </colItems>
  <dataFields count="1">
    <dataField name="QTY" fld="32" subtotal="count" baseField="21" baseItem="1"/>
  </dataFields>
  <formats count="3">
    <format dxfId="2184">
      <pivotArea outline="0" fieldPosition="0">
        <references count="1">
          <reference field="4294967294" count="1" selected="0">
            <x v="0"/>
          </reference>
        </references>
      </pivotArea>
    </format>
    <format dxfId="21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8CD61-A741-486D-A384-547C2FB708BD}" name="PivotTable18" cacheId="2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compactData="0" multipleFieldFilters="0">
  <location ref="UC5:UG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6"/>
        <item m="1" x="9"/>
        <item m="1" x="8"/>
        <item m="1" x="1"/>
        <item m="1" x="7"/>
        <item m="1" x="5"/>
        <item m="1" x="4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1"/>
        <item m="1" x="4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6"/>
        <item m="1" x="12"/>
        <item m="1" x="13"/>
        <item m="1" x="9"/>
        <item m="1" x="10"/>
        <item m="1" x="11"/>
        <item m="1" x="8"/>
        <item m="1" x="7"/>
        <item m="1" x="14"/>
        <item m="1" x="17"/>
        <item m="1" x="15"/>
        <item m="1" x="16"/>
        <item m="1" x="25"/>
        <item m="1" x="23"/>
        <item m="1" x="22"/>
        <item m="1" x="4"/>
        <item m="1" x="5"/>
        <item m="1" x="24"/>
        <item m="1" x="18"/>
        <item m="1" x="19"/>
        <item m="1" x="21"/>
        <item m="1" x="20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89">
        <item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0">
        <item m="1" x="3"/>
        <item m="1" x="1"/>
        <item x="0"/>
        <item m="1" x="2"/>
        <item m="1" x="5"/>
        <item m="1" x="6"/>
        <item m="1" x="7"/>
        <item m="1" x="8"/>
        <item m="1" x="9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5"/>
    <field x="38"/>
    <field x="7"/>
    <field x="12"/>
  </rowFields>
  <rowItems count="1">
    <i>
      <x v="9"/>
      <x v="4"/>
      <x v="2"/>
      <x v="2"/>
      <x v="25"/>
    </i>
  </rowItems>
  <colItems count="1">
    <i/>
  </colItems>
  <formats count="1">
    <format dxfId="2185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38" type="captionNotEqual" evalOrder="-1" id="1" stringValue1="(blanks)">
      <autoFilter ref="A1">
        <filterColumn colId="0">
          <customFilters>
            <customFilter operator="notEqual" val="(blanks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28C0E-89EF-4C15-9588-4E40AAB46BE6}" name="PivotTable12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G5:SL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4" baseItem="0"/>
  </dataFields>
  <formats count="3">
    <format dxfId="2188">
      <pivotArea outline="0" fieldPosition="0">
        <references count="1">
          <reference field="4294967294" count="1" selected="0">
            <x v="0"/>
          </reference>
        </references>
      </pivotArea>
    </format>
    <format dxfId="21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6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1F3D2-99ED-4B47-9F0C-029E7BEA65CE}" name="PivotTable59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TF5:TI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91">
      <pivotArea outline="0" fieldPosition="0">
        <references count="1">
          <reference field="4294967294" count="1" selected="0">
            <x v="0"/>
          </reference>
        </references>
      </pivotArea>
    </format>
    <format dxfId="21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2F8A9-8D45-4FEF-AB3E-FEADFA35FE47}" name="PivotTable3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P5:I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94">
      <pivotArea outline="0" fieldPosition="0">
        <references count="1">
          <reference field="4294967294" count="1" selected="0">
            <x v="0"/>
          </reference>
        </references>
      </pivotArea>
    </format>
    <format dxfId="21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D6DDE-06A1-44D6-87EF-F77A5284C9CC}" name="PivotTable7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D5:K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97">
      <pivotArea outline="0" fieldPosition="0">
        <references count="1">
          <reference field="4294967294" count="1" selected="0">
            <x v="0"/>
          </reference>
        </references>
      </pivotArea>
    </format>
    <format dxfId="21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E3A6-F126-4188-84C8-916676957B21}" name="PivotTable4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C5:M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0">
      <pivotArea outline="0" fieldPosition="0">
        <references count="1">
          <reference field="4294967294" count="1" selected="0">
            <x v="0"/>
          </reference>
        </references>
      </pivotArea>
    </format>
    <format dxfId="2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41D67-7E06-445A-AD5B-134BAB100E32}" name="PivotTable3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F5:J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3">
      <pivotArea outline="0" fieldPosition="0">
        <references count="1">
          <reference field="4294967294" count="1" selected="0">
            <x v="0"/>
          </reference>
        </references>
      </pivotArea>
    </format>
    <format dxfId="22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AEE60-6CDB-49BB-9C94-8C8E3E6B3A44}" name="PIPE SS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Q5:GU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0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07">
      <pivotArea outline="0" fieldPosition="0">
        <references count="1">
          <reference field="4294967294" count="1">
            <x v="1"/>
          </reference>
        </references>
      </pivotArea>
    </format>
    <format dxfId="2206">
      <pivotArea outline="0" fieldPosition="0">
        <references count="1">
          <reference field="4294967294" count="1" selected="0">
            <x v="0"/>
          </reference>
        </references>
      </pivotArea>
    </format>
    <format dxfId="22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970D5-A2FA-4AA2-8580-8A1FB8B6F884}" name="PivotTable24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Z5:EC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2">
      <pivotArea outline="0" fieldPosition="0">
        <references count="1">
          <reference field="4294967294" count="1" selected="0">
            <x v="0"/>
          </reference>
        </references>
      </pivotArea>
    </format>
    <format dxfId="22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F248E-0E76-4F39-98EA-F758AD0D4957}" name="PivotTable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Y5:QD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5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5">
      <pivotArea outline="0" fieldPosition="0">
        <references count="1">
          <reference field="4294967294" count="1" selected="0">
            <x v="0"/>
          </reference>
        </references>
      </pivotArea>
    </format>
    <format dxfId="22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3" stringValue1="?GG">
      <autoFilter ref="A1">
        <filterColumn colId="0">
          <customFilters>
            <customFilter val="*?GG*"/>
          </customFilters>
        </filterColumn>
      </autoFilter>
    </filter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A544B-D62B-4884-99E0-EAAAD4EB5433}" name="FTG CS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L5:CP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8">
      <pivotArea outline="0" fieldPosition="0">
        <references count="1">
          <reference field="4294967294" count="1" selected="0">
            <x v="0"/>
          </reference>
        </references>
      </pivotArea>
    </format>
    <format dxfId="22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6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252C7-EA3F-4770-986E-5AEF473E0DA7}" name="PivotTable40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I5:H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1">
      <pivotArea outline="0" fieldPosition="0">
        <references count="1">
          <reference field="4294967294" count="1" selected="0">
            <x v="0"/>
          </reference>
        </references>
      </pivotArea>
    </format>
    <format dxfId="2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3BE605-C59F-40FD-ABD1-2CDB234C9F29}" name="FTG CU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I5:LN22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ortType="ascending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14"/>
        <item m="1" x="8"/>
        <item x="1"/>
        <item m="1" x="11"/>
        <item m="1" x="12"/>
        <item m="1" x="13"/>
        <item m="1" x="17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7">
    <i>
      <x v="2"/>
    </i>
    <i r="1">
      <x v="10"/>
      <x v="2"/>
      <x v="6"/>
      <x v="25"/>
    </i>
    <i r="1">
      <x v="19"/>
      <x v="2"/>
      <x v="6"/>
      <x v="25"/>
    </i>
    <i r="2">
      <x v="9"/>
      <x v="6"/>
      <x v="25"/>
    </i>
    <i r="1">
      <x v="20"/>
      <x v="2"/>
      <x v="6"/>
      <x v="25"/>
    </i>
    <i r="1">
      <x v="28"/>
      <x v="2"/>
      <x v="6"/>
      <x v="25"/>
    </i>
    <i>
      <x v="3"/>
    </i>
    <i r="1">
      <x v="9"/>
      <x v="9"/>
      <x v="6"/>
      <x v="25"/>
    </i>
    <i r="1">
      <x v="19"/>
      <x v="2"/>
      <x v="6"/>
      <x v="25"/>
    </i>
    <i r="1">
      <x v="20"/>
      <x v="2"/>
      <x v="6"/>
      <x v="25"/>
    </i>
    <i r="1">
      <x v="28"/>
      <x v="2"/>
      <x v="6"/>
      <x v="25"/>
    </i>
    <i>
      <x v="15"/>
    </i>
    <i r="1">
      <x v="10"/>
      <x v="9"/>
      <x v="6"/>
      <x v="25"/>
    </i>
    <i r="1">
      <x v="17"/>
      <x v="9"/>
      <x v="6"/>
      <x v="25"/>
    </i>
    <i r="1">
      <x v="19"/>
      <x v="9"/>
      <x v="6"/>
      <x v="25"/>
    </i>
    <i r="1">
      <x v="20"/>
      <x v="9"/>
      <x v="6"/>
      <x v="25"/>
    </i>
    <i t="grand">
      <x/>
    </i>
  </rowItems>
  <colItems count="1">
    <i/>
  </colItems>
  <dataFields count="1">
    <dataField name="QTY" fld="32" subtotal="count" baseField="21" baseItem="1"/>
  </dataFields>
  <formats count="3">
    <format dxfId="2224">
      <pivotArea outline="0" fieldPosition="0">
        <references count="1">
          <reference field="4294967294" count="1" selected="0">
            <x v="0"/>
          </reference>
        </references>
      </pivotArea>
    </format>
    <format dxfId="22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2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D2F63-D08D-4CB2-9562-FFC4A3F3652D}" name="PivotTable5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X5:RC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7">
      <pivotArea outline="0" fieldPosition="0">
        <references count="1">
          <reference field="4294967294" count="1" selected="0">
            <x v="0"/>
          </reference>
        </references>
      </pivotArea>
    </format>
    <format dxfId="22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4818-4E59-48F3-9B93-25EB9417B7FB}" name="PivotTable3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L5:J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0">
      <pivotArea outline="0" fieldPosition="0">
        <references count="1">
          <reference field="4294967294" count="1" selected="0">
            <x v="0"/>
          </reference>
        </references>
      </pivotArea>
    </format>
    <format dxfId="22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2DD32-4E81-499C-B7DD-49570DCA6ACB}" name="PivotTable3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FG5:F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3">
      <pivotArea outline="0" fieldPosition="0">
        <references count="1">
          <reference field="4294967294" count="1" selected="0">
            <x v="0"/>
          </reference>
        </references>
      </pivotArea>
    </format>
    <format dxfId="22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02D19-219D-4E55-B827-F8D4772D16D4}" name="PIPE CS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CF5:CJ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3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37">
      <pivotArea outline="0" fieldPosition="0">
        <references count="1">
          <reference field="4294967294" count="1">
            <x v="1"/>
          </reference>
        </references>
      </pivotArea>
    </format>
    <format dxfId="2236">
      <pivotArea outline="0" fieldPosition="0">
        <references count="1">
          <reference field="4294967294" count="1" selected="0">
            <x v="0"/>
          </reference>
        </references>
      </pivotArea>
    </format>
    <format dxfId="22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78DA3-F1C6-4A0A-A244-24FFE87C6783}" name="PivotTable4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W5:M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42">
      <pivotArea outline="0" fieldPosition="0">
        <references count="1">
          <reference field="4294967294" count="1" selected="0">
            <x v="0"/>
          </reference>
        </references>
      </pivotArea>
    </format>
    <format dxfId="22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A9238-701B-4F32-B643-651D05474DF3}" name="FTG SS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GW5:HA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45">
      <pivotArea outline="0" fieldPosition="0">
        <references count="1">
          <reference field="4294967294" count="1" selected="0">
            <x v="0"/>
          </reference>
        </references>
      </pivotArea>
    </format>
    <format dxfId="2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3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30B73-6F5E-44B2-A421-789F982F9C2E}" name="PivotTable65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K5:GO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48">
      <pivotArea outline="0" fieldPosition="0">
        <references count="1">
          <reference field="4294967294" count="1" selected="0">
            <x v="0"/>
          </reference>
        </references>
      </pivotArea>
    </format>
    <format dxfId="22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61050-A200-43AD-959D-CEF7582D85B5}" name="PivotTable78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A5:O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1">
      <pivotArea outline="0" fieldPosition="0">
        <references count="1">
          <reference field="4294967294" count="1" selected="0">
            <x v="0"/>
          </reference>
        </references>
      </pivotArea>
    </format>
    <format dxfId="22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2CB28-1AC0-41BD-8AFA-CCE9DDF2547A}" name="PivotTable4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C5:H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4">
      <pivotArea outline="0" fieldPosition="0">
        <references count="1">
          <reference field="4294967294" count="1" selected="0">
            <x v="0"/>
          </reference>
        </references>
      </pivotArea>
    </format>
    <format dxfId="22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F2DB3-6DB3-414C-BEF9-4A43BD7B66B3}" name="PivotTable7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R5:PW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9"/>
        <item h="1" m="1" x="7"/>
        <item x="0"/>
        <item m="1" x="8"/>
        <item m="1" x="20"/>
        <item h="1" m="1" x="21"/>
        <item m="1" x="22"/>
        <item h="1" x="2"/>
        <item m="1" x="23"/>
        <item x="1"/>
        <item m="1" x="6"/>
        <item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x="0"/>
        <item x="2"/>
        <item m="1" x="5"/>
        <item m="1" x="9"/>
        <item m="1" x="19"/>
        <item m="1" x="10"/>
        <item m="1" x="16"/>
        <item m="1" x="6"/>
        <item m="1" x="18"/>
        <item m="1" x="4"/>
        <item m="1" x="3"/>
        <item m="1" x="8"/>
        <item x="1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7">
      <pivotArea outline="0" fieldPosition="0">
        <references count="1">
          <reference field="4294967294" count="1" selected="0">
            <x v="0"/>
          </reference>
        </references>
      </pivotArea>
    </format>
    <format dxfId="22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5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D094-BA29-4967-994F-503A4187B635}" name="PivotTable56" cacheId="25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QF5:Q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0">
      <pivotArea outline="0" fieldPosition="0">
        <references count="1">
          <reference field="4294967294" count="1" selected="0">
            <x v="0"/>
          </reference>
        </references>
      </pivotArea>
    </format>
    <format dxfId="22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1" stringValue1="?GG">
      <autoFilter ref="A1">
        <filterColumn colId="0">
          <customFilters>
            <customFilter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39011-62BD-4F6B-9400-49AE88DEBBFC}" name="PivotTable77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R5:J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3">
      <pivotArea outline="0" fieldPosition="0">
        <references count="1">
          <reference field="4294967294" count="1" selected="0">
            <x v="0"/>
          </reference>
        </references>
      </pivotArea>
    </format>
    <format dxfId="22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65F1F-A484-4094-9B0B-AEA99EBAFC4F}" name="PivotTable51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R5:Q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m="1" x="1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2"/>
        <item m="1" x="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0"/>
        <item m="1" x="91"/>
        <item m="1" x="92"/>
        <item m="1" x="89"/>
        <item m="1" x="90"/>
        <item m="1" x="88"/>
        <item m="1" x="87"/>
        <item m="1" x="15"/>
        <item m="1" x="86"/>
        <item m="1" x="6"/>
        <item m="1" x="85"/>
        <item m="1" x="74"/>
        <item m="1" x="18"/>
        <item m="1" x="75"/>
        <item m="1" x="73"/>
        <item m="1" x="17"/>
        <item m="1" x="83"/>
        <item m="1" x="79"/>
        <item m="1" x="77"/>
        <item m="1" x="78"/>
        <item m="1" x="76"/>
        <item m="1" x="80"/>
        <item m="1" x="5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x="1"/>
        <item x="2"/>
        <item m="1" x="10"/>
        <item m="1" x="56"/>
        <item m="1" x="55"/>
        <item m="1" x="54"/>
        <item m="1" x="53"/>
        <item m="1" x="50"/>
        <item m="1" x="49"/>
        <item m="1" x="52"/>
        <item m="1" x="51"/>
        <item m="1" x="48"/>
        <item m="1" x="45"/>
        <item m="1" x="46"/>
        <item m="1" x="47"/>
        <item m="1" x="44"/>
        <item m="1" x="43"/>
        <item m="1" x="38"/>
        <item m="1" x="37"/>
        <item m="1" x="39"/>
        <item m="1" x="42"/>
        <item m="1" x="36"/>
        <item m="1" x="35"/>
        <item m="1" x="33"/>
        <item m="1" x="34"/>
        <item m="1" x="40"/>
        <item m="1" x="41"/>
        <item m="1" x="32"/>
        <item m="1" x="31"/>
        <item m="1" x="30"/>
        <item m="1" x="29"/>
        <item m="1" x="26"/>
        <item m="1" x="28"/>
        <item m="1" x="7"/>
        <item m="1" x="27"/>
        <item m="1" x="22"/>
        <item m="1" x="23"/>
        <item m="1" x="20"/>
        <item m="1" x="21"/>
        <item m="1" x="25"/>
        <item m="1" x="24"/>
        <item m="1" x="8"/>
        <item m="1" x="19"/>
        <item m="1" x="16"/>
        <item m="1" x="3"/>
        <item m="1" x="12"/>
        <item m="1" x="14"/>
        <item m="1" x="9"/>
        <item m="1" x="13"/>
        <item m="1" x="11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6">
      <pivotArea outline="0" fieldPosition="0">
        <references count="1">
          <reference field="4294967294" count="1" selected="0">
            <x v="0"/>
          </reference>
        </references>
      </pivotArea>
    </format>
    <format dxfId="22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6">
    <filter fld="2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AE23A-71A8-4620-8082-85F4CACC4911}" name="PivotTable17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R5:C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9">
      <pivotArea outline="0" fieldPosition="0">
        <references count="1">
          <reference field="4294967294" count="1" selected="0">
            <x v="0"/>
          </reference>
        </references>
      </pivotArea>
    </format>
    <format dxfId="22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7FFC7-B775-4D6A-A3C9-1092D0602626}" name="PivotTable7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G5:O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4"/>
        <item m="1" x="5"/>
        <item h="1" x="1"/>
        <item h="1" m="1" x="13"/>
        <item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2">
      <pivotArea outline="0" fieldPosition="0">
        <references count="1">
          <reference field="4294967294" count="1" selected="0">
            <x v="0"/>
          </reference>
        </references>
      </pivotArea>
    </format>
    <format dxfId="22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AB5B0-8339-4168-B754-43ED42762E94}" name="PivotTable39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U5:H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5">
      <pivotArea outline="0" fieldPosition="0">
        <references count="1">
          <reference field="4294967294" count="1" selected="0">
            <x v="0"/>
          </reference>
        </references>
      </pivotArea>
    </format>
    <format dxfId="22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181C6-14AB-445A-A95B-A6E5610F866D}" name="PivotTable16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K5:TO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4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4"/>
        <item h="1" m="1" x="5"/>
        <item h="1" x="1"/>
        <item h="1" m="1" x="13"/>
        <item h="1" x="0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3"/>
        <item m="1" x="20"/>
        <item h="1" m="1" x="15"/>
        <item h="1" m="1" x="16"/>
        <item h="1" m="1" x="11"/>
        <item h="1" m="1" x="2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8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79">
      <pivotArea outline="0" fieldPosition="0">
        <references count="1">
          <reference field="4294967294" count="1">
            <x v="1"/>
          </reference>
        </references>
      </pivotArea>
    </format>
    <format dxfId="2278">
      <pivotArea outline="0" fieldPosition="0">
        <references count="1">
          <reference field="4294967294" count="1" selected="0">
            <x v="0"/>
          </reference>
        </references>
      </pivotArea>
    </format>
    <format dxfId="22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CF9EE-B636-4D6A-B99E-601995D07278}" name="PivotTable73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P5:KT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84">
      <pivotArea outline="0" fieldPosition="0">
        <references count="1">
          <reference field="4294967294" count="1" selected="0">
            <x v="0"/>
          </reference>
        </references>
      </pivotArea>
    </format>
    <format dxfId="2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DE2DA-1125-417F-BC69-755F66744766}" name="PivotTable72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V5:KZ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50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h="1" x="1"/>
        <item h="1" m="1" x="13"/>
        <item h="1" x="0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3"/>
        <item h="1" m="1" x="20"/>
        <item h="1" m="1" x="15"/>
        <item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9">
        <item m="1" x="390"/>
        <item m="1" x="391"/>
        <item m="1" x="388"/>
        <item m="1" x="389"/>
        <item m="1" x="70"/>
        <item m="1" x="387"/>
        <item m="1" x="384"/>
        <item m="1" x="385"/>
        <item m="1" x="386"/>
        <item m="1" x="29"/>
        <item m="1" x="382"/>
        <item m="1" x="368"/>
        <item m="1" x="380"/>
        <item m="1" x="383"/>
        <item m="1" x="381"/>
        <item m="1" x="370"/>
        <item m="1" x="369"/>
        <item m="1" x="36"/>
        <item m="1" x="66"/>
        <item m="1" x="375"/>
        <item m="1" x="373"/>
        <item m="1" x="376"/>
        <item m="1" x="374"/>
        <item m="1" x="377"/>
        <item m="1" x="379"/>
        <item m="1" x="378"/>
        <item m="1" x="372"/>
        <item m="1" x="371"/>
        <item m="1" x="361"/>
        <item m="1" x="362"/>
        <item m="1" x="355"/>
        <item m="1" x="357"/>
        <item m="1" x="367"/>
        <item m="1" x="359"/>
        <item m="1" x="356"/>
        <item m="1" x="360"/>
        <item m="1" x="366"/>
        <item m="1" x="358"/>
        <item m="1" x="364"/>
        <item m="1" x="365"/>
        <item m="1" x="363"/>
        <item m="1" x="35"/>
        <item m="1" x="351"/>
        <item m="1" x="353"/>
        <item m="1" x="352"/>
        <item m="1" x="354"/>
        <item m="1" x="344"/>
        <item m="1" x="349"/>
        <item m="1" x="350"/>
        <item m="1" x="342"/>
        <item m="1" x="345"/>
        <item m="1" x="343"/>
        <item m="1" x="347"/>
        <item m="1" x="348"/>
        <item m="1" x="346"/>
        <item m="1" x="340"/>
        <item m="1" x="339"/>
        <item m="1" x="341"/>
        <item m="1" x="338"/>
        <item m="1" x="71"/>
        <item m="1" x="315"/>
        <item m="1" x="69"/>
        <item m="1" x="316"/>
        <item m="1" x="317"/>
        <item m="1" x="68"/>
        <item m="1" x="314"/>
        <item m="1" x="333"/>
        <item m="1" x="334"/>
        <item m="1" x="335"/>
        <item m="1" x="336"/>
        <item m="1" x="337"/>
        <item m="1" x="319"/>
        <item m="1" x="320"/>
        <item m="1" x="318"/>
        <item m="1" x="322"/>
        <item m="1" x="325"/>
        <item m="1" x="321"/>
        <item m="1" x="326"/>
        <item m="1" x="328"/>
        <item m="1" x="18"/>
        <item m="1" x="327"/>
        <item m="1" x="330"/>
        <item m="1" x="332"/>
        <item m="1" x="329"/>
        <item m="1" x="331"/>
        <item m="1" x="324"/>
        <item m="1" x="323"/>
        <item m="1" x="17"/>
        <item m="1" x="305"/>
        <item m="1" x="312"/>
        <item m="1" x="304"/>
        <item m="1" x="306"/>
        <item m="1" x="309"/>
        <item m="1" x="307"/>
        <item m="1" x="308"/>
        <item m="1" x="313"/>
        <item m="1" x="311"/>
        <item m="1" x="310"/>
        <item m="1" x="302"/>
        <item m="1" x="301"/>
        <item m="1" x="303"/>
        <item m="1" x="300"/>
        <item m="1" x="72"/>
        <item m="1" x="299"/>
        <item m="1" x="414"/>
        <item m="1" x="413"/>
        <item m="1" x="415"/>
        <item m="1" x="426"/>
        <item m="1" x="26"/>
        <item m="1" x="23"/>
        <item m="1" x="146"/>
        <item m="1" x="421"/>
        <item m="1" x="28"/>
        <item m="1" x="392"/>
        <item m="1" x="425"/>
        <item m="1" x="25"/>
        <item m="1" x="394"/>
        <item m="1" x="395"/>
        <item m="1" x="38"/>
        <item m="1" x="396"/>
        <item m="1" x="397"/>
        <item m="1" x="398"/>
        <item m="1" x="399"/>
        <item m="1" x="400"/>
        <item m="1" x="39"/>
        <item m="1" x="65"/>
        <item m="1" x="420"/>
        <item m="1" x="424"/>
        <item x="3"/>
        <item m="1" x="416"/>
        <item m="1" x="404"/>
        <item m="1" x="287"/>
        <item m="1" x="405"/>
        <item m="1" x="401"/>
        <item m="1" x="427"/>
        <item m="1" x="406"/>
        <item m="1" x="92"/>
        <item m="1" x="30"/>
        <item m="1" x="419"/>
        <item m="1" x="16"/>
        <item m="1" x="19"/>
        <item m="1" x="417"/>
        <item m="1" x="407"/>
        <item m="1" x="402"/>
        <item m="1" x="408"/>
        <item m="1" x="403"/>
        <item m="1" x="393"/>
        <item m="1" x="418"/>
        <item x="9"/>
        <item m="1" x="422"/>
        <item m="1" x="423"/>
        <item m="1" x="409"/>
        <item m="1" x="411"/>
        <item m="1" x="410"/>
        <item m="1" x="412"/>
        <item x="6"/>
        <item m="1" x="276"/>
        <item m="1" x="279"/>
        <item m="1" x="283"/>
        <item m="1" x="282"/>
        <item m="1" x="280"/>
        <item m="1" x="284"/>
        <item m="1" x="296"/>
        <item m="1" x="277"/>
        <item m="1" x="281"/>
        <item m="1" x="285"/>
        <item m="1" x="278"/>
        <item m="1" x="289"/>
        <item m="1" x="286"/>
        <item m="1" x="290"/>
        <item m="1" x="288"/>
        <item m="1" x="297"/>
        <item m="1" x="293"/>
        <item m="1" x="275"/>
        <item m="1" x="292"/>
        <item m="1" x="298"/>
        <item m="1" x="291"/>
        <item m="1" x="294"/>
        <item m="1" x="295"/>
        <item m="1" x="274"/>
        <item m="1" x="272"/>
        <item m="1" x="273"/>
        <item m="1" x="271"/>
        <item m="1" x="269"/>
        <item m="1" x="270"/>
        <item m="1" x="263"/>
        <item m="1" x="264"/>
        <item m="1" x="265"/>
        <item m="1" x="266"/>
        <item m="1" x="268"/>
        <item m="1" x="267"/>
        <item m="1" x="240"/>
        <item m="1" x="241"/>
        <item m="1" x="242"/>
        <item m="1" x="239"/>
        <item m="1" x="248"/>
        <item m="1" x="262"/>
        <item m="1" x="247"/>
        <item m="1" x="250"/>
        <item m="1" x="252"/>
        <item m="1" x="254"/>
        <item m="1" x="255"/>
        <item m="1" x="256"/>
        <item m="1" x="258"/>
        <item m="1" x="251"/>
        <item m="1" x="261"/>
        <item m="1" x="260"/>
        <item m="1" x="259"/>
        <item m="1" x="257"/>
        <item m="1" x="253"/>
        <item m="1" x="249"/>
        <item x="0"/>
        <item m="1" x="244"/>
        <item m="1" x="245"/>
        <item m="1" x="243"/>
        <item m="1" x="246"/>
        <item m="1" x="237"/>
        <item m="1" x="238"/>
        <item m="1" x="236"/>
        <item m="1" x="235"/>
        <item m="1" x="231"/>
        <item m="1" x="232"/>
        <item x="1"/>
        <item m="1" x="233"/>
        <item x="2"/>
        <item m="1" x="224"/>
        <item x="12"/>
        <item x="11"/>
        <item m="1" x="229"/>
        <item x="4"/>
        <item m="1" x="234"/>
        <item x="7"/>
        <item m="1" x="223"/>
        <item m="1" x="227"/>
        <item m="1" x="230"/>
        <item m="1" x="37"/>
        <item m="1" x="226"/>
        <item m="1" x="228"/>
        <item m="1" x="22"/>
        <item m="1" x="225"/>
        <item m="1" x="222"/>
        <item m="1" x="221"/>
        <item m="1" x="57"/>
        <item m="1" x="218"/>
        <item m="1" x="219"/>
        <item m="1" x="220"/>
        <item m="1" x="217"/>
        <item m="1" x="215"/>
        <item m="1" x="216"/>
        <item m="1" x="212"/>
        <item m="1" x="213"/>
        <item m="1" x="214"/>
        <item m="1" x="67"/>
        <item m="1" x="208"/>
        <item m="1" x="207"/>
        <item m="1" x="209"/>
        <item m="1" x="205"/>
        <item m="1" x="204"/>
        <item m="1" x="206"/>
        <item m="1" x="211"/>
        <item m="1" x="210"/>
        <item m="1" x="183"/>
        <item m="1" x="184"/>
        <item m="1" x="185"/>
        <item m="1" x="187"/>
        <item m="1" x="190"/>
        <item m="1" x="182"/>
        <item m="1" x="186"/>
        <item m="1" x="191"/>
        <item m="1" x="188"/>
        <item m="1" x="189"/>
        <item m="1" x="202"/>
        <item m="1" x="193"/>
        <item m="1" x="195"/>
        <item m="1" x="197"/>
        <item m="1" x="200"/>
        <item m="1" x="192"/>
        <item m="1" x="194"/>
        <item m="1" x="196"/>
        <item m="1" x="201"/>
        <item m="1" x="198"/>
        <item m="1" x="199"/>
        <item m="1" x="203"/>
        <item m="1" x="178"/>
        <item m="1" x="181"/>
        <item m="1" x="180"/>
        <item m="1" x="179"/>
        <item m="1" x="175"/>
        <item m="1" x="177"/>
        <item m="1" x="176"/>
        <item m="1" x="173"/>
        <item m="1" x="174"/>
        <item m="1" x="169"/>
        <item m="1" x="164"/>
        <item m="1" x="165"/>
        <item m="1" x="166"/>
        <item m="1" x="171"/>
        <item m="1" x="168"/>
        <item m="1" x="170"/>
        <item m="1" x="167"/>
        <item m="1" x="172"/>
        <item m="1" x="160"/>
        <item m="1" x="163"/>
        <item m="1" x="162"/>
        <item m="1" x="159"/>
        <item m="1" x="158"/>
        <item m="1" x="157"/>
        <item m="1" x="156"/>
        <item m="1" x="155"/>
        <item m="1" x="161"/>
        <item m="1" x="154"/>
        <item m="1" x="153"/>
        <item m="1" x="145"/>
        <item m="1" x="147"/>
        <item m="1" x="148"/>
        <item m="1" x="152"/>
        <item m="1" x="149"/>
        <item m="1" x="150"/>
        <item m="1" x="151"/>
        <item m="1" x="144"/>
        <item m="1" x="143"/>
        <item m="1" x="112"/>
        <item m="1" x="113"/>
        <item m="1" x="114"/>
        <item m="1" x="117"/>
        <item m="1" x="41"/>
        <item m="1" x="118"/>
        <item m="1" x="119"/>
        <item m="1" x="120"/>
        <item m="1" x="121"/>
        <item m="1" x="122"/>
        <item m="1" x="123"/>
        <item m="1" x="124"/>
        <item m="1" x="125"/>
        <item m="1" x="110"/>
        <item m="1" x="111"/>
        <item m="1" x="104"/>
        <item m="1" x="108"/>
        <item m="1" x="109"/>
        <item m="1" x="106"/>
        <item m="1" x="116"/>
        <item m="1" x="115"/>
        <item m="1" x="126"/>
        <item m="1" x="105"/>
        <item m="1" x="40"/>
        <item m="1" x="107"/>
        <item m="1" x="127"/>
        <item m="1" x="129"/>
        <item m="1" x="130"/>
        <item m="1" x="131"/>
        <item m="1" x="132"/>
        <item m="1" x="133"/>
        <item m="1" x="134"/>
        <item m="1" x="135"/>
        <item m="1" x="138"/>
        <item m="1" x="139"/>
        <item m="1" x="128"/>
        <item m="1" x="141"/>
        <item m="1" x="136"/>
        <item m="1" x="142"/>
        <item m="1" x="137"/>
        <item m="1" x="140"/>
        <item m="1" x="99"/>
        <item m="1" x="96"/>
        <item m="1" x="94"/>
        <item m="1" x="98"/>
        <item m="1" x="95"/>
        <item m="1" x="93"/>
        <item m="1" x="97"/>
        <item m="1" x="44"/>
        <item m="1" x="103"/>
        <item m="1" x="100"/>
        <item m="1" x="101"/>
        <item m="1" x="42"/>
        <item m="1" x="102"/>
        <item m="1" x="27"/>
        <item m="1" x="90"/>
        <item m="1" x="89"/>
        <item m="1" x="91"/>
        <item m="1" x="88"/>
        <item m="1" x="79"/>
        <item m="1" x="80"/>
        <item m="1" x="77"/>
        <item m="1" x="78"/>
        <item m="1" x="85"/>
        <item m="1" x="86"/>
        <item m="1" x="74"/>
        <item m="1" x="82"/>
        <item m="1" x="75"/>
        <item m="1" x="83"/>
        <item m="1" x="73"/>
        <item m="1" x="81"/>
        <item m="1" x="24"/>
        <item m="1" x="76"/>
        <item m="1" x="84"/>
        <item m="1" x="87"/>
        <item m="1" x="32"/>
        <item m="1" x="52"/>
        <item m="1" x="55"/>
        <item m="1" x="54"/>
        <item m="1" x="50"/>
        <item m="1" x="13"/>
        <item m="1" x="53"/>
        <item m="1" x="56"/>
        <item m="1" x="49"/>
        <item m="1" x="31"/>
        <item m="1" x="61"/>
        <item m="1" x="62"/>
        <item m="1" x="63"/>
        <item m="1" x="64"/>
        <item m="1" x="45"/>
        <item m="1" x="46"/>
        <item m="1" x="47"/>
        <item m="1" x="60"/>
        <item m="1" x="48"/>
        <item m="1" x="51"/>
        <item m="1" x="58"/>
        <item m="1" x="59"/>
        <item m="1" x="43"/>
        <item m="1" x="33"/>
        <item m="1" x="34"/>
        <item m="1" x="14"/>
        <item m="1" x="15"/>
        <item m="1" x="20"/>
        <item m="1" x="21"/>
        <item x="5"/>
        <item x="8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87">
      <pivotArea outline="0" fieldPosition="0">
        <references count="1">
          <reference field="4294967294" count="1" selected="0">
            <x v="0"/>
          </reference>
        </references>
      </pivotArea>
    </format>
    <format dxfId="22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D38F8-617E-4B89-8DC7-08DECCB092DB}" name="PivotTable28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E5:EH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7">
        <item x="5"/>
        <item m="1" x="417"/>
        <item m="1" x="421"/>
        <item m="1" x="420"/>
        <item m="1" x="418"/>
        <item m="1" x="419"/>
        <item m="1" x="415"/>
        <item m="1" x="416"/>
        <item m="1" x="71"/>
        <item m="1" x="414"/>
        <item m="1" x="409"/>
        <item m="1" x="412"/>
        <item m="1" x="410"/>
        <item m="1" x="413"/>
        <item m="1" x="411"/>
        <item m="1" x="407"/>
        <item m="1" x="408"/>
        <item m="1" x="405"/>
        <item m="1" x="403"/>
        <item m="1" x="406"/>
        <item m="1" x="402"/>
        <item m="1" x="404"/>
        <item m="1" x="65"/>
        <item m="1" x="392"/>
        <item m="1" x="394"/>
        <item m="1" x="395"/>
        <item m="1" x="396"/>
        <item m="1" x="397"/>
        <item m="1" x="393"/>
        <item m="1" x="398"/>
        <item m="1" x="400"/>
        <item m="1" x="401"/>
        <item m="1" x="399"/>
        <item m="1" x="391"/>
        <item m="1" x="384"/>
        <item m="1" x="385"/>
        <item m="1" x="375"/>
        <item m="1" x="377"/>
        <item m="1" x="390"/>
        <item m="1" x="380"/>
        <item m="1" x="379"/>
        <item m="1" x="381"/>
        <item m="1" x="376"/>
        <item m="1" x="383"/>
        <item m="1" x="382"/>
        <item m="1" x="389"/>
        <item m="1" x="378"/>
        <item m="1" x="387"/>
        <item m="1" x="388"/>
        <item m="1" x="386"/>
        <item m="1" x="374"/>
        <item m="1" x="373"/>
        <item m="1" x="372"/>
        <item m="1" x="31"/>
        <item m="1" x="370"/>
        <item m="1" x="371"/>
        <item m="1" x="366"/>
        <item m="1" x="368"/>
        <item m="1" x="367"/>
        <item m="1" x="369"/>
        <item m="1" x="364"/>
        <item m="1" x="363"/>
        <item m="1" x="365"/>
        <item m="1" x="362"/>
        <item m="1" x="361"/>
        <item m="1" x="335"/>
        <item m="1" x="333"/>
        <item m="1" x="331"/>
        <item m="1" x="70"/>
        <item m="1" x="334"/>
        <item m="1" x="336"/>
        <item m="1" x="69"/>
        <item m="1" x="332"/>
        <item m="1" x="360"/>
        <item m="1" x="338"/>
        <item m="1" x="344"/>
        <item m="1" x="345"/>
        <item m="1" x="339"/>
        <item m="1" x="342"/>
        <item m="1" x="337"/>
        <item m="1" x="341"/>
        <item m="1" x="340"/>
        <item m="1" x="343"/>
        <item m="1" x="346"/>
        <item m="1" x="351"/>
        <item m="1" x="348"/>
        <item m="1" x="350"/>
        <item m="1" x="353"/>
        <item m="1" x="16"/>
        <item m="1" x="349"/>
        <item m="1" x="352"/>
        <item m="1" x="359"/>
        <item m="1" x="355"/>
        <item m="1" x="357"/>
        <item m="1" x="358"/>
        <item m="1" x="354"/>
        <item m="1" x="356"/>
        <item m="1" x="15"/>
        <item m="1" x="347"/>
        <item m="1" x="322"/>
        <item m="1" x="329"/>
        <item m="1" x="321"/>
        <item m="1" x="323"/>
        <item m="1" x="326"/>
        <item m="1" x="324"/>
        <item m="1" x="325"/>
        <item m="1" x="330"/>
        <item m="1" x="328"/>
        <item m="1" x="327"/>
        <item m="1" x="319"/>
        <item m="1" x="320"/>
        <item m="1" x="318"/>
        <item m="1" x="317"/>
        <item m="1" x="72"/>
        <item m="1" x="316"/>
        <item m="1" x="443"/>
        <item m="1" x="442"/>
        <item m="1" x="444"/>
        <item m="1" x="21"/>
        <item m="1" x="455"/>
        <item m="1" x="26"/>
        <item m="1" x="453"/>
        <item m="1" x="23"/>
        <item m="1" x="33"/>
        <item m="1" x="423"/>
        <item m="1" x="424"/>
        <item m="1" x="425"/>
        <item m="1" x="35"/>
        <item m="1" x="64"/>
        <item m="1" x="449"/>
        <item m="1" x="452"/>
        <item x="3"/>
        <item m="1" x="445"/>
        <item m="1" x="429"/>
        <item m="1" x="301"/>
        <item m="1" x="430"/>
        <item m="1" x="426"/>
        <item m="1" x="454"/>
        <item m="1" x="431"/>
        <item m="1" x="93"/>
        <item m="1" x="24"/>
        <item m="1" x="448"/>
        <item m="1" x="14"/>
        <item m="1" x="17"/>
        <item m="1" x="446"/>
        <item m="1" x="432"/>
        <item m="1" x="427"/>
        <item m="1" x="433"/>
        <item m="1" x="428"/>
        <item m="1" x="422"/>
        <item m="1" x="447"/>
        <item x="8"/>
        <item m="1" x="450"/>
        <item m="1" x="451"/>
        <item m="1" x="435"/>
        <item m="1" x="434"/>
        <item m="1" x="439"/>
        <item m="1" x="438"/>
        <item m="1" x="437"/>
        <item m="1" x="436"/>
        <item m="1" x="441"/>
        <item m="1" x="440"/>
        <item x="6"/>
        <item m="1" x="290"/>
        <item m="1" x="293"/>
        <item m="1" x="294"/>
        <item m="1" x="295"/>
        <item m="1" x="312"/>
        <item m="1" x="291"/>
        <item m="1" x="315"/>
        <item m="1" x="296"/>
        <item m="1" x="297"/>
        <item m="1" x="302"/>
        <item m="1" x="299"/>
        <item m="1" x="292"/>
        <item m="1" x="305"/>
        <item m="1" x="303"/>
        <item m="1" x="300"/>
        <item m="1" x="298"/>
        <item m="1" x="304"/>
        <item m="1" x="313"/>
        <item m="1" x="307"/>
        <item m="1" x="308"/>
        <item m="1" x="310"/>
        <item m="1" x="309"/>
        <item m="1" x="314"/>
        <item m="1" x="306"/>
        <item m="1" x="311"/>
        <item m="1" x="289"/>
        <item m="1" x="287"/>
        <item m="1" x="288"/>
        <item m="1" x="286"/>
        <item m="1" x="284"/>
        <item m="1" x="285"/>
        <item m="1" x="279"/>
        <item m="1" x="280"/>
        <item m="1" x="281"/>
        <item m="1" x="283"/>
        <item m="1" x="282"/>
        <item m="1" x="250"/>
        <item m="1" x="251"/>
        <item m="1" x="252"/>
        <item m="1" x="249"/>
        <item m="1" x="262"/>
        <item m="1" x="257"/>
        <item m="1" x="261"/>
        <item m="1" x="264"/>
        <item m="1" x="259"/>
        <item m="1" x="277"/>
        <item m="1" x="278"/>
        <item m="1" x="260"/>
        <item m="1" x="265"/>
        <item m="1" x="266"/>
        <item m="1" x="269"/>
        <item m="1" x="270"/>
        <item m="1" x="258"/>
        <item m="1" x="272"/>
        <item m="1" x="271"/>
        <item m="1" x="275"/>
        <item m="1" x="276"/>
        <item m="1" x="274"/>
        <item m="1" x="273"/>
        <item m="1" x="267"/>
        <item m="1" x="263"/>
        <item m="1" x="268"/>
        <item x="0"/>
        <item m="1" x="254"/>
        <item m="1" x="255"/>
        <item m="1" x="253"/>
        <item m="1" x="256"/>
        <item m="1" x="247"/>
        <item m="1" x="248"/>
        <item m="1" x="246"/>
        <item m="1" x="245"/>
        <item m="1" x="237"/>
        <item m="1" x="238"/>
        <item x="1"/>
        <item m="1" x="239"/>
        <item m="1" x="240"/>
        <item m="1" x="241"/>
        <item x="2"/>
        <item m="1" x="229"/>
        <item x="10"/>
        <item m="1" x="244"/>
        <item m="1" x="235"/>
        <item m="1" x="243"/>
        <item m="1" x="68"/>
        <item m="1" x="230"/>
        <item m="1" x="242"/>
        <item m="1" x="66"/>
        <item x="4"/>
        <item m="1" x="228"/>
        <item m="1" x="233"/>
        <item m="1" x="236"/>
        <item m="1" x="32"/>
        <item m="1" x="232"/>
        <item m="1" x="234"/>
        <item m="1" x="19"/>
        <item m="1" x="231"/>
        <item m="1" x="227"/>
        <item m="1" x="226"/>
        <item m="1" x="27"/>
        <item m="1" x="223"/>
        <item m="1" x="224"/>
        <item m="1" x="225"/>
        <item m="1" x="221"/>
        <item m="1" x="222"/>
        <item m="1" x="219"/>
        <item m="1" x="220"/>
        <item m="1" x="67"/>
        <item m="1" x="215"/>
        <item m="1" x="217"/>
        <item m="1" x="218"/>
        <item m="1" x="216"/>
        <item m="1" x="214"/>
        <item m="1" x="201"/>
        <item m="1" x="199"/>
        <item m="1" x="203"/>
        <item m="1" x="196"/>
        <item m="1" x="202"/>
        <item m="1" x="204"/>
        <item m="1" x="197"/>
        <item m="1" x="212"/>
        <item m="1" x="198"/>
        <item m="1" x="200"/>
        <item m="1" x="208"/>
        <item m="1" x="210"/>
        <item m="1" x="205"/>
        <item m="1" x="209"/>
        <item m="1" x="207"/>
        <item m="1" x="211"/>
        <item m="1" x="206"/>
        <item m="1" x="213"/>
        <item m="1" x="190"/>
        <item m="1" x="194"/>
        <item m="1" x="195"/>
        <item m="1" x="193"/>
        <item m="1" x="191"/>
        <item m="1" x="192"/>
        <item m="1" x="187"/>
        <item m="1" x="189"/>
        <item m="1" x="188"/>
        <item m="1" x="185"/>
        <item m="1" x="186"/>
        <item m="1" x="181"/>
        <item m="1" x="176"/>
        <item m="1" x="177"/>
        <item m="1" x="178"/>
        <item m="1" x="183"/>
        <item m="1" x="180"/>
        <item m="1" x="182"/>
        <item m="1" x="179"/>
        <item m="1" x="184"/>
        <item m="1" x="169"/>
        <item m="1" x="170"/>
        <item m="1" x="165"/>
        <item m="1" x="173"/>
        <item m="1" x="174"/>
        <item m="1" x="164"/>
        <item m="1" x="168"/>
        <item m="1" x="166"/>
        <item m="1" x="167"/>
        <item m="1" x="175"/>
        <item m="1" x="172"/>
        <item m="1" x="171"/>
        <item m="1" x="163"/>
        <item m="1" x="162"/>
        <item m="1" x="158"/>
        <item m="1" x="150"/>
        <item m="1" x="157"/>
        <item m="1" x="156"/>
        <item m="1" x="161"/>
        <item m="1" x="152"/>
        <item m="1" x="151"/>
        <item m="1" x="153"/>
        <item m="1" x="154"/>
        <item m="1" x="149"/>
        <item m="1" x="155"/>
        <item m="1" x="159"/>
        <item m="1" x="160"/>
        <item m="1" x="148"/>
        <item m="1" x="147"/>
        <item m="1" x="114"/>
        <item m="1" x="115"/>
        <item m="1" x="116"/>
        <item m="1" x="120"/>
        <item m="1" x="37"/>
        <item m="1" x="121"/>
        <item m="1" x="122"/>
        <item m="1" x="123"/>
        <item m="1" x="118"/>
        <item m="1" x="133"/>
        <item m="1" x="124"/>
        <item m="1" x="125"/>
        <item m="1" x="126"/>
        <item m="1" x="127"/>
        <item m="1" x="128"/>
        <item m="1" x="129"/>
        <item m="1" x="112"/>
        <item m="1" x="113"/>
        <item m="1" x="119"/>
        <item m="1" x="107"/>
        <item m="1" x="110"/>
        <item m="1" x="109"/>
        <item m="1" x="130"/>
        <item m="1" x="111"/>
        <item m="1" x="117"/>
        <item m="1" x="131"/>
        <item m="1" x="132"/>
        <item m="1" x="108"/>
        <item m="1" x="36"/>
        <item m="1" x="134"/>
        <item m="1" x="42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95"/>
        <item m="1" x="100"/>
        <item m="1" x="101"/>
        <item m="1" x="97"/>
        <item m="1" x="99"/>
        <item m="1" x="96"/>
        <item m="1" x="94"/>
        <item m="1" x="98"/>
        <item m="1" x="40"/>
        <item m="1" x="106"/>
        <item m="1" x="41"/>
        <item m="1" x="104"/>
        <item m="1" x="38"/>
        <item m="1" x="103"/>
        <item m="1" x="102"/>
        <item m="1" x="105"/>
        <item m="1" x="25"/>
        <item m="1" x="92"/>
        <item m="1" x="91"/>
        <item m="1" x="90"/>
        <item m="1" x="78"/>
        <item m="1" x="80"/>
        <item m="1" x="86"/>
        <item m="1" x="88"/>
        <item m="1" x="79"/>
        <item m="1" x="87"/>
        <item m="1" x="81"/>
        <item m="1" x="89"/>
        <item m="1" x="76"/>
        <item m="1" x="83"/>
        <item m="1" x="22"/>
        <item m="1" x="75"/>
        <item m="1" x="77"/>
        <item m="1" x="34"/>
        <item m="1" x="82"/>
        <item m="1" x="84"/>
        <item m="1" x="85"/>
        <item m="1" x="73"/>
        <item m="1" x="74"/>
        <item m="1" x="28"/>
        <item m="1" x="52"/>
        <item m="1" x="53"/>
        <item m="1" x="57"/>
        <item m="1" x="49"/>
        <item m="1" x="11"/>
        <item m="1" x="54"/>
        <item m="1" x="55"/>
        <item m="1" x="48"/>
        <item m="1" x="47"/>
        <item m="1" x="60"/>
        <item m="1" x="61"/>
        <item m="1" x="62"/>
        <item m="1" x="63"/>
        <item m="1" x="43"/>
        <item m="1" x="44"/>
        <item m="1" x="45"/>
        <item m="1" x="59"/>
        <item m="1" x="46"/>
        <item m="1" x="50"/>
        <item m="1" x="51"/>
        <item m="1" x="56"/>
        <item m="1" x="58"/>
        <item m="1" x="39"/>
        <item m="1" x="29"/>
        <item m="1" x="30"/>
        <item m="1" x="12"/>
        <item m="1" x="13"/>
        <item m="1" x="18"/>
        <item m="1" x="20"/>
        <item x="7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0">
      <pivotArea outline="0" fieldPosition="0">
        <references count="1">
          <reference field="4294967294" count="1" selected="0">
            <x v="0"/>
          </reference>
        </references>
      </pivotArea>
    </format>
    <format dxfId="2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274E8-CB25-406F-807E-25D66113E4F2}" name="PivotTable26" cacheId="25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U5:E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9"/>
        <item h="1" m="1" x="7"/>
        <item h="1" x="0"/>
        <item h="1" m="1" x="8"/>
        <item h="1" m="1" x="20"/>
        <item h="1" m="1" x="21"/>
        <item h="1" m="1" x="22"/>
        <item x="2"/>
        <item h="1" m="1" x="23"/>
        <item h="1" x="1"/>
        <item h="1" m="1" x="6"/>
        <item h="1" m="1" x="4"/>
        <item h="1" m="1" x="5"/>
        <item h="1" m="1" x="10"/>
        <item h="1" m="1" x="12"/>
        <item h="1" m="1" x="24"/>
        <item h="1" m="1" x="3"/>
        <item h="1" m="1" x="17"/>
        <item h="1" m="1" x="11"/>
        <item h="1" m="1" x="16"/>
        <item h="1" m="1" x="19"/>
        <item h="1" m="1" x="15"/>
        <item h="1" m="1" x="13"/>
        <item h="1" m="1" x="14"/>
        <item h="1" m="1"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51">
        <item m="1" x="74"/>
        <item m="1" x="1170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142"/>
        <item m="1" x="1677"/>
        <item m="1" x="1803"/>
        <item m="1" x="1804"/>
        <item m="1" x="1805"/>
        <item m="1" x="1806"/>
        <item m="1" x="1807"/>
        <item m="1" x="914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16"/>
        <item m="1" x="1634"/>
        <item m="1" x="1671"/>
        <item m="1" x="1635"/>
        <item m="1" x="1808"/>
        <item m="1" x="1809"/>
        <item m="1" x="147"/>
        <item m="1" x="155"/>
        <item m="1" x="148"/>
        <item m="1" x="156"/>
        <item m="1" x="34"/>
        <item m="1" x="33"/>
        <item m="1" x="1479"/>
        <item m="1" x="1480"/>
        <item m="1" x="1481"/>
        <item m="1" x="1600"/>
        <item m="1" x="1601"/>
        <item m="1" x="1482"/>
        <item m="1" x="1483"/>
        <item m="1" x="1484"/>
        <item m="1" x="1485"/>
        <item m="1" x="1486"/>
        <item m="1" x="1487"/>
        <item m="1" x="26"/>
        <item m="1" x="1488"/>
        <item m="1" x="1489"/>
        <item m="1" x="1810"/>
        <item m="1" x="804"/>
        <item m="1" x="805"/>
        <item m="1" x="1811"/>
        <item m="1" x="23"/>
        <item m="1" x="1490"/>
        <item m="1" x="1491"/>
        <item m="1" x="1492"/>
        <item m="1" x="1493"/>
        <item m="1" x="1494"/>
        <item m="1" x="1495"/>
        <item m="1" x="1496"/>
        <item m="1" x="25"/>
        <item m="1" x="912"/>
        <item m="1" x="32"/>
        <item m="1" x="1497"/>
        <item m="1" x="1498"/>
        <item m="1" x="1499"/>
        <item m="1" x="1500"/>
        <item m="1" x="801"/>
        <item m="1" x="802"/>
        <item m="1" x="1602"/>
        <item m="1" x="1501"/>
        <item m="1" x="300"/>
        <item m="1" x="301"/>
        <item m="1" x="302"/>
        <item m="1" x="303"/>
        <item m="1" x="304"/>
        <item m="1" x="305"/>
        <item m="1" x="73"/>
        <item m="1" x="69"/>
        <item m="1" x="306"/>
        <item m="1" x="307"/>
        <item m="1" x="308"/>
        <item m="1" x="309"/>
        <item m="1" x="60"/>
        <item m="1" x="310"/>
        <item m="1" x="311"/>
        <item m="1" x="312"/>
        <item m="1" x="313"/>
        <item m="1" x="314"/>
        <item m="1" x="64"/>
        <item m="1" x="338"/>
        <item m="1" x="315"/>
        <item m="1" x="68"/>
        <item m="1" x="67"/>
        <item m="1" x="316"/>
        <item m="1" x="317"/>
        <item m="1" x="339"/>
        <item m="1" x="340"/>
        <item m="1" x="66"/>
        <item m="1" x="318"/>
        <item m="1" x="319"/>
        <item m="1" x="320"/>
        <item m="1" x="321"/>
        <item m="1" x="322"/>
        <item m="1" x="70"/>
        <item m="1" x="323"/>
        <item m="1" x="1256"/>
        <item m="1" x="1257"/>
        <item m="1" x="1258"/>
        <item m="1" x="915"/>
        <item m="1" x="917"/>
        <item m="1" x="913"/>
        <item m="1" x="918"/>
        <item m="1" x="1155"/>
        <item m="1" x="1855"/>
        <item m="1" x="1856"/>
        <item m="1" x="1857"/>
        <item m="1" x="1779"/>
        <item m="1" x="1780"/>
        <item m="1" x="1781"/>
        <item m="1" x="1782"/>
        <item m="1" x="1783"/>
        <item m="1" x="1776"/>
        <item m="1" x="1777"/>
        <item m="1" x="1778"/>
        <item m="1" x="1858"/>
        <item m="1" x="1784"/>
        <item m="1" x="1792"/>
        <item m="1" x="1793"/>
        <item m="1" x="1794"/>
        <item m="1" x="1795"/>
        <item m="1" x="1796"/>
        <item m="1" x="1785"/>
        <item m="1" x="1786"/>
        <item m="1" x="1787"/>
        <item m="1" x="1788"/>
        <item m="1" x="1789"/>
        <item m="1" x="1790"/>
        <item m="1" x="1791"/>
        <item m="1" x="1797"/>
        <item m="1" x="1798"/>
        <item m="1" x="1799"/>
        <item m="1" x="1800"/>
        <item m="1" x="1801"/>
        <item m="1" x="1171"/>
        <item m="1" x="806"/>
        <item m="1" x="1611"/>
        <item m="1" x="149"/>
        <item m="1" x="157"/>
        <item m="1" x="1172"/>
        <item m="1" x="47"/>
        <item m="1" x="158"/>
        <item m="1" x="1173"/>
        <item m="1" x="807"/>
        <item m="1" x="1212"/>
        <item m="1" x="1248"/>
        <item m="1" x="1213"/>
        <item m="1" x="1174"/>
        <item m="1" x="1214"/>
        <item m="1" x="1211"/>
        <item m="1" x="1247"/>
        <item m="1" x="218"/>
        <item m="1" x="253"/>
        <item m="1" x="219"/>
        <item m="1" x="220"/>
        <item m="1" x="254"/>
        <item m="1" x="221"/>
        <item m="1" x="222"/>
        <item m="1" x="255"/>
        <item m="1" x="223"/>
        <item m="1" x="224"/>
        <item m="1" x="225"/>
        <item m="1" x="256"/>
        <item m="1" x="257"/>
        <item m="1" x="226"/>
        <item m="1" x="227"/>
        <item m="1" x="258"/>
        <item m="1" x="259"/>
        <item m="1" x="228"/>
        <item m="1" x="260"/>
        <item m="1" x="229"/>
        <item m="1" x="230"/>
        <item m="1" x="261"/>
        <item m="1" x="262"/>
        <item m="1" x="231"/>
        <item m="1" x="232"/>
        <item m="1" x="263"/>
        <item m="1" x="264"/>
        <item m="1" x="233"/>
        <item m="1" x="265"/>
        <item m="1" x="234"/>
        <item m="1" x="266"/>
        <item m="1" x="235"/>
        <item m="1" x="236"/>
        <item m="1" x="216"/>
        <item m="1" x="1137"/>
        <item m="1" x="1159"/>
        <item m="1" x="1160"/>
        <item m="1" x="1156"/>
        <item m="1" x="1158"/>
        <item m="1" x="1157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1636"/>
        <item m="1" x="250"/>
        <item m="1" x="251"/>
        <item m="1" x="252"/>
        <item m="1" x="217"/>
        <item m="1" x="1638"/>
        <item m="1" x="1639"/>
        <item m="1" x="1637"/>
        <item m="1" x="983"/>
        <item x="12"/>
        <item m="1" x="984"/>
        <item x="11"/>
        <item m="1" x="985"/>
        <item m="1" x="134"/>
        <item x="7"/>
        <item m="1" x="130"/>
        <item m="1" x="986"/>
        <item x="2"/>
        <item m="1" x="43"/>
        <item m="1" x="53"/>
        <item m="1" x="987"/>
        <item m="1" x="988"/>
        <item m="1" x="989"/>
        <item m="1" x="990"/>
        <item m="1" x="42"/>
        <item m="1" x="991"/>
        <item m="1" x="992"/>
        <item m="1" x="1678"/>
        <item m="1" x="1675"/>
        <item m="1" x="993"/>
        <item x="6"/>
        <item m="1" x="994"/>
        <item m="1" x="1676"/>
        <item m="1" x="995"/>
        <item m="1" x="996"/>
        <item m="1" x="997"/>
        <item x="14"/>
        <item m="1" x="998"/>
        <item m="1" x="999"/>
        <item m="1" x="1672"/>
        <item m="1" x="1000"/>
        <item m="1" x="1001"/>
        <item m="1" x="1002"/>
        <item m="1" x="267"/>
        <item m="1" x="286"/>
        <item m="1" x="268"/>
        <item m="1" x="269"/>
        <item m="1" x="287"/>
        <item m="1" x="270"/>
        <item m="1" x="271"/>
        <item m="1" x="288"/>
        <item m="1" x="272"/>
        <item m="1" x="273"/>
        <item m="1" x="274"/>
        <item m="1" x="289"/>
        <item m="1" x="290"/>
        <item m="1" x="275"/>
        <item m="1" x="276"/>
        <item m="1" x="291"/>
        <item m="1" x="292"/>
        <item m="1" x="277"/>
        <item m="1" x="293"/>
        <item m="1" x="278"/>
        <item m="1" x="279"/>
        <item m="1" x="294"/>
        <item m="1" x="295"/>
        <item m="1" x="280"/>
        <item m="1" x="281"/>
        <item m="1" x="296"/>
        <item m="1" x="297"/>
        <item m="1" x="282"/>
        <item m="1" x="298"/>
        <item m="1" x="283"/>
        <item m="1" x="299"/>
        <item m="1" x="284"/>
        <item m="1" x="285"/>
        <item m="1" x="1003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671"/>
        <item m="1" x="672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658"/>
        <item m="1" x="1659"/>
        <item m="1" x="1660"/>
        <item m="1" x="1661"/>
        <item m="1" x="1662"/>
        <item m="1" x="1663"/>
        <item m="1" x="1664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665"/>
        <item m="1" x="1522"/>
        <item m="1" x="1523"/>
        <item m="1" x="1524"/>
        <item m="1" x="1525"/>
        <item m="1" x="1526"/>
        <item m="1" x="1527"/>
        <item m="1" x="1528"/>
        <item m="1" x="1529"/>
        <item m="1" x="1666"/>
        <item m="1" x="1530"/>
        <item m="1" x="1531"/>
        <item m="1" x="1532"/>
        <item m="1" x="1533"/>
        <item m="1" x="808"/>
        <item m="1" x="1612"/>
        <item m="1" x="150"/>
        <item m="1" x="159"/>
        <item m="1" x="45"/>
        <item m="1" x="160"/>
        <item m="1" x="1175"/>
        <item m="1" x="151"/>
        <item m="1" x="161"/>
        <item m="1" x="1176"/>
        <item m="1" x="809"/>
        <item m="1" x="152"/>
        <item m="1" x="162"/>
        <item m="1" x="810"/>
        <item m="1" x="811"/>
        <item m="1" x="970"/>
        <item m="1" x="971"/>
        <item m="1" x="972"/>
        <item m="1" x="1005"/>
        <item m="1" x="973"/>
        <item m="1" x="974"/>
        <item m="1" x="975"/>
        <item m="1" x="1006"/>
        <item m="1" x="976"/>
        <item m="1" x="977"/>
        <item m="1" x="978"/>
        <item x="4"/>
        <item m="1" x="979"/>
        <item x="1"/>
        <item m="1" x="980"/>
        <item m="1" x="981"/>
        <item m="1" x="1673"/>
        <item m="1" x="1674"/>
        <item x="3"/>
        <item x="13"/>
        <item m="1" x="982"/>
        <item m="1" x="1812"/>
        <item m="1" x="1813"/>
        <item m="1" x="1814"/>
        <item m="1" x="1859"/>
        <item m="1" x="1802"/>
        <item m="1" x="846"/>
        <item m="1" x="847"/>
        <item m="1" x="848"/>
        <item m="1" x="849"/>
        <item m="1" x="850"/>
        <item m="1" x="851"/>
        <item m="1" x="852"/>
        <item m="1" x="853"/>
        <item m="1" x="1963"/>
        <item m="1" x="712"/>
        <item m="1" x="1161"/>
        <item m="1" x="1246"/>
        <item m="1" x="1177"/>
        <item m="1" x="1679"/>
        <item m="1" x="1680"/>
        <item m="1" x="44"/>
        <item m="1" x="1681"/>
        <item m="1" x="1682"/>
        <item m="1" x="52"/>
        <item m="1" x="1683"/>
        <item m="1" x="1684"/>
        <item m="1" x="791"/>
        <item m="1" x="792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60"/>
        <item m="1" x="1861"/>
        <item m="1" x="1862"/>
        <item m="1" x="1824"/>
        <item m="1" x="1863"/>
        <item m="1" x="1825"/>
        <item m="1" x="1826"/>
        <item m="1" x="1827"/>
        <item m="1" x="1828"/>
        <item m="1" x="1829"/>
        <item m="1" x="788"/>
        <item m="1" x="1830"/>
        <item m="1" x="1831"/>
        <item m="1" x="1832"/>
        <item m="1" x="1833"/>
        <item m="1" x="1834"/>
        <item m="1" x="1864"/>
        <item m="1" x="795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130"/>
        <item m="1" x="1131"/>
        <item m="1" x="1132"/>
        <item m="1" x="1133"/>
        <item m="1" x="1134"/>
        <item m="1" x="1215"/>
        <item m="1" x="1249"/>
        <item m="1" x="1216"/>
        <item m="1" x="1250"/>
        <item m="1" x="1217"/>
        <item m="1" x="735"/>
        <item m="1" x="713"/>
        <item m="1" x="714"/>
        <item m="1" x="736"/>
        <item m="1" x="715"/>
        <item m="1" x="716"/>
        <item m="1" x="737"/>
        <item m="1" x="717"/>
        <item m="1" x="718"/>
        <item m="1" x="738"/>
        <item m="1" x="719"/>
        <item m="1" x="720"/>
        <item m="1" x="812"/>
        <item m="1" x="1178"/>
        <item m="1" x="146"/>
        <item m="1" x="184"/>
        <item m="1" x="169"/>
        <item m="1" x="185"/>
        <item m="1" x="170"/>
        <item m="1" x="186"/>
        <item m="1" x="1179"/>
        <item m="1" x="40"/>
        <item m="1" x="1909"/>
        <item m="1" x="1851"/>
        <item m="1" x="1852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2635"/>
        <item m="1" x="2636"/>
        <item m="1" x="2637"/>
        <item m="1" x="2647"/>
        <item m="1" x="2648"/>
        <item m="1" x="2649"/>
        <item m="1" x="1145"/>
        <item m="1" x="813"/>
        <item m="1" x="814"/>
        <item m="1" x="1613"/>
        <item m="1" x="133"/>
        <item m="1" x="163"/>
        <item m="1" x="1912"/>
        <item m="1" x="1913"/>
        <item m="1" x="55"/>
        <item m="1" x="1914"/>
        <item m="1" x="1915"/>
        <item m="1" x="1916"/>
        <item m="1" x="1917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37"/>
        <item m="1" x="1980"/>
        <item m="1" x="1981"/>
        <item m="1" x="1982"/>
        <item m="1" x="1983"/>
        <item m="1" x="1984"/>
        <item m="1" x="1985"/>
        <item m="1" x="1626"/>
        <item m="1" x="51"/>
        <item m="1" x="1627"/>
        <item m="1" x="1628"/>
        <item m="1" x="1135"/>
        <item m="1" x="1218"/>
        <item m="1" x="1219"/>
        <item m="1" x="1251"/>
        <item m="1" x="676"/>
        <item m="1" x="753"/>
        <item m="1" x="754"/>
        <item m="1" x="755"/>
        <item m="1" x="1220"/>
        <item m="1" x="1252"/>
        <item m="1" x="1221"/>
        <item m="1" x="1222"/>
        <item m="1" x="1253"/>
        <item m="1" x="1180"/>
        <item m="1" x="1181"/>
        <item m="1" x="1182"/>
        <item m="1" x="153"/>
        <item m="1" x="164"/>
        <item m="1" x="1153"/>
        <item m="1" x="815"/>
        <item m="1" x="1614"/>
        <item m="1" x="1964"/>
        <item m="1" x="1965"/>
        <item m="1" x="739"/>
        <item m="1" x="721"/>
        <item m="1" x="816"/>
        <item m="1" x="1615"/>
        <item m="1" x="782"/>
        <item m="1" x="783"/>
        <item m="1" x="784"/>
        <item m="1" x="1918"/>
        <item m="1" x="1919"/>
        <item m="1" x="1920"/>
        <item m="1" x="1921"/>
        <item m="1" x="1146"/>
        <item m="1" x="677"/>
        <item m="1" x="756"/>
        <item m="1" x="757"/>
        <item m="1" x="678"/>
        <item m="1" x="758"/>
        <item m="1" x="679"/>
        <item m="1" x="817"/>
        <item m="1" x="759"/>
        <item m="1" x="1147"/>
        <item m="1" x="798"/>
        <item m="1" x="1259"/>
        <item m="1" x="740"/>
        <item m="1" x="741"/>
        <item m="1" x="742"/>
        <item m="1" x="1183"/>
        <item m="1" x="1184"/>
        <item m="1" x="818"/>
        <item m="1" x="36"/>
        <item m="1" x="165"/>
        <item m="1" x="680"/>
        <item m="1" x="1162"/>
        <item m="1" x="1163"/>
        <item m="1" x="1185"/>
        <item m="1" x="1186"/>
        <item m="1" x="656"/>
        <item m="1" x="616"/>
        <item m="1" x="617"/>
        <item m="1" x="657"/>
        <item m="1" x="658"/>
        <item m="1" x="659"/>
        <item m="1" x="660"/>
        <item m="1" x="618"/>
        <item m="1" x="619"/>
        <item m="1" x="620"/>
        <item m="1" x="661"/>
        <item m="1" x="662"/>
        <item m="1" x="663"/>
        <item m="1" x="664"/>
        <item m="1" x="665"/>
        <item m="1" x="666"/>
        <item m="1" x="667"/>
        <item m="1" x="668"/>
        <item m="1" x="1139"/>
        <item m="1" x="1138"/>
        <item m="1" x="1140"/>
        <item m="1" x="796"/>
        <item m="1" x="966"/>
        <item m="1" x="793"/>
        <item m="1" x="968"/>
        <item m="1" x="960"/>
        <item m="1" x="789"/>
        <item m="1" x="961"/>
        <item m="1" x="1187"/>
        <item m="1" x="1188"/>
        <item m="1" x="1189"/>
        <item m="1" x="819"/>
        <item m="1" x="1897"/>
        <item m="1" x="1898"/>
        <item m="1" x="1899"/>
        <item m="1" x="1900"/>
        <item m="1" x="1901"/>
        <item m="1" x="1902"/>
        <item m="1" x="126"/>
        <item m="1" x="1699"/>
        <item m="1" x="1698"/>
        <item m="1" x="1700"/>
        <item m="1" x="1701"/>
        <item m="1" x="1702"/>
        <item m="1" x="127"/>
        <item m="1" x="1696"/>
        <item m="1" x="1697"/>
        <item m="1" x="1703"/>
        <item m="1" x="1729"/>
        <item m="1" x="1704"/>
        <item m="1" x="1705"/>
        <item m="1" x="1706"/>
        <item m="1" x="1707"/>
        <item m="1" x="1708"/>
        <item m="1" x="1695"/>
        <item m="1" x="1709"/>
        <item m="1" x="1710"/>
        <item m="1" x="1715"/>
        <item m="1" x="1716"/>
        <item m="1" x="1717"/>
        <item m="1" x="1718"/>
        <item m="1" x="1719"/>
        <item m="1" x="1720"/>
        <item m="1" x="1694"/>
        <item m="1" x="1730"/>
        <item m="1" x="1721"/>
        <item m="1" x="1722"/>
        <item m="1" x="1693"/>
        <item m="1" x="1723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33"/>
        <item m="1" x="1734"/>
        <item m="1" x="1735"/>
        <item m="1" x="1736"/>
        <item m="1" x="1737"/>
        <item m="1" x="1738"/>
        <item m="1" x="1739"/>
        <item m="1" x="1732"/>
        <item m="1" x="1740"/>
        <item m="1" x="1741"/>
        <item m="1" x="1742"/>
        <item m="1" x="1731"/>
        <item m="1" x="1875"/>
        <item m="1" x="1876"/>
        <item m="1" x="1877"/>
        <item m="1" x="1878"/>
        <item m="1" x="1879"/>
        <item m="1" x="1880"/>
        <item m="1" x="1881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82"/>
        <item m="1" x="1883"/>
        <item m="1" x="1884"/>
        <item m="1" x="1753"/>
        <item m="1" x="1754"/>
        <item m="1" x="1755"/>
        <item m="1" x="1756"/>
        <item m="1" x="1772"/>
        <item m="1" x="1757"/>
        <item m="1" x="1759"/>
        <item m="1" x="1758"/>
        <item m="1" x="1760"/>
        <item m="1" x="1761"/>
        <item m="1" x="1773"/>
        <item m="1" x="1763"/>
        <item m="1" x="1762"/>
        <item m="1" x="1764"/>
        <item m="1" x="1765"/>
        <item m="1" x="1766"/>
        <item m="1" x="1711"/>
        <item m="1" x="1712"/>
        <item m="1" x="1692"/>
        <item m="1" x="1767"/>
        <item m="1" x="1691"/>
        <item m="1" x="1768"/>
        <item m="1" x="1769"/>
        <item m="1" x="1770"/>
        <item m="1" x="1771"/>
        <item m="1" x="1724"/>
        <item m="1" x="1713"/>
        <item m="1" x="1725"/>
        <item m="1" x="1726"/>
        <item m="1" x="1714"/>
        <item m="1" x="1727"/>
        <item m="1" x="1728"/>
        <item m="1" x="855"/>
        <item m="1" x="856"/>
        <item m="1" x="857"/>
        <item m="1" x="858"/>
        <item m="1" x="859"/>
        <item m="1" x="860"/>
        <item m="1" x="861"/>
        <item m="1" x="862"/>
        <item m="1" x="874"/>
        <item m="1" x="875"/>
        <item m="1" x="876"/>
        <item m="1" x="877"/>
        <item m="1" x="878"/>
        <item m="1" x="879"/>
        <item m="1" x="880"/>
        <item m="1" x="881"/>
        <item m="1" x="865"/>
        <item m="1" x="866"/>
        <item m="1" x="867"/>
        <item m="1" x="868"/>
        <item m="1" x="869"/>
        <item m="1" x="870"/>
        <item m="1" x="871"/>
        <item m="1" x="872"/>
        <item m="1" x="884"/>
        <item m="1" x="885"/>
        <item m="1" x="886"/>
        <item m="1" x="887"/>
        <item m="1" x="888"/>
        <item m="1" x="889"/>
        <item m="1" x="890"/>
        <item m="1" x="891"/>
        <item m="1" x="863"/>
        <item m="1" x="864"/>
        <item m="1" x="882"/>
        <item m="1" x="883"/>
        <item m="1" x="873"/>
        <item m="1" x="892"/>
        <item m="1" x="902"/>
        <item m="1" x="903"/>
        <item m="1" x="904"/>
        <item m="1" x="905"/>
        <item m="1" x="906"/>
        <item m="1" x="907"/>
        <item m="1" x="2623"/>
        <item m="1" x="2624"/>
        <item m="1" x="2625"/>
        <item m="1" x="1223"/>
        <item m="1" x="1260"/>
        <item m="1" x="1164"/>
        <item m="1" x="1261"/>
        <item m="1" x="1190"/>
        <item m="1" x="1191"/>
        <item m="1" x="1192"/>
        <item m="1" x="1193"/>
        <item m="1" x="1165"/>
        <item m="1" x="820"/>
        <item m="1" x="821"/>
        <item m="1" x="1262"/>
        <item m="1" x="1263"/>
        <item m="1" x="822"/>
        <item m="1" x="823"/>
        <item m="1" x="824"/>
        <item m="1" x="825"/>
        <item m="1" x="1194"/>
        <item m="1" x="799"/>
        <item m="1" x="1923"/>
        <item m="1" x="1922"/>
        <item m="1" x="1925"/>
        <item m="1" x="1924"/>
        <item m="1" x="1927"/>
        <item m="1" x="1926"/>
        <item m="1" x="1929"/>
        <item m="1" x="1928"/>
        <item m="1" x="1195"/>
        <item m="1" x="797"/>
        <item m="1" x="794"/>
        <item m="1" x="790"/>
        <item m="1" x="922"/>
        <item m="1" x="201"/>
        <item m="1" x="1004"/>
        <item m="1" x="942"/>
        <item m="1" x="943"/>
        <item m="1" x="944"/>
        <item m="1" x="945"/>
        <item m="1" x="946"/>
        <item m="1" x="681"/>
        <item m="1" x="1616"/>
        <item m="1" x="137"/>
        <item m="1" x="800"/>
        <item m="1" x="1196"/>
        <item m="1" x="1224"/>
        <item m="1" x="1617"/>
        <item m="1" x="1197"/>
        <item m="1" x="923"/>
        <item m="1" x="1853"/>
        <item m="1" x="1854"/>
        <item m="1" x="154"/>
        <item m="1" x="166"/>
        <item m="1" x="171"/>
        <item m="1" x="187"/>
        <item m="1" x="172"/>
        <item m="1" x="188"/>
        <item m="1" x="1198"/>
        <item m="1" x="1618"/>
        <item m="1" x="722"/>
        <item m="1" x="203"/>
        <item m="1" x="204"/>
        <item m="1" x="947"/>
        <item m="1" x="948"/>
        <item m="1" x="1667"/>
        <item m="1" x="1668"/>
        <item m="1" x="949"/>
        <item m="1" x="950"/>
        <item m="1" x="54"/>
        <item m="1" x="145"/>
        <item m="1" x="951"/>
        <item m="1" x="952"/>
        <item m="1" x="953"/>
        <item m="1" x="682"/>
        <item m="1" x="683"/>
        <item m="1" x="684"/>
        <item m="1" x="686"/>
        <item m="1" x="685"/>
        <item m="1" x="760"/>
        <item m="1" x="1226"/>
        <item m="1" x="1225"/>
        <item m="1" x="1199"/>
        <item m="1" x="826"/>
        <item m="1" x="1227"/>
        <item m="1" x="1930"/>
        <item m="1" x="210"/>
        <item m="1" x="211"/>
        <item m="1" x="212"/>
        <item m="1" x="213"/>
        <item m="1" x="214"/>
        <item m="1" x="1141"/>
        <item m="1" x="1148"/>
        <item m="1" x="675"/>
        <item m="1" x="1136"/>
        <item m="1" x="1200"/>
        <item m="1" x="1019"/>
        <item m="1" x="1629"/>
        <item m="1" x="1020"/>
        <item m="1" x="1012"/>
        <item m="1" x="1633"/>
        <item m="1" x="1013"/>
        <item m="1" x="1014"/>
        <item m="1" x="1015"/>
        <item m="1" x="1016"/>
        <item m="1" x="1630"/>
        <item m="1" x="1017"/>
        <item m="1" x="1018"/>
        <item m="1" x="1631"/>
        <item m="1" x="1632"/>
        <item m="1" x="1201"/>
        <item m="1" x="205"/>
        <item m="1" x="1007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46"/>
        <item m="1" x="2602"/>
        <item m="1" x="71"/>
        <item m="1" x="2603"/>
        <item m="1" x="38"/>
        <item m="1" x="2604"/>
        <item m="1" x="2605"/>
        <item m="1" x="2606"/>
        <item m="1" x="2607"/>
        <item m="1" x="2608"/>
        <item m="1" x="2609"/>
        <item m="1" x="2610"/>
        <item m="1" x="910"/>
        <item m="1" x="911"/>
        <item m="1" x="132"/>
        <item m="1" x="1685"/>
        <item m="1" x="1686"/>
        <item m="1" x="1687"/>
        <item m="1" x="1688"/>
        <item m="1" x="1689"/>
        <item m="1" x="1690"/>
        <item m="1" x="1202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360"/>
        <item m="1" x="361"/>
        <item m="1" x="362"/>
        <item m="1" x="363"/>
        <item m="1" x="459"/>
        <item m="1" x="461"/>
        <item m="1" x="402"/>
        <item m="1" x="403"/>
        <item m="1" x="404"/>
        <item m="1" x="370"/>
        <item m="1" x="460"/>
        <item m="1" x="377"/>
        <item m="1" x="59"/>
        <item m="1" x="463"/>
        <item m="1" x="405"/>
        <item m="1" x="406"/>
        <item m="1" x="407"/>
        <item m="1" x="371"/>
        <item m="1" x="462"/>
        <item m="1" x="378"/>
        <item m="1" x="464"/>
        <item m="1" x="408"/>
        <item m="1" x="409"/>
        <item m="1" x="410"/>
        <item m="1" x="379"/>
        <item m="1" x="465"/>
        <item m="1" x="411"/>
        <item m="1" x="412"/>
        <item m="1" x="413"/>
        <item m="1" x="380"/>
        <item m="1" x="414"/>
        <item m="1" x="415"/>
        <item m="1" x="416"/>
        <item m="1" x="417"/>
        <item m="1" x="418"/>
        <item m="1" x="419"/>
        <item m="1" x="466"/>
        <item m="1" x="467"/>
        <item m="1" x="468"/>
        <item m="1" x="469"/>
        <item m="1" x="372"/>
        <item m="1" x="381"/>
        <item m="1" x="470"/>
        <item m="1" x="364"/>
        <item m="1" x="61"/>
        <item m="1" x="373"/>
        <item m="1" x="471"/>
        <item m="1" x="374"/>
        <item m="1" x="472"/>
        <item m="1" x="473"/>
        <item m="1" x="474"/>
        <item m="1" x="382"/>
        <item m="1" x="475"/>
        <item m="1" x="476"/>
        <item m="1" x="383"/>
        <item m="1" x="477"/>
        <item m="1" x="365"/>
        <item m="1" x="384"/>
        <item m="1" x="72"/>
        <item m="1" x="504"/>
        <item m="1" x="579"/>
        <item m="1" x="595"/>
        <item m="1" x="580"/>
        <item m="1" x="596"/>
        <item m="1" x="581"/>
        <item m="1" x="597"/>
        <item m="1" x="582"/>
        <item m="1" x="598"/>
        <item m="1" x="513"/>
        <item m="1" x="583"/>
        <item m="1" x="599"/>
        <item m="1" x="584"/>
        <item m="1" x="600"/>
        <item m="1" x="514"/>
        <item m="1" x="585"/>
        <item m="1" x="601"/>
        <item m="1" x="586"/>
        <item m="1" x="602"/>
        <item m="1" x="587"/>
        <item m="1" x="603"/>
        <item m="1" x="604"/>
        <item m="1" x="588"/>
        <item m="1" x="605"/>
        <item m="1" x="589"/>
        <item m="1" x="606"/>
        <item m="1" x="590"/>
        <item m="1" x="591"/>
        <item m="1" x="592"/>
        <item m="1" x="607"/>
        <item m="1" x="593"/>
        <item m="1" x="608"/>
        <item m="1" x="505"/>
        <item m="1" x="506"/>
        <item m="1" x="594"/>
        <item m="1" x="609"/>
        <item m="1" x="507"/>
        <item m="1" x="508"/>
        <item m="1" x="515"/>
        <item m="1" x="478"/>
        <item m="1" x="375"/>
        <item m="1" x="57"/>
        <item m="1" x="376"/>
        <item m="1" x="479"/>
        <item m="1" x="516"/>
        <item m="1" x="517"/>
        <item m="1" x="518"/>
        <item m="1" x="63"/>
        <item m="1" x="366"/>
        <item m="1" x="480"/>
        <item m="1" x="385"/>
        <item m="1" x="386"/>
        <item m="1" x="387"/>
        <item m="1" x="388"/>
        <item m="1" x="389"/>
        <item m="1" x="367"/>
        <item m="1" x="368"/>
        <item m="1" x="369"/>
        <item m="1" x="390"/>
        <item m="1" x="391"/>
        <item m="1" x="392"/>
        <item m="1" x="481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568"/>
        <item m="1" x="569"/>
        <item m="1" x="454"/>
        <item m="1" x="570"/>
        <item m="1" x="571"/>
        <item m="1" x="455"/>
        <item m="1" x="456"/>
        <item m="1" x="457"/>
        <item m="1" x="572"/>
        <item m="1" x="573"/>
        <item m="1" x="574"/>
        <item m="1" x="575"/>
        <item m="1" x="576"/>
        <item m="1" x="577"/>
        <item m="1" x="449"/>
        <item m="1" x="450"/>
        <item m="1" x="578"/>
        <item m="1" x="458"/>
        <item m="1" x="436"/>
        <item m="1" x="437"/>
        <item m="1" x="438"/>
        <item m="1" x="439"/>
        <item m="1" x="440"/>
        <item m="1" x="441"/>
        <item m="1" x="395"/>
        <item m="1" x="396"/>
        <item m="1" x="397"/>
        <item m="1" x="398"/>
        <item m="1" x="1379"/>
        <item m="1" x="1378"/>
        <item m="1" x="1380"/>
        <item m="1" x="1381"/>
        <item m="1" x="1581"/>
        <item m="1" x="1382"/>
        <item m="1" x="1384"/>
        <item m="1" x="1383"/>
        <item m="1" x="1385"/>
        <item m="1" x="1386"/>
        <item m="1" x="1582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2"/>
        <item m="1" x="1401"/>
        <item m="1" x="1403"/>
        <item m="1" x="1404"/>
        <item m="1" x="1264"/>
        <item m="1" x="1405"/>
        <item m="1" x="1407"/>
        <item m="1" x="1406"/>
        <item m="1" x="1408"/>
        <item m="1" x="1409"/>
        <item m="1" x="1265"/>
        <item m="1" x="1295"/>
        <item m="1" x="1266"/>
        <item m="1" x="1296"/>
        <item m="1" x="1267"/>
        <item m="1" x="1268"/>
        <item m="1" x="1297"/>
        <item m="1" x="1269"/>
        <item m="1" x="1298"/>
        <item m="1" x="1270"/>
        <item m="1" x="1271"/>
        <item m="1" x="1272"/>
        <item m="1" x="1411"/>
        <item m="1" x="1410"/>
        <item m="1" x="1412"/>
        <item m="1" x="1583"/>
        <item m="1" x="1413"/>
        <item m="1" x="1414"/>
        <item m="1" x="1415"/>
        <item m="1" x="1416"/>
        <item m="1" x="1417"/>
        <item m="1" x="1418"/>
        <item m="1" x="1584"/>
        <item m="1" x="1585"/>
        <item m="1" x="1419"/>
        <item m="1" x="1273"/>
        <item m="1" x="1586"/>
        <item m="1" x="1587"/>
        <item m="1" x="1420"/>
        <item m="1" x="1421"/>
        <item m="1" x="1423"/>
        <item m="1" x="1422"/>
        <item m="1" x="1424"/>
        <item m="1" x="1425"/>
        <item m="1" x="1274"/>
        <item m="1" x="1427"/>
        <item m="1" x="1426"/>
        <item m="1" x="1428"/>
        <item m="1" x="1429"/>
        <item m="1" x="1430"/>
        <item m="1" x="1431"/>
        <item m="1" x="1588"/>
        <item m="1" x="1283"/>
        <item m="1" x="1589"/>
        <item m="1" x="1432"/>
        <item m="1" x="1433"/>
        <item m="1" x="1275"/>
        <item m="1" x="1299"/>
        <item m="1" x="1300"/>
        <item m="1" x="1276"/>
        <item m="1" x="1277"/>
        <item m="1" x="1301"/>
        <item m="1" x="1278"/>
        <item m="1" x="1279"/>
        <item m="1" x="1284"/>
        <item m="1" x="1434"/>
        <item m="1" x="1436"/>
        <item m="1" x="1435"/>
        <item m="1" x="1437"/>
        <item m="1" x="1439"/>
        <item m="1" x="1438"/>
        <item m="1" x="1440"/>
        <item m="1" x="1441"/>
        <item m="1" x="1442"/>
        <item m="1" x="1443"/>
        <item m="1" x="1444"/>
        <item m="1" x="1445"/>
        <item m="1" x="1446"/>
        <item m="1" x="1447"/>
        <item m="1" x="1590"/>
        <item m="1" x="1285"/>
        <item m="1" x="1448"/>
        <item m="1" x="1449"/>
        <item m="1" x="1450"/>
        <item m="1" x="1451"/>
        <item m="1" x="1452"/>
        <item m="1" x="1453"/>
        <item m="1" x="1454"/>
        <item m="1" x="1455"/>
        <item m="1" x="1591"/>
        <item m="1" x="1456"/>
        <item m="1" x="1592"/>
        <item m="1" x="1286"/>
        <item m="1" x="1287"/>
        <item m="1" x="1288"/>
        <item m="1" x="1289"/>
        <item m="1" x="1290"/>
        <item m="1" x="1291"/>
        <item m="1" x="1292"/>
        <item m="1" x="1457"/>
        <item m="1" x="1458"/>
        <item m="1" x="1459"/>
        <item m="1" x="1460"/>
        <item m="1" x="1461"/>
        <item m="1" x="1593"/>
        <item m="1" x="1462"/>
        <item m="1" x="1464"/>
        <item m="1" x="1463"/>
        <item m="1" x="1466"/>
        <item m="1" x="1465"/>
        <item m="1" x="1467"/>
        <item m="1" x="1468"/>
        <item m="1" x="1470"/>
        <item m="1" x="1469"/>
        <item m="1" x="1594"/>
        <item m="1" x="1472"/>
        <item m="1" x="1471"/>
        <item m="1" x="1280"/>
        <item m="1" x="1473"/>
        <item m="1" x="1474"/>
        <item m="1" x="1293"/>
        <item m="1" x="1475"/>
        <item m="1" x="1476"/>
        <item m="1" x="1477"/>
        <item m="1" x="1478"/>
        <item m="1" x="1595"/>
        <item m="1" x="1596"/>
        <item m="1" x="1597"/>
        <item m="1" x="1598"/>
        <item m="1" x="1599"/>
        <item m="1" x="1294"/>
        <item m="1" x="1281"/>
        <item m="1" x="1282"/>
        <item m="1" x="1021"/>
        <item m="1" x="1022"/>
        <item m="1" x="1118"/>
        <item m="1" x="1023"/>
        <item m="1" x="1119"/>
        <item m="1" x="1024"/>
        <item m="1" x="1025"/>
        <item m="1" x="1026"/>
        <item m="1" x="1027"/>
        <item m="1" x="1028"/>
        <item m="1" x="1029"/>
        <item m="1" x="1030"/>
        <item m="1" x="1031"/>
        <item m="1" x="1053"/>
        <item m="1" x="1124"/>
        <item m="1" x="1125"/>
        <item m="1" x="1126"/>
        <item m="1" x="1054"/>
        <item m="1" x="1055"/>
        <item m="1" x="1056"/>
        <item m="1" x="1057"/>
        <item m="1" x="1058"/>
        <item m="1" x="1059"/>
        <item m="1" x="1060"/>
        <item m="1" x="1127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128"/>
        <item m="1" x="1070"/>
        <item m="1" x="1071"/>
        <item m="1" x="1129"/>
        <item m="1" x="1072"/>
        <item m="1" x="1073"/>
        <item m="1" x="1074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120"/>
        <item m="1" x="1121"/>
        <item m="1" x="1566"/>
        <item m="1" x="1567"/>
        <item m="1" x="1336"/>
        <item m="1" x="1337"/>
        <item m="1" x="1338"/>
        <item m="1" x="1339"/>
        <item m="1" x="1340"/>
        <item m="1" x="1341"/>
        <item m="1" x="1342"/>
        <item m="1" x="1568"/>
        <item m="1" x="1044"/>
        <item m="1" x="1343"/>
        <item m="1" x="1344"/>
        <item m="1" x="143"/>
        <item m="1" x="1345"/>
        <item m="1" x="1346"/>
        <item m="1" x="1347"/>
        <item m="1" x="1348"/>
        <item m="1" x="1569"/>
        <item m="1" x="144"/>
        <item m="1" x="1349"/>
        <item m="1" x="1350"/>
        <item m="1" x="1351"/>
        <item m="1" x="1352"/>
        <item m="1" x="1353"/>
        <item m="1" x="1354"/>
        <item m="1" x="1570"/>
        <item m="1" x="139"/>
        <item m="1" x="1355"/>
        <item m="1" x="1356"/>
        <item m="1" x="1357"/>
        <item m="1" x="1571"/>
        <item m="1" x="1358"/>
        <item m="1" x="1572"/>
        <item m="1" x="1359"/>
        <item m="1" x="1573"/>
        <item m="1" x="1360"/>
        <item m="1" x="140"/>
        <item m="1" x="1361"/>
        <item m="1" x="1574"/>
        <item m="1" x="141"/>
        <item m="1" x="1362"/>
        <item m="1" x="136"/>
        <item m="1" x="1363"/>
        <item m="1" x="138"/>
        <item m="1" x="1364"/>
        <item m="1" x="1365"/>
        <item m="1" x="1575"/>
        <item m="1" x="1366"/>
        <item m="1" x="1367"/>
        <item m="1" x="1576"/>
        <item m="1" x="1368"/>
        <item m="1" x="1369"/>
        <item m="1" x="1370"/>
        <item m="1" x="1371"/>
        <item m="1" x="1577"/>
        <item m="1" x="1578"/>
        <item m="1" x="1579"/>
        <item m="1" x="1372"/>
        <item m="1" x="1373"/>
        <item m="1" x="1374"/>
        <item m="1" x="1375"/>
        <item m="1" x="1580"/>
        <item m="1" x="1376"/>
        <item m="1" x="1377"/>
        <item m="1" x="1302"/>
        <item m="1" x="1303"/>
        <item m="1" x="1304"/>
        <item m="1" x="1541"/>
        <item m="1" x="1542"/>
        <item m="1" x="1543"/>
        <item m="1" x="1544"/>
        <item m="1" x="1305"/>
        <item m="1" x="1306"/>
        <item m="1" x="1307"/>
        <item m="1" x="1308"/>
        <item m="1" x="1545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546"/>
        <item m="1" x="1319"/>
        <item m="1" x="1547"/>
        <item m="1" x="1548"/>
        <item m="1" x="1320"/>
        <item m="1" x="1549"/>
        <item m="1" x="1550"/>
        <item m="1" x="1551"/>
        <item m="1" x="1321"/>
        <item m="1" x="1322"/>
        <item m="1" x="1323"/>
        <item m="1" x="1324"/>
        <item m="1" x="1552"/>
        <item m="1" x="1553"/>
        <item m="1" x="1554"/>
        <item m="1" x="1555"/>
        <item m="1" x="1556"/>
        <item m="1" x="1557"/>
        <item m="1" x="1558"/>
        <item m="1" x="1559"/>
        <item m="1" x="1325"/>
        <item m="1" x="1560"/>
        <item m="1" x="1561"/>
        <item m="1" x="1562"/>
        <item m="1" x="1326"/>
        <item m="1" x="1327"/>
        <item m="1" x="1328"/>
        <item m="1" x="1329"/>
        <item m="1" x="1563"/>
        <item m="1" x="1330"/>
        <item m="1" x="1331"/>
        <item m="1" x="1332"/>
        <item m="1" x="1564"/>
        <item m="1" x="1333"/>
        <item m="1" x="1334"/>
        <item m="1" x="1565"/>
        <item m="1" x="1335"/>
        <item m="1" x="1045"/>
        <item m="1" x="1122"/>
        <item m="1" x="1046"/>
        <item m="1" x="1047"/>
        <item m="1" x="1048"/>
        <item m="1" x="1049"/>
        <item m="1" x="1123"/>
        <item m="1" x="1050"/>
        <item m="1" x="1051"/>
        <item m="1" x="1052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743"/>
        <item m="1" x="744"/>
        <item m="1" x="687"/>
        <item m="1" x="920"/>
        <item m="1" x="919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651"/>
        <item m="1" x="652"/>
        <item m="1" x="653"/>
        <item m="1" x="654"/>
        <item m="1" x="655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1775"/>
        <item m="1" x="752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844"/>
        <item m="1" x="614"/>
        <item m="1" x="611"/>
        <item m="1" x="612"/>
        <item m="1" x="613"/>
        <item m="1" x="1603"/>
        <item m="1" x="1604"/>
        <item m="1" x="135"/>
        <item m="1" x="1534"/>
        <item m="1" x="1535"/>
        <item m="1" x="1536"/>
        <item m="1" x="1537"/>
        <item m="1" x="1538"/>
        <item m="1" x="1243"/>
        <item m="1" x="1244"/>
        <item m="1" x="1539"/>
        <item m="1" x="22"/>
        <item m="1" x="1540"/>
        <item m="1" x="845"/>
        <item m="1" x="1245"/>
        <item m="1" x="1231"/>
        <item m="1" x="689"/>
        <item m="1" x="827"/>
        <item m="1" x="828"/>
        <item m="1" x="1910"/>
        <item m="1" x="1154"/>
        <item m="1" x="644"/>
        <item m="1" x="645"/>
        <item m="1" x="646"/>
        <item m="1" x="647"/>
        <item m="1" x="648"/>
        <item m="1" x="649"/>
        <item m="1" x="650"/>
        <item m="1" x="669"/>
        <item m="1" x="624"/>
        <item m="1" x="626"/>
        <item m="1" x="625"/>
        <item m="1" x="628"/>
        <item m="1" x="629"/>
        <item m="1" x="630"/>
        <item m="1" x="631"/>
        <item m="1" x="633"/>
        <item m="1" x="632"/>
        <item m="1" x="634"/>
        <item m="1" x="635"/>
        <item m="1" x="636"/>
        <item m="1" x="637"/>
        <item m="1" x="638"/>
        <item m="1" x="639"/>
        <item m="1" x="640"/>
        <item m="1" x="627"/>
        <item m="1" x="670"/>
        <item m="1" x="641"/>
        <item m="1" x="642"/>
        <item m="1" x="643"/>
        <item m="1" x="621"/>
        <item m="1" x="622"/>
        <item m="1" x="623"/>
        <item m="1" x="615"/>
        <item m="1" x="18"/>
        <item m="1" x="215"/>
        <item m="1" x="202"/>
        <item m="1" x="688"/>
        <item m="1" x="1228"/>
        <item m="1" x="1254"/>
        <item m="1" x="1229"/>
        <item m="1" x="1230"/>
        <item m="1" x="2448"/>
        <item m="1" x="1966"/>
        <item m="1" x="1967"/>
        <item m="1" x="24"/>
        <item m="1" x="1968"/>
        <item m="1" x="1911"/>
        <item m="1" x="692"/>
        <item m="1" x="761"/>
        <item m="1" x="762"/>
        <item m="1" x="690"/>
        <item m="1" x="691"/>
        <item m="1" x="693"/>
        <item m="1" x="1203"/>
        <item m="1" x="723"/>
        <item m="1" x="724"/>
        <item m="1" x="1166"/>
        <item m="1" x="1167"/>
        <item m="1" x="829"/>
        <item m="1" x="830"/>
        <item m="1" x="745"/>
        <item m="1" x="746"/>
        <item m="1" x="747"/>
        <item m="1" x="831"/>
        <item m="1" x="748"/>
        <item m="1" x="725"/>
        <item m="1" x="726"/>
        <item m="1" x="832"/>
        <item m="1" x="1619"/>
        <item m="1" x="833"/>
        <item m="1" x="834"/>
        <item m="1" x="835"/>
        <item m="1" x="836"/>
        <item m="1" x="131"/>
        <item m="1" x="167"/>
        <item m="1" x="837"/>
        <item m="1" x="694"/>
        <item m="1" x="1204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942"/>
        <item m="1" x="1940"/>
        <item m="1" x="1941"/>
        <item m="1" x="1142"/>
        <item m="1" x="962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695"/>
        <item m="1" x="763"/>
        <item m="1" x="764"/>
        <item m="1" x="698"/>
        <item m="1" x="765"/>
        <item m="1" x="696"/>
        <item m="1" x="697"/>
        <item m="1" x="766"/>
        <item m="1" x="767"/>
        <item m="1" x="768"/>
        <item m="1" x="769"/>
        <item m="1" x="1205"/>
        <item m="1" x="1206"/>
        <item m="1" x="1233"/>
        <item m="1" x="1234"/>
        <item m="1" x="1235"/>
        <item m="1" x="1232"/>
        <item m="1" x="785"/>
        <item m="1" x="786"/>
        <item m="1" x="787"/>
        <item m="1" x="1774"/>
        <item m="1" x="1605"/>
        <item m="1" x="1606"/>
        <item m="1" x="1607"/>
        <item m="1" x="1608"/>
        <item m="1" x="1609"/>
        <item m="1" x="1610"/>
        <item m="1" x="352"/>
        <item m="1" x="355"/>
        <item m="1" x="610"/>
        <item m="1" x="356"/>
        <item m="1" x="357"/>
        <item m="1" x="341"/>
        <item m="1" x="342"/>
        <item m="1" x="343"/>
        <item m="1" x="344"/>
        <item m="1" x="353"/>
        <item m="1" x="62"/>
        <item m="1" x="358"/>
        <item m="1" x="39"/>
        <item m="1" x="207"/>
        <item m="1" x="208"/>
        <item m="1" x="209"/>
        <item m="1" x="359"/>
        <item m="1" x="345"/>
        <item m="1" x="346"/>
        <item m="1" x="347"/>
        <item m="1" x="354"/>
        <item m="1" x="1962"/>
        <item m="1" x="1961"/>
        <item m="1" x="699"/>
        <item m="1" x="700"/>
        <item m="1" x="701"/>
        <item m="1" x="702"/>
        <item m="1" x="173"/>
        <item m="1" x="189"/>
        <item m="1" x="174"/>
        <item m="1" x="190"/>
        <item m="1" x="1143"/>
        <item m="1" x="175"/>
        <item m="1" x="191"/>
        <item m="1" x="176"/>
        <item m="1" x="192"/>
        <item m="1" x="1622"/>
        <item m="1" x="1623"/>
        <item x="10"/>
        <item m="1" x="727"/>
        <item m="1" x="728"/>
        <item m="1" x="854"/>
        <item m="1" x="838"/>
        <item m="1" x="1944"/>
        <item m="1" x="1943"/>
        <item m="1" x="1946"/>
        <item m="1" x="1945"/>
        <item m="1" x="1949"/>
        <item m="1" x="1947"/>
        <item m="1" x="1948"/>
        <item m="1" x="1952"/>
        <item m="1" x="1950"/>
        <item m="1" x="1951"/>
        <item m="1" x="921"/>
        <item m="1" x="1144"/>
        <item m="1" x="1986"/>
        <item m="1" x="1987"/>
        <item m="1" x="1988"/>
        <item m="1" x="1989"/>
        <item m="1" x="1994"/>
        <item m="1" x="1990"/>
        <item m="1" x="1991"/>
        <item m="1" x="1992"/>
        <item m="1" x="1993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9"/>
        <item m="1" x="2005"/>
        <item m="1" x="2006"/>
        <item m="1" x="2007"/>
        <item m="1" x="2008"/>
        <item m="1" x="2010"/>
        <item m="1" x="2011"/>
        <item m="1" x="2012"/>
        <item m="1" x="2013"/>
        <item m="1" x="2014"/>
        <item m="1" x="2015"/>
        <item m="1" x="729"/>
        <item m="1" x="730"/>
        <item m="1" x="703"/>
        <item m="1" x="704"/>
        <item m="1" x="705"/>
        <item m="1" x="706"/>
        <item m="1" x="128"/>
        <item m="1" x="168"/>
        <item m="1" x="1954"/>
        <item m="1" x="1953"/>
        <item m="1" x="1956"/>
        <item m="1" x="1955"/>
        <item m="1" x="1958"/>
        <item m="1" x="1957"/>
        <item m="1" x="1960"/>
        <item m="1" x="1959"/>
        <item m="1" x="487"/>
        <item m="1" x="486"/>
        <item m="1" x="488"/>
        <item m="1" x="58"/>
        <item m="1" x="489"/>
        <item m="1" x="490"/>
        <item m="1" x="491"/>
        <item m="1" x="492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393"/>
        <item m="1" x="394"/>
        <item m="1" x="493"/>
        <item m="1" x="509"/>
        <item m="1" x="510"/>
        <item m="1" x="511"/>
        <item m="1" x="512"/>
        <item m="1" x="494"/>
        <item m="1" x="495"/>
        <item m="1" x="496"/>
        <item m="1" x="497"/>
        <item m="1" x="498"/>
        <item m="1" x="499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673"/>
        <item m="1" x="674"/>
        <item m="1" x="559"/>
        <item m="1" x="500"/>
        <item m="1" x="560"/>
        <item m="1" x="561"/>
        <item m="1" x="562"/>
        <item m="1" x="563"/>
        <item m="1" x="564"/>
        <item m="1" x="565"/>
        <item m="1" x="566"/>
        <item m="1" x="567"/>
        <item m="1" x="482"/>
        <item m="1" x="483"/>
        <item m="1" x="484"/>
        <item m="1" x="485"/>
        <item m="1" x="501"/>
        <item m="1" x="502"/>
        <item m="1" x="503"/>
        <item m="1" x="442"/>
        <item m="1" x="443"/>
        <item m="1" x="444"/>
        <item m="1" x="445"/>
        <item m="1" x="451"/>
        <item m="1" x="452"/>
        <item m="1" x="453"/>
        <item m="1" x="446"/>
        <item m="1" x="447"/>
        <item m="1" x="448"/>
        <item m="1" x="519"/>
        <item m="1" x="520"/>
        <item m="1" x="521"/>
        <item m="1" x="399"/>
        <item m="1" x="400"/>
        <item m="1" x="401"/>
        <item m="1" x="803"/>
        <item m="1" x="1255"/>
        <item m="1" x="967"/>
        <item m="1" x="969"/>
        <item m="1" x="963"/>
        <item m="1" x="934"/>
        <item m="1" x="935"/>
        <item m="1" x="30"/>
        <item m="1" x="129"/>
        <item m="1" x="936"/>
        <item m="1" x="937"/>
        <item m="1" x="938"/>
        <item m="1" x="939"/>
        <item m="1" x="348"/>
        <item m="1" x="349"/>
        <item m="1" x="350"/>
        <item m="1" x="351"/>
        <item m="1" x="731"/>
        <item m="1" x="770"/>
        <item m="1" x="771"/>
        <item m="1" x="732"/>
        <item m="1" x="707"/>
        <item m="1" x="708"/>
        <item m="1" x="709"/>
        <item m="1" x="206"/>
        <item m="1" x="1207"/>
        <item m="1" x="733"/>
        <item m="1" x="749"/>
        <item m="1" x="750"/>
        <item m="1" x="734"/>
        <item m="1" x="839"/>
        <item m="1" x="840"/>
        <item m="1" x="1620"/>
        <item m="1" x="1168"/>
        <item m="1" x="1169"/>
        <item m="1" x="751"/>
        <item m="1" x="177"/>
        <item m="1" x="193"/>
        <item m="1" x="178"/>
        <item m="1" x="194"/>
        <item x="8"/>
        <item m="1" x="1908"/>
        <item m="1" x="1904"/>
        <item m="1" x="1907"/>
        <item m="1" x="1906"/>
        <item m="1" x="1903"/>
        <item m="1" x="1905"/>
        <item m="1" x="1624"/>
        <item m="1" x="1625"/>
        <item m="1" x="1236"/>
        <item m="1" x="710"/>
        <item m="1" x="772"/>
        <item m="1" x="964"/>
        <item m="1" x="940"/>
        <item m="1" x="965"/>
        <item m="1" x="941"/>
        <item m="1" x="1008"/>
        <item m="1" x="1009"/>
        <item m="1" x="1010"/>
        <item m="1" x="1011"/>
        <item m="1" x="1237"/>
        <item m="1" x="1238"/>
        <item m="1" x="1239"/>
        <item m="1" x="1240"/>
        <item m="1" x="1241"/>
        <item m="1" x="1242"/>
        <item m="1" x="1621"/>
        <item m="1" x="841"/>
        <item m="1" x="842"/>
        <item m="1" x="1208"/>
        <item m="1" x="1209"/>
        <item m="1" x="1151"/>
        <item m="1" x="773"/>
        <item m="1" x="1210"/>
        <item m="1" x="1152"/>
        <item m="1" x="1149"/>
        <item m="1" x="1150"/>
        <item m="1" x="908"/>
        <item m="1" x="909"/>
        <item m="1" x="954"/>
        <item m="1" x="955"/>
        <item m="1" x="1669"/>
        <item m="1" x="1670"/>
        <item m="1" x="956"/>
        <item m="1" x="957"/>
        <item m="1" x="958"/>
        <item m="1" x="959"/>
        <item m="1" x="179"/>
        <item m="1" x="195"/>
        <item m="1" x="180"/>
        <item m="1" x="196"/>
        <item m="1" x="181"/>
        <item m="1" x="197"/>
        <item m="1" x="56"/>
        <item m="1" x="198"/>
        <item m="1" x="182"/>
        <item m="1" x="199"/>
        <item m="1" x="183"/>
        <item m="1" x="200"/>
        <item m="1" x="711"/>
        <item m="1" x="843"/>
        <item m="1" x="774"/>
        <item m="1" x="775"/>
        <item m="1" x="776"/>
        <item m="1" x="777"/>
        <item m="1" x="778"/>
        <item m="1" x="779"/>
        <item m="1" x="780"/>
        <item m="1" x="781"/>
        <item m="1" x="41"/>
        <item m="1" x="35"/>
        <item m="1" x="48"/>
        <item m="1" x="124"/>
        <item m="1" x="91"/>
        <item m="1" x="95"/>
        <item m="1" x="102"/>
        <item m="1" x="94"/>
        <item m="1" x="85"/>
        <item m="1" x="15"/>
        <item m="1" x="104"/>
        <item m="1" x="125"/>
        <item m="1" x="96"/>
        <item m="1" x="93"/>
        <item m="1" x="92"/>
        <item m="1" x="97"/>
        <item m="1" x="98"/>
        <item m="1" x="99"/>
        <item m="1" x="100"/>
        <item m="1" x="101"/>
        <item m="1" x="8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75"/>
        <item m="1" x="78"/>
        <item m="1" x="76"/>
        <item m="1" x="77"/>
        <item m="1" x="88"/>
        <item m="1" x="105"/>
        <item m="1" x="106"/>
        <item m="1" x="107"/>
        <item m="1" x="80"/>
        <item m="1" x="108"/>
        <item m="1" x="79"/>
        <item m="1" x="86"/>
        <item m="1" x="109"/>
        <item m="1" x="89"/>
        <item m="1" x="110"/>
        <item m="1" x="111"/>
        <item m="1" x="112"/>
        <item m="1" x="81"/>
        <item m="1" x="87"/>
        <item m="1" x="113"/>
        <item m="1" x="84"/>
        <item m="1" x="103"/>
        <item m="1" x="82"/>
        <item m="1" x="90"/>
        <item m="1" x="16"/>
        <item m="1" x="65"/>
        <item m="1" x="49"/>
        <item m="1" x="50"/>
        <item m="1" x="17"/>
        <item m="1" x="19"/>
        <item m="1" x="20"/>
        <item m="1" x="21"/>
        <item m="1" x="27"/>
        <item m="1" x="28"/>
        <item m="1" x="29"/>
        <item m="1" x="31"/>
        <item x="0"/>
        <item x="5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4"/>
        <item h="1" m="1" x="5"/>
        <item x="1"/>
        <item h="1" m="1" x="13"/>
        <item h="1" x="0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3"/>
        <item h="1" m="1" x="20"/>
        <item h="1" m="1" x="15"/>
        <item h="1" m="1" x="16"/>
        <item h="1" m="1" x="11"/>
        <item h="1" m="1" x="2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3">
      <pivotArea outline="0" fieldPosition="0">
        <references count="1">
          <reference field="4294967294" count="1" selected="0">
            <x v="0"/>
          </reference>
        </references>
      </pivotArea>
    </format>
    <format dxfId="22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9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FC4E0-313B-42D6-B4A0-3C5ADBB3E911}" name="PivotTable1" cacheId="2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5:D12" firstHeaderRow="0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82">
        <item m="1" x="57"/>
        <item m="1" x="80"/>
        <item m="1" x="62"/>
        <item m="1" x="61"/>
        <item m="1" x="74"/>
        <item m="1" x="70"/>
        <item m="1" x="79"/>
        <item m="1" x="69"/>
        <item m="1" x="63"/>
        <item m="1" x="81"/>
        <item m="1" x="73"/>
        <item m="1" x="64"/>
        <item m="1" x="66"/>
        <item m="1" x="67"/>
        <item m="1" x="75"/>
        <item m="1" x="77"/>
        <item m="1" x="71"/>
        <item m="1" x="72"/>
        <item m="1" x="65"/>
        <item m="1" x="68"/>
        <item m="1" x="76"/>
        <item x="15"/>
        <item m="1" x="78"/>
        <item m="1" x="16"/>
        <item m="1" x="36"/>
        <item m="1" x="37"/>
        <item m="1" x="38"/>
        <item m="1" x="39"/>
        <item m="1" x="17"/>
        <item m="1" x="40"/>
        <item m="1" x="19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x="8"/>
        <item m="1" x="52"/>
        <item m="1" x="53"/>
        <item m="1" x="54"/>
        <item m="1" x="55"/>
        <item m="1" x="56"/>
        <item m="1" x="58"/>
        <item m="1" x="59"/>
        <item m="1" x="60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6"/>
        <item x="1"/>
        <item x="0"/>
        <item m="1" x="7"/>
        <item m="1" x="8"/>
        <item m="1" x="11"/>
        <item m="1" x="10"/>
        <item x="2"/>
        <item m="1" x="3"/>
        <item m="1" x="4"/>
        <item m="1" x="5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8">
        <item m="1" x="27"/>
        <item m="1" x="8"/>
        <item m="1" x="21"/>
        <item x="0"/>
        <item x="2"/>
        <item m="1" x="6"/>
        <item m="1" x="5"/>
        <item m="1" x="45"/>
        <item m="1" x="39"/>
        <item m="1" x="44"/>
        <item m="1" x="46"/>
        <item m="1" x="26"/>
        <item m="1" x="17"/>
        <item m="1" x="33"/>
        <item m="1" x="47"/>
        <item m="1" x="42"/>
        <item m="1" x="19"/>
        <item m="1" x="18"/>
        <item m="1" x="32"/>
        <item m="1" x="35"/>
        <item m="1" x="34"/>
        <item m="1" x="43"/>
        <item m="1" x="31"/>
        <item m="1" x="41"/>
        <item m="1" x="36"/>
        <item m="1" x="37"/>
        <item m="1" x="38"/>
        <item m="1" x="40"/>
        <item x="4"/>
        <item m="1" x="13"/>
        <item m="1" x="14"/>
        <item m="1" x="15"/>
        <item m="1" x="16"/>
        <item m="1" x="20"/>
        <item m="1" x="22"/>
        <item m="1" x="23"/>
        <item m="1" x="24"/>
        <item m="1" x="25"/>
        <item m="1" x="28"/>
        <item m="1" x="29"/>
        <item m="1" x="30"/>
        <item m="1" x="7"/>
        <item x="1"/>
        <item m="1" x="9"/>
        <item m="1" x="10"/>
        <item m="1" x="11"/>
        <item m="1" x="1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rowItems count="7">
    <i>
      <x v="3"/>
    </i>
    <i r="1">
      <x v="3"/>
    </i>
    <i r="2">
      <x v="68"/>
      <x v="3"/>
    </i>
    <i r="3">
      <x v="4"/>
    </i>
    <i r="2">
      <x v="73"/>
      <x v="3"/>
    </i>
    <i r="3">
      <x v="4"/>
    </i>
    <i r="3">
      <x v="42"/>
    </i>
  </rowItems>
  <colFields count="1">
    <field x="-2"/>
  </colFields>
  <colItems count="2">
    <i>
      <x/>
    </i>
    <i i="1">
      <x v="1"/>
    </i>
  </colItems>
  <dataFields count="2">
    <dataField name="QTY" fld="32" baseField="22" baseItem="12"/>
    <dataField name="TOTAL Length (dec ft)" fld="31" baseField="10" baseItem="2" numFmtId="166"/>
  </dataFields>
  <formats count="13">
    <format dxfId="20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99">
      <pivotArea field="22" type="button" dataOnly="0" labelOnly="1" outline="0" axis="axisRow" fieldPosition="3"/>
    </format>
    <format dxfId="1998">
      <pivotArea outline="0" fieldPosition="0">
        <references count="1">
          <reference field="4294967294" count="1" selected="0">
            <x v="0"/>
          </reference>
        </references>
      </pivotArea>
    </format>
    <format dxfId="1997">
      <pivotArea field="22" type="button" dataOnly="0" labelOnly="1" outline="0" axis="axisRow" fieldPosition="3"/>
    </format>
    <format dxfId="1996">
      <pivotArea dataOnly="0" labelOnly="1" fieldPosition="0">
        <references count="1">
          <reference field="10" count="1">
            <x v="3"/>
          </reference>
        </references>
      </pivotArea>
    </format>
    <format dxfId="1995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1994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1993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199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19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Equal" evalOrder="-1" id="2" stringValue1="Straight">
      <autoFilter ref="A1">
        <filterColumn colId="0">
          <filters>
            <filter val="Straight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527C2-60F3-48E5-99A8-3C6B658C018E}" name="PivotTable5" cacheId="2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5:R7" firstHeaderRow="0" firstDataRow="1" firstDataCol="2" rowPageCount="1" colPageCount="1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sortType="ascending" sumSubtotal="1">
      <items count="6">
        <item m="1" x="4"/>
        <item x="1"/>
        <item m="1" x="3"/>
        <item x="0"/>
        <item x="2"/>
        <item t="sum"/>
      </items>
    </pivotField>
    <pivotField axis="axisRow" showAll="0" sumSubtotal="1">
      <items count="10">
        <item m="1" x="8"/>
        <item x="2"/>
        <item x="1"/>
        <item x="3"/>
        <item m="1" x="4"/>
        <item m="1" x="5"/>
        <item m="1" x="6"/>
        <item m="1" x="7"/>
        <item x="0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82">
        <item m="1" x="57"/>
        <item m="1" x="80"/>
        <item m="1" x="62"/>
        <item m="1" x="61"/>
        <item m="1" x="74"/>
        <item m="1" x="70"/>
        <item m="1" x="79"/>
        <item m="1" x="69"/>
        <item m="1" x="63"/>
        <item m="1" x="81"/>
        <item m="1" x="73"/>
        <item m="1" x="64"/>
        <item m="1" x="66"/>
        <item m="1" x="67"/>
        <item m="1" x="75"/>
        <item m="1" x="77"/>
        <item m="1" x="71"/>
        <item m="1" x="72"/>
        <item m="1" x="65"/>
        <item m="1" x="68"/>
        <item m="1" x="76"/>
        <item x="15"/>
        <item m="1" x="78"/>
        <item m="1" x="16"/>
        <item m="1" x="36"/>
        <item m="1" x="37"/>
        <item m="1" x="38"/>
        <item m="1" x="39"/>
        <item m="1" x="17"/>
        <item m="1" x="40"/>
        <item m="1" x="19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x="8"/>
        <item m="1" x="52"/>
        <item m="1" x="53"/>
        <item m="1" x="54"/>
        <item m="1" x="55"/>
        <item m="1" x="56"/>
        <item m="1" x="58"/>
        <item m="1" x="59"/>
        <item m="1" x="60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8">
        <item m="1" x="27"/>
        <item m="1" x="8"/>
        <item m="1" x="21"/>
        <item x="0"/>
        <item x="2"/>
        <item m="1" x="6"/>
        <item m="1" x="5"/>
        <item m="1" x="45"/>
        <item m="1" x="39"/>
        <item m="1" x="44"/>
        <item m="1" x="46"/>
        <item m="1" x="26"/>
        <item m="1" x="17"/>
        <item m="1" x="33"/>
        <item m="1" x="47"/>
        <item m="1" x="42"/>
        <item m="1" x="19"/>
        <item m="1" x="18"/>
        <item m="1" x="32"/>
        <item m="1" x="35"/>
        <item m="1" x="34"/>
        <item m="1" x="43"/>
        <item m="1" x="31"/>
        <item m="1" x="41"/>
        <item m="1" x="36"/>
        <item m="1" x="37"/>
        <item m="1" x="38"/>
        <item m="1" x="40"/>
        <item x="4"/>
        <item m="1" x="13"/>
        <item m="1" x="14"/>
        <item m="1" x="15"/>
        <item m="1" x="16"/>
        <item m="1" x="20"/>
        <item m="1" x="22"/>
        <item m="1" x="23"/>
        <item m="1" x="24"/>
        <item m="1" x="25"/>
        <item m="1" x="28"/>
        <item m="1" x="29"/>
        <item m="1" x="30"/>
        <item m="1" x="7"/>
        <item x="1"/>
        <item m="1" x="9"/>
        <item m="1" x="10"/>
        <item m="1" x="11"/>
        <item m="1" x="1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2"/>
  </rowFields>
  <rowItems count="2">
    <i>
      <x v="3"/>
    </i>
    <i r="1">
      <x v="21"/>
      <x v="28"/>
    </i>
  </rowItems>
  <colFields count="1">
    <field x="-2"/>
  </colFields>
  <colItems count="2">
    <i>
      <x/>
    </i>
    <i i="1">
      <x v="1"/>
    </i>
  </colItems>
  <pageFields count="1">
    <pageField fld="10" item="4" hier="-1"/>
  </pageFields>
  <dataFields count="2">
    <dataField name="QTY" fld="32" baseField="22" baseItem="12"/>
    <dataField name="TOTAL Length (dec ft)" fld="31" baseField="11" baseItem="2" numFmtId="166"/>
  </dataFields>
  <formats count="13">
    <format dxfId="2015">
      <pivotArea field="22" type="button" dataOnly="0" labelOnly="1" outline="0" axis="axisRow" fieldPosition="2"/>
    </format>
    <format dxfId="2014">
      <pivotArea outline="0" fieldPosition="0">
        <references count="1">
          <reference field="4294967294" count="1" selected="0">
            <x v="0"/>
          </reference>
        </references>
      </pivotArea>
    </format>
    <format dxfId="2013">
      <pivotArea dataOnly="0" labelOnly="1" fieldPosition="0">
        <references count="1">
          <reference field="10" count="1">
            <x v="3"/>
          </reference>
        </references>
      </pivotArea>
    </format>
    <format dxfId="201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1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0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08">
      <pivotArea dataOnly="0" labelOnly="1" fieldPosition="0">
        <references count="1">
          <reference field="10" count="1">
            <x v="1"/>
          </reference>
        </references>
      </pivotArea>
    </format>
    <format dxfId="2007">
      <pivotArea dataOnly="0" labelOnly="1" fieldPosition="0">
        <references count="1">
          <reference field="10" count="1" sumSubtotal="1">
            <x v="1"/>
          </reference>
        </references>
      </pivotArea>
    </format>
    <format dxfId="2006">
      <pivotArea field="22" type="button" dataOnly="0" labelOnly="1" outline="0" axis="axisRow" fieldPosition="2"/>
    </format>
    <format dxfId="2005">
      <pivotArea outline="0" fieldPosition="0">
        <references count="1">
          <reference field="4294967294" count="1">
            <x v="1"/>
          </reference>
        </references>
      </pivotArea>
    </format>
    <format dxfId="200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10210-3775-4456-BBCB-1D4F3D8ECEED}" name="PivotTable4" cacheId="2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J5:M13" firstHeaderRow="1" firstDataRow="1" firstDataCol="3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axis="axisRow" subtotalTop="0" showAll="0" defaultSubtotal="0">
      <items count="9">
        <item m="1" x="8"/>
        <item h="1" x="2"/>
        <item x="1"/>
        <item h="1" x="3"/>
        <item h="1" m="1" x="4"/>
        <item h="1" m="1" x="5"/>
        <item h="1" m="1" x="6"/>
        <item h="1" m="1" x="7"/>
        <item h="1"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82">
        <item m="1" x="57"/>
        <item m="1" x="80"/>
        <item m="1" x="62"/>
        <item m="1" x="61"/>
        <item m="1" x="74"/>
        <item m="1" x="70"/>
        <item m="1" x="79"/>
        <item m="1" x="69"/>
        <item m="1" x="63"/>
        <item m="1" x="81"/>
        <item m="1" x="73"/>
        <item m="1" x="64"/>
        <item m="1" x="66"/>
        <item m="1" x="67"/>
        <item m="1" x="75"/>
        <item m="1" x="77"/>
        <item m="1" x="71"/>
        <item m="1" x="72"/>
        <item m="1" x="65"/>
        <item m="1" x="68"/>
        <item m="1" x="76"/>
        <item x="15"/>
        <item m="1" x="78"/>
        <item m="1" x="16"/>
        <item m="1" x="36"/>
        <item m="1" x="37"/>
        <item m="1" x="38"/>
        <item m="1" x="39"/>
        <item m="1" x="17"/>
        <item m="1" x="40"/>
        <item m="1" x="19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x="8"/>
        <item m="1" x="52"/>
        <item m="1" x="53"/>
        <item m="1" x="54"/>
        <item m="1" x="55"/>
        <item m="1" x="56"/>
        <item m="1" x="58"/>
        <item m="1" x="59"/>
        <item m="1" x="60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8">
        <item m="1" x="27"/>
        <item m="1" x="8"/>
        <item m="1" x="21"/>
        <item x="0"/>
        <item x="2"/>
        <item m="1" x="6"/>
        <item m="1" x="5"/>
        <item m="1" x="45"/>
        <item m="1" x="39"/>
        <item m="1" x="44"/>
        <item m="1" x="46"/>
        <item m="1" x="26"/>
        <item m="1" x="17"/>
        <item m="1" x="33"/>
        <item m="1" x="47"/>
        <item m="1" x="42"/>
        <item m="1" x="19"/>
        <item m="1" x="18"/>
        <item m="1" x="32"/>
        <item m="1" x="35"/>
        <item m="1" x="34"/>
        <item m="1" x="43"/>
        <item m="1" x="31"/>
        <item m="1" x="41"/>
        <item m="1" x="36"/>
        <item m="1" x="37"/>
        <item m="1" x="38"/>
        <item m="1" x="40"/>
        <item x="4"/>
        <item m="1" x="13"/>
        <item m="1" x="14"/>
        <item m="1" x="15"/>
        <item m="1" x="16"/>
        <item m="1" x="20"/>
        <item m="1" x="22"/>
        <item m="1" x="23"/>
        <item m="1" x="24"/>
        <item m="1" x="25"/>
        <item m="1" x="28"/>
        <item m="1" x="29"/>
        <item m="1" x="30"/>
        <item m="1" x="7"/>
        <item x="1"/>
        <item m="1" x="9"/>
        <item m="1" x="10"/>
        <item m="1" x="11"/>
        <item m="1" x="1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15"/>
    <field x="22"/>
    <field x="11"/>
  </rowFields>
  <rowItems count="8">
    <i>
      <x v="1"/>
    </i>
    <i r="1">
      <x v="70"/>
      <x v="42"/>
      <x v="2"/>
    </i>
    <i r="1">
      <x v="74"/>
      <x v="42"/>
      <x v="2"/>
    </i>
    <i r="1">
      <x v="75"/>
      <x v="42"/>
      <x v="2"/>
    </i>
    <i r="1">
      <x v="78"/>
      <x v="3"/>
      <x v="2"/>
    </i>
    <i r="2">
      <x v="42"/>
      <x v="2"/>
    </i>
    <i r="1">
      <x v="79"/>
      <x v="47"/>
      <x v="2"/>
    </i>
    <i r="1">
      <x v="81"/>
      <x v="42"/>
      <x v="2"/>
    </i>
  </rowItems>
  <colItems count="1">
    <i/>
  </colItems>
  <dataFields count="1">
    <dataField name="QTY" fld="32" baseField="22" baseItem="12"/>
  </dataFields>
  <formats count="10">
    <format dxfId="2025">
      <pivotArea field="22" type="button" dataOnly="0" labelOnly="1" outline="0" axis="axisRow" fieldPosition="2"/>
    </format>
    <format dxfId="2024">
      <pivotArea outline="0" fieldPosition="0">
        <references count="1">
          <reference field="4294967294" count="1" selected="0">
            <x v="0"/>
          </reference>
        </references>
      </pivotArea>
    </format>
    <format dxfId="2023">
      <pivotArea dataOnly="0" labelOnly="1" fieldPosition="0">
        <references count="1">
          <reference field="10" count="1">
            <x v="3"/>
          </reference>
        </references>
      </pivotArea>
    </format>
    <format dxfId="202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2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1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18">
      <pivotArea dataOnly="0" labelOnly="1" fieldPosition="0">
        <references count="1">
          <reference field="10" count="1">
            <x v="1"/>
          </reference>
        </references>
      </pivotArea>
    </format>
    <format dxfId="2017">
      <pivotArea dataOnly="0" labelOnly="1" fieldPosition="0">
        <references count="1">
          <reference field="10" count="1" sumSubtotal="1">
            <x v="1"/>
          </reference>
        </references>
      </pivotArea>
    </format>
    <format dxfId="2016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5" type="captionNotContains" evalOrder="-1" id="7" stringValue1="Nipple">
      <autoFilter ref="A1">
        <filterColumn colId="0">
          <customFilters>
            <customFilter operator="notEqual"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B9F3A-98CB-4E95-914F-8E64892A374F}" name="PivotTable2" cacheId="2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F5:H5" firstHeaderRow="1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x="1"/>
        <item m="1" x="3"/>
        <item x="0"/>
        <item x="2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82">
        <item m="1" x="57"/>
        <item m="1" x="80"/>
        <item m="1" x="62"/>
        <item m="1" x="61"/>
        <item m="1" x="74"/>
        <item m="1" x="70"/>
        <item m="1" x="79"/>
        <item m="1" x="69"/>
        <item m="1" x="63"/>
        <item m="1" x="81"/>
        <item m="1" x="73"/>
        <item m="1" x="64"/>
        <item m="1" x="66"/>
        <item m="1" x="67"/>
        <item m="1" x="75"/>
        <item m="1" x="77"/>
        <item m="1" x="71"/>
        <item m="1" x="72"/>
        <item m="1" x="65"/>
        <item m="1" x="68"/>
        <item m="1" x="76"/>
        <item x="15"/>
        <item m="1" x="78"/>
        <item m="1" x="16"/>
        <item m="1" x="36"/>
        <item m="1" x="37"/>
        <item m="1" x="38"/>
        <item m="1" x="39"/>
        <item m="1" x="17"/>
        <item m="1" x="40"/>
        <item m="1" x="19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x="8"/>
        <item m="1" x="52"/>
        <item m="1" x="53"/>
        <item m="1" x="54"/>
        <item m="1" x="55"/>
        <item m="1" x="56"/>
        <item m="1" x="58"/>
        <item m="1" x="59"/>
        <item m="1" x="60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6"/>
        <item x="1"/>
        <item x="0"/>
        <item m="1" x="7"/>
        <item m="1" x="8"/>
        <item m="1" x="11"/>
        <item m="1" x="10"/>
        <item x="2"/>
        <item m="1" x="3"/>
        <item m="1" x="4"/>
        <item m="1" x="5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8">
        <item m="1" x="27"/>
        <item m="1" x="8"/>
        <item m="1" x="21"/>
        <item x="0"/>
        <item x="2"/>
        <item m="1" x="6"/>
        <item m="1" x="5"/>
        <item m="1" x="45"/>
        <item m="1" x="39"/>
        <item m="1" x="44"/>
        <item m="1" x="46"/>
        <item m="1" x="26"/>
        <item m="1" x="17"/>
        <item m="1" x="33"/>
        <item m="1" x="47"/>
        <item m="1" x="42"/>
        <item m="1" x="19"/>
        <item m="1" x="18"/>
        <item m="1" x="32"/>
        <item m="1" x="35"/>
        <item m="1" x="34"/>
        <item m="1" x="43"/>
        <item m="1" x="31"/>
        <item m="1" x="41"/>
        <item m="1" x="36"/>
        <item m="1" x="37"/>
        <item m="1" x="38"/>
        <item m="1" x="40"/>
        <item x="4"/>
        <item m="1" x="13"/>
        <item m="1" x="14"/>
        <item m="1" x="15"/>
        <item m="1" x="16"/>
        <item m="1" x="20"/>
        <item m="1" x="22"/>
        <item m="1" x="23"/>
        <item m="1" x="24"/>
        <item m="1" x="25"/>
        <item m="1" x="28"/>
        <item m="1" x="29"/>
        <item m="1" x="30"/>
        <item m="1" x="7"/>
        <item x="1"/>
        <item m="1" x="9"/>
        <item m="1" x="10"/>
        <item m="1" x="11"/>
        <item m="1" x="1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Items count="1">
    <i/>
  </colItems>
  <dataFields count="1">
    <dataField name="QTY" fld="32" baseField="22" baseItem="12"/>
  </dataFields>
  <formats count="12">
    <format dxfId="2037">
      <pivotArea field="22" type="button" dataOnly="0" labelOnly="1" outline="0" axis="axisRow" fieldPosition="3"/>
    </format>
    <format dxfId="2036">
      <pivotArea outline="0" fieldPosition="0">
        <references count="1">
          <reference field="4294967294" count="1" selected="0">
            <x v="0"/>
          </reference>
        </references>
      </pivotArea>
    </format>
    <format dxfId="2035">
      <pivotArea dataOnly="0" labelOnly="1" fieldPosition="0">
        <references count="1">
          <reference field="10" count="1">
            <x v="3"/>
          </reference>
        </references>
      </pivotArea>
    </format>
    <format dxfId="2034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33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3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2031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20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29">
      <pivotArea field="22" type="button" dataOnly="0" labelOnly="1" outline="0" axis="axisRow" fieldPosition="3"/>
    </format>
    <format dxfId="2028">
      <pivotArea dataOnly="0" labelOnly="1" fieldPosition="0">
        <references count="1">
          <reference field="10" count="1">
            <x v="1"/>
          </reference>
        </references>
      </pivotArea>
    </format>
    <format dxfId="2027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26">
      <pivotArea dataOnly="0" labelOnly="1" outline="0" fieldPosition="0">
        <references count="4">
          <reference field="10" count="1" selected="0">
            <x v="1"/>
          </reference>
          <reference field="15" count="1" selected="0">
            <x v="10"/>
          </reference>
          <reference field="20" count="1" selected="0">
            <x v="2"/>
          </reference>
          <reference field="22" count="1">
            <x v="5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5" type="captionContains" evalOrder="-1" id="4" stringValue1="Nipple">
      <autoFilter ref="A1">
        <filterColumn colId="0">
          <customFilters>
            <customFilter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BFC170-1866-4BC5-BD3F-4FEAE35A8166}" name="Cut List" cacheId="2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J32" firstHeaderRow="0" firstDataRow="0" firstDataCol="10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9"/>
        <item m="1" x="1"/>
        <item m="1" x="8"/>
        <item m="1" x="5"/>
        <item m="1" x="6"/>
        <item m="1" x="7"/>
        <item m="1" x="4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2"/>
        <item m="1" x="37"/>
        <item m="1" x="41"/>
        <item m="1" x="61"/>
        <item m="1" x="55"/>
        <item m="1" x="22"/>
        <item m="1" x="60"/>
        <item m="1" x="23"/>
        <item m="1" x="65"/>
        <item m="1" x="38"/>
        <item m="1" x="33"/>
        <item m="1" x="53"/>
        <item m="1" x="39"/>
        <item m="1" x="42"/>
        <item m="1" x="63"/>
        <item m="1" x="56"/>
        <item m="1" x="24"/>
        <item m="1" x="62"/>
        <item m="1" x="25"/>
        <item m="1" x="64"/>
        <item m="1" x="40"/>
        <item m="1" x="21"/>
        <item m="1" x="48"/>
        <item m="1" x="10"/>
        <item m="1" x="43"/>
        <item m="1" x="32"/>
        <item m="1" x="7"/>
        <item m="1" x="52"/>
        <item m="1" x="17"/>
        <item m="1" x="29"/>
        <item m="1" x="26"/>
        <item m="1" x="27"/>
        <item m="1" x="9"/>
        <item m="1" x="28"/>
        <item m="1" x="49"/>
        <item m="1" x="59"/>
        <item m="1" x="51"/>
        <item x="0"/>
        <item m="1" x="20"/>
        <item m="1" x="19"/>
        <item m="1" x="47"/>
        <item m="1" x="58"/>
        <item m="1" x="44"/>
        <item m="1" x="54"/>
        <item m="1" x="34"/>
        <item m="1" x="11"/>
        <item m="1" x="18"/>
        <item m="1" x="31"/>
        <item m="1" x="30"/>
        <item m="1" x="66"/>
        <item m="1" x="57"/>
        <item m="1" x="50"/>
        <item m="1" x="6"/>
        <item m="1" x="36"/>
        <item m="1" x="45"/>
        <item m="1" x="46"/>
        <item m="1" x="35"/>
        <item x="3"/>
        <item m="1" x="8"/>
        <item m="1" x="5"/>
        <item x="2"/>
        <item x="1"/>
        <item m="1" x="16"/>
        <item m="1" x="15"/>
        <item m="1" x="14"/>
        <item m="1" x="1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4"/>
        <item m="1" x="5"/>
        <item x="1"/>
        <item m="1" x="13"/>
        <item x="0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3"/>
        <item m="1" x="20"/>
        <item m="1" x="15"/>
        <item m="1" x="16"/>
        <item m="1" x="11"/>
        <item m="1" x="2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78">
        <item x="6"/>
        <item m="1" x="76"/>
        <item m="1" x="566"/>
        <item m="1" x="1336"/>
        <item m="1" x="587"/>
        <item m="1" x="410"/>
        <item m="1" x="106"/>
        <item m="1" x="934"/>
        <item m="1" x="189"/>
        <item m="1" x="1176"/>
        <item m="1" x="198"/>
        <item m="1" x="968"/>
        <item m="1" x="1174"/>
        <item m="1" x="1185"/>
        <item m="1" x="984"/>
        <item m="1" x="1064"/>
        <item m="1" x="1145"/>
        <item m="1" x="1134"/>
        <item m="1" x="1135"/>
        <item m="1" x="307"/>
        <item m="1" x="1262"/>
        <item m="1" x="197"/>
        <item m="1" x="357"/>
        <item m="1" x="977"/>
        <item m="1" x="1175"/>
        <item m="1" x="1260"/>
        <item m="1" x="152"/>
        <item m="1" x="118"/>
        <item m="1" x="1261"/>
        <item m="1" x="78"/>
        <item m="1" x="184"/>
        <item m="1" x="1037"/>
        <item m="1" x="79"/>
        <item m="1" x="160"/>
        <item m="1" x="305"/>
        <item m="1" x="1173"/>
        <item m="1" x="409"/>
        <item m="1" x="1102"/>
        <item m="1" x="316"/>
        <item m="1" x="1137"/>
        <item m="1" x="258"/>
        <item m="1" x="1186"/>
        <item m="1" x="492"/>
        <item m="1" x="1105"/>
        <item m="1" x="1146"/>
        <item m="1" x="972"/>
        <item m="1" x="1038"/>
        <item m="1" x="1182"/>
        <item m="1" x="1172"/>
        <item m="1" x="1184"/>
        <item m="1" x="1181"/>
        <item m="1" x="1127"/>
        <item m="1" x="1183"/>
        <item m="1" x="604"/>
        <item m="1" x="111"/>
        <item m="1" x="1177"/>
        <item m="1" x="114"/>
        <item m="1" x="1136"/>
        <item m="1" x="105"/>
        <item m="1" x="411"/>
        <item m="1" x="1138"/>
        <item m="1" x="432"/>
        <item m="1" x="1128"/>
        <item m="1" x="1179"/>
        <item m="1" x="117"/>
        <item m="1" x="1283"/>
        <item m="1" x="389"/>
        <item m="1" x="554"/>
        <item m="1" x="527"/>
        <item m="1" x="1018"/>
        <item m="1" x="1250"/>
        <item m="1" x="341"/>
        <item m="1" x="1365"/>
        <item m="1" x="1016"/>
        <item m="1" x="1170"/>
        <item x="16"/>
        <item m="1" x="561"/>
        <item m="1" x="1331"/>
        <item m="1" x="419"/>
        <item m="1" x="1285"/>
        <item m="1" x="270"/>
        <item m="1" x="1223"/>
        <item m="1" x="1288"/>
        <item m="1" x="400"/>
        <item m="1" x="429"/>
        <item m="1" x="574"/>
        <item m="1" x="1205"/>
        <item x="17"/>
        <item m="1" x="317"/>
        <item m="1" x="287"/>
        <item m="1" x="337"/>
        <item m="1" x="1271"/>
        <item m="1" x="1312"/>
        <item m="1" x="1340"/>
        <item m="1" x="1217"/>
        <item m="1" x="1171"/>
        <item m="1" x="292"/>
        <item m="1" x="376"/>
        <item m="1" x="1357"/>
        <item m="1" x="228"/>
        <item m="1" x="556"/>
        <item m="1" x="247"/>
        <item m="1" x="515"/>
        <item m="1" x="1251"/>
        <item m="1" x="401"/>
        <item m="1" x="487"/>
        <item m="1" x="96"/>
        <item m="1" x="1187"/>
        <item m="1" x="293"/>
        <item m="1" x="353"/>
        <item m="1" x="422"/>
        <item m="1" x="1054"/>
        <item m="1" x="320"/>
        <item m="1" x="1259"/>
        <item m="1" x="190"/>
        <item m="1" x="1286"/>
        <item m="1" x="1131"/>
        <item m="1" x="1025"/>
        <item m="1" x="1143"/>
        <item m="1" x="982"/>
        <item m="1" x="985"/>
        <item m="1" x="1148"/>
        <item m="1" x="990"/>
        <item m="1" x="471"/>
        <item m="1" x="1188"/>
        <item m="1" x="364"/>
        <item m="1" x="593"/>
        <item m="1" x="1178"/>
        <item m="1" x="1028"/>
        <item m="1" x="1200"/>
        <item x="10"/>
        <item m="1" x="304"/>
        <item m="1" x="992"/>
        <item m="1" x="374"/>
        <item m="1" x="83"/>
        <item m="1" x="991"/>
        <item m="1" x="188"/>
        <item m="1" x="352"/>
        <item m="1" x="75"/>
        <item m="1" x="996"/>
        <item m="1" x="68"/>
        <item x="31"/>
        <item m="1" x="259"/>
        <item m="1" x="1057"/>
        <item m="1" x="1129"/>
        <item m="1" x="1191"/>
        <item m="1" x="274"/>
        <item m="1" x="1332"/>
        <item m="1" x="1139"/>
        <item m="1" x="1207"/>
        <item m="1" x="1202"/>
        <item m="1" x="1160"/>
        <item m="1" x="1152"/>
        <item m="1" x="1327"/>
        <item m="1" x="1194"/>
        <item m="1" x="260"/>
        <item m="1" x="1159"/>
        <item m="1" x="72"/>
        <item m="1" x="412"/>
        <item m="1" x="1149"/>
        <item m="1" x="150"/>
        <item m="1" x="1193"/>
        <item m="1" x="586"/>
        <item m="1" x="1130"/>
        <item m="1" x="957"/>
        <item m="1" x="356"/>
        <item m="1" x="392"/>
        <item m="1" x="1144"/>
        <item m="1" x="69"/>
        <item m="1" x="151"/>
        <item m="1" x="537"/>
        <item m="1" x="1208"/>
        <item m="1" x="103"/>
        <item m="1" x="149"/>
        <item m="1" x="95"/>
        <item m="1" x="1147"/>
        <item m="1" x="84"/>
        <item m="1" x="1192"/>
        <item m="1" x="1284"/>
        <item m="1" x="1249"/>
        <item m="1" x="925"/>
        <item m="1" x="1277"/>
        <item m="1" x="1235"/>
        <item m="1" x="1180"/>
        <item m="1" x="1140"/>
        <item m="1" x="1151"/>
        <item m="1" x="1153"/>
        <item m="1" x="1133"/>
        <item m="1" x="1158"/>
        <item m="1" x="59"/>
        <item m="1" x="37"/>
        <item m="1" x="1093"/>
        <item m="1" x="368"/>
        <item m="1" x="1150"/>
        <item m="1" x="564"/>
        <item m="1" x="1189"/>
        <item m="1" x="1309"/>
        <item m="1" x="397"/>
        <item m="1" x="107"/>
        <item m="1" x="1341"/>
        <item m="1" x="77"/>
        <item m="1" x="468"/>
        <item x="13"/>
        <item m="1" x="1237"/>
        <item m="1" x="1132"/>
        <item m="1" x="568"/>
        <item m="1" x="1238"/>
        <item m="1" x="1106"/>
        <item m="1" x="1209"/>
        <item m="1" x="1190"/>
        <item m="1" x="338"/>
        <item m="1" x="1287"/>
        <item m="1" x="1141"/>
        <item m="1" x="1321"/>
        <item m="1" x="1265"/>
        <item m="1" x="1344"/>
        <item m="1" x="1201"/>
        <item m="1" x="1337"/>
        <item m="1" x="1263"/>
        <item m="1" x="1161"/>
        <item m="1" x="1236"/>
        <item m="1" x="315"/>
        <item m="1" x="369"/>
        <item m="1" x="1163"/>
        <item m="1" x="366"/>
        <item m="1" x="1162"/>
        <item m="1" x="394"/>
        <item m="1" x="1155"/>
        <item m="1" x="1377"/>
        <item x="22"/>
        <item m="1" x="282"/>
        <item m="1" x="1154"/>
        <item m="1" x="70"/>
        <item m="1" x="146"/>
        <item m="1" x="548"/>
        <item m="1" x="1333"/>
        <item m="1" x="393"/>
        <item m="1" x="267"/>
        <item m="1" x="310"/>
        <item m="1" x="346"/>
        <item m="1" x="1233"/>
        <item m="1" x="147"/>
        <item m="1" x="1156"/>
        <item m="1" x="1215"/>
        <item m="1" x="1142"/>
        <item m="1" x="1353"/>
        <item m="1" x="1376"/>
        <item m="1" x="1121"/>
        <item m="1" x="1210"/>
        <item m="1" x="1211"/>
        <item m="1" x="532"/>
        <item m="1" x="200"/>
        <item m="1" x="1375"/>
        <item m="1" x="1165"/>
        <item m="1" x="1304"/>
        <item m="1" x="555"/>
        <item m="1" x="372"/>
        <item m="1" x="1195"/>
        <item m="1" x="545"/>
        <item m="1" x="280"/>
        <item m="1" x="1356"/>
        <item m="1" x="272"/>
        <item m="1" x="1001"/>
        <item m="1" x="193"/>
        <item m="1" x="1166"/>
        <item m="1" x="199"/>
        <item m="1" x="371"/>
        <item m="1" x="407"/>
        <item m="1" x="1196"/>
        <item m="1" x="1033"/>
        <item m="1" x="1017"/>
        <item m="1" x="102"/>
        <item m="1" x="1164"/>
        <item m="1" x="1252"/>
        <item m="1" x="1157"/>
        <item m="1" x="1374"/>
        <item m="1" x="1203"/>
        <item m="1" x="1167"/>
        <item m="1" x="1111"/>
        <item m="1" x="1264"/>
        <item m="1" x="403"/>
        <item m="1" x="391"/>
        <item m="1" x="1234"/>
        <item m="1" x="271"/>
        <item m="1" x="457"/>
        <item m="1" x="1197"/>
        <item m="1" x="402"/>
        <item m="1" x="973"/>
        <item m="1" x="175"/>
        <item m="1" x="142"/>
        <item m="1" x="116"/>
        <item m="1" x="238"/>
        <item m="1" x="178"/>
        <item m="1" x="1360"/>
        <item m="1" x="1371"/>
        <item m="1" x="1169"/>
        <item m="1" x="1270"/>
        <item m="1" x="442"/>
        <item m="1" x="1335"/>
        <item m="1" x="1334"/>
        <item m="1" x="1310"/>
        <item m="1" x="1345"/>
        <item m="1" x="1315"/>
        <item m="1" x="141"/>
        <item m="1" x="1168"/>
        <item m="1" x="582"/>
        <item m="1" x="162"/>
        <item m="1" x="373"/>
        <item m="1" x="395"/>
        <item m="1" x="1373"/>
        <item m="1" x="1311"/>
        <item m="1" x="396"/>
        <item m="1" x="1320"/>
        <item m="1" x="196"/>
        <item m="1" x="425"/>
        <item m="1" x="1212"/>
        <item m="1" x="517"/>
        <item m="1" x="235"/>
        <item m="1" x="1198"/>
        <item m="1" x="1014"/>
        <item m="1" x="319"/>
        <item m="1" x="1204"/>
        <item m="1" x="1358"/>
        <item m="1" x="1216"/>
        <item m="1" x="1053"/>
        <item m="1" x="1056"/>
        <item m="1" x="390"/>
        <item m="1" x="358"/>
        <item m="1" x="541"/>
        <item m="1" x="1348"/>
        <item m="1" x="408"/>
        <item m="1" x="1339"/>
        <item m="1" x="1325"/>
        <item m="1" x="576"/>
        <item m="1" x="1013"/>
        <item m="1" x="384"/>
        <item m="1" x="110"/>
        <item m="1" x="514"/>
        <item m="1" x="113"/>
        <item m="1" x="217"/>
        <item m="1" x="1316"/>
        <item m="1" x="1199"/>
        <item m="1" x="1328"/>
        <item m="1" x="1206"/>
        <item m="1" x="462"/>
        <item m="1" x="609"/>
        <item m="1" x="546"/>
        <item m="1" x="534"/>
        <item m="1" x="1366"/>
        <item m="1" x="342"/>
        <item m="1" x="201"/>
        <item m="1" x="1230"/>
        <item m="1" x="981"/>
        <item m="1" x="1349"/>
        <item m="1" x="1322"/>
        <item m="1" x="1343"/>
        <item m="1" x="1218"/>
        <item m="1" x="1352"/>
        <item m="1" x="414"/>
        <item m="1" x="194"/>
        <item m="1" x="234"/>
        <item m="1" x="257"/>
        <item m="1" x="385"/>
        <item m="1" x="249"/>
        <item m="1" x="1329"/>
        <item m="1" x="1347"/>
        <item m="1" x="1276"/>
        <item m="1" x="370"/>
        <item m="1" x="1228"/>
        <item m="1" x="1314"/>
        <item m="1" x="1306"/>
        <item x="26"/>
        <item m="1" x="1362"/>
        <item m="1" x="347"/>
        <item m="1" x="1227"/>
        <item m="1" x="1226"/>
        <item m="1" x="620"/>
        <item m="1" x="1324"/>
        <item m="1" x="283"/>
        <item m="1" x="445"/>
        <item m="1" x="1258"/>
        <item m="1" x="229"/>
        <item m="1" x="538"/>
        <item m="1" x="1219"/>
        <item m="1" x="1354"/>
        <item m="1" x="1363"/>
        <item m="1" x="1073"/>
        <item m="1" x="498"/>
        <item m="1" x="1372"/>
        <item m="1" x="522"/>
        <item m="1" x="191"/>
        <item m="1" x="1256"/>
        <item m="1" x="560"/>
        <item m="1" x="286"/>
        <item m="1" x="580"/>
        <item m="1" x="525"/>
        <item m="1" x="355"/>
        <item m="1" x="1313"/>
        <item m="1" x="1319"/>
        <item m="1" x="1255"/>
        <item m="1" x="1253"/>
        <item m="1" x="1350"/>
        <item m="1" x="1369"/>
        <item m="1" x="519"/>
        <item m="1" x="60"/>
        <item m="1" x="176"/>
        <item m="1" x="1278"/>
        <item m="1" x="277"/>
        <item m="1" x="381"/>
        <item m="1" x="1231"/>
        <item m="1" x="89"/>
        <item m="1" x="1272"/>
        <item m="1" x="447"/>
        <item m="1" x="1225"/>
        <item m="1" x="1267"/>
        <item m="1" x="490"/>
        <item m="1" x="601"/>
        <item m="1" x="1290"/>
        <item m="1" x="1224"/>
        <item m="1" x="398"/>
        <item m="1" x="1342"/>
        <item m="1" x="565"/>
        <item m="1" x="350"/>
        <item m="1" x="1317"/>
        <item m="1" x="1254"/>
        <item m="1" x="562"/>
        <item m="1" x="602"/>
        <item m="1" x="365"/>
        <item m="1" x="1000"/>
        <item m="1" x="318"/>
        <item m="1" x="85"/>
        <item m="1" x="1213"/>
        <item m="1" x="536"/>
        <item m="1" x="1266"/>
        <item m="1" x="1220"/>
        <item m="1" x="1351"/>
        <item m="1" x="592"/>
        <item m="1" x="577"/>
        <item m="1" x="192"/>
        <item m="1" x="1305"/>
        <item m="1" x="218"/>
        <item m="1" x="314"/>
        <item m="1" x="185"/>
        <item m="1" x="1282"/>
        <item m="1" x="1273"/>
        <item m="1" x="1091"/>
        <item m="1" x="1364"/>
        <item m="1" x="324"/>
        <item m="1" x="1368"/>
        <item m="1" x="343"/>
        <item m="1" x="619"/>
        <item m="1" x="542"/>
        <item m="1" x="311"/>
        <item m="1" x="945"/>
        <item m="1" x="491"/>
        <item m="1" x="466"/>
        <item m="1" x="1010"/>
        <item m="1" x="281"/>
        <item m="1" x="531"/>
        <item m="1" x="1355"/>
        <item m="1" x="224"/>
        <item m="1" x="1359"/>
        <item m="1" x="1221"/>
        <item m="1" x="1318"/>
        <item m="1" x="278"/>
        <item m="1" x="426"/>
        <item m="1" x="1279"/>
        <item m="1" x="1019"/>
        <item m="1" x="327"/>
        <item m="1" x="46"/>
        <item m="1" x="1079"/>
        <item m="1" x="1346"/>
        <item m="1" x="1039"/>
        <item m="1" x="273"/>
        <item m="1" x="512"/>
        <item m="1" x="600"/>
        <item m="1" x="127"/>
        <item m="1" x="1307"/>
        <item m="1" x="1326"/>
        <item m="1" x="1269"/>
        <item m="1" x="313"/>
        <item m="1" x="1280"/>
        <item m="1" x="486"/>
        <item m="1" x="1214"/>
        <item x="24"/>
        <item m="1" x="513"/>
        <item m="1" x="1123"/>
        <item m="1" x="1308"/>
        <item m="1" x="1292"/>
        <item m="1" x="1370"/>
        <item m="1" x="983"/>
        <item m="1" x="520"/>
        <item m="1" x="1274"/>
        <item m="1" x="1330"/>
        <item m="1" x="1289"/>
        <item m="1" x="388"/>
        <item m="1" x="1122"/>
        <item m="1" x="1338"/>
        <item m="1" x="594"/>
        <item m="1" x="1323"/>
        <item m="1" x="470"/>
        <item m="1" x="559"/>
        <item m="1" x="1291"/>
        <item m="1" x="629"/>
        <item m="1" x="1296"/>
        <item m="1" x="521"/>
        <item m="1" x="589"/>
        <item m="1" x="535"/>
        <item m="1" x="551"/>
        <item m="1" x="596"/>
        <item m="1" x="1229"/>
        <item m="1" x="1293"/>
        <item m="1" x="497"/>
        <item m="1" x="1298"/>
        <item m="1" x="1009"/>
        <item m="1" x="1268"/>
        <item m="1" x="617"/>
        <item m="1" x="47"/>
        <item x="19"/>
        <item m="1" x="74"/>
        <item m="1" x="434"/>
        <item m="1" x="1367"/>
        <item m="1" x="937"/>
        <item m="1" x="359"/>
        <item m="1" x="1295"/>
        <item m="1" x="1232"/>
        <item m="1" x="477"/>
        <item m="1" x="1240"/>
        <item m="1" x="563"/>
        <item m="1" x="269"/>
        <item m="1" x="1303"/>
        <item m="1" x="1239"/>
        <item m="1" x="499"/>
        <item m="1" x="1222"/>
        <item m="1" x="595"/>
        <item m="1" x="1297"/>
        <item x="8"/>
        <item m="1" x="1275"/>
        <item m="1" x="1294"/>
        <item m="1" x="496"/>
        <item m="1" x="516"/>
        <item m="1" x="1124"/>
        <item m="1" x="1300"/>
        <item m="1" x="1096"/>
        <item m="1" x="1281"/>
        <item m="1" x="284"/>
        <item m="1" x="1047"/>
        <item m="1" x="1248"/>
        <item m="1" x="1243"/>
        <item m="1" x="476"/>
        <item m="1" x="1125"/>
        <item m="1" x="1299"/>
        <item m="1" x="170"/>
        <item m="1" x="1241"/>
        <item m="1" x="1361"/>
        <item m="1" x="1302"/>
        <item m="1" x="165"/>
        <item m="1" x="1126"/>
        <item m="1" x="1245"/>
        <item m="1" x="607"/>
        <item m="1" x="1244"/>
        <item m="1" x="1242"/>
        <item m="1" x="1247"/>
        <item m="1" x="1301"/>
        <item m="1" x="1015"/>
        <item m="1" x="413"/>
        <item m="1" x="1246"/>
        <item m="1" x="361"/>
        <item m="1" x="382"/>
        <item m="1" x="1257"/>
        <item m="1" x="924"/>
        <item m="1" x="926"/>
        <item m="1" x="927"/>
        <item m="1" x="928"/>
        <item m="1" x="929"/>
        <item m="1" x="930"/>
        <item m="1" x="931"/>
        <item m="1" x="932"/>
        <item m="1" x="933"/>
        <item m="1" x="126"/>
        <item m="1" x="935"/>
        <item m="1" x="936"/>
        <item m="1" x="279"/>
        <item m="1" x="938"/>
        <item m="1" x="939"/>
        <item m="1" x="940"/>
        <item m="1" x="941"/>
        <item m="1" x="942"/>
        <item m="1" x="943"/>
        <item m="1" x="944"/>
        <item m="1" x="946"/>
        <item m="1" x="947"/>
        <item m="1" x="360"/>
        <item m="1" x="223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8"/>
        <item m="1" x="959"/>
        <item m="1" x="960"/>
        <item m="1" x="961"/>
        <item m="1" x="962"/>
        <item m="1" x="963"/>
        <item m="1" x="964"/>
        <item m="1" x="965"/>
        <item m="1" x="285"/>
        <item m="1" x="966"/>
        <item m="1" x="967"/>
        <item m="1" x="969"/>
        <item m="1" x="970"/>
        <item m="1" x="971"/>
        <item m="1" x="974"/>
        <item m="1" x="975"/>
        <item m="1" x="976"/>
        <item m="1" x="978"/>
        <item m="1" x="979"/>
        <item m="1" x="980"/>
        <item m="1" x="297"/>
        <item m="1" x="986"/>
        <item m="1" x="987"/>
        <item m="1" x="988"/>
        <item m="1" x="989"/>
        <item m="1" x="993"/>
        <item m="1" x="994"/>
        <item m="1" x="995"/>
        <item m="1" x="997"/>
        <item m="1" x="998"/>
        <item m="1" x="999"/>
        <item m="1" x="1002"/>
        <item m="1" x="1003"/>
        <item m="1" x="1004"/>
        <item m="1" x="1005"/>
        <item m="1" x="1006"/>
        <item m="1" x="1007"/>
        <item m="1" x="1008"/>
        <item m="1" x="1011"/>
        <item m="1" x="1012"/>
        <item m="1" x="1020"/>
        <item m="1" x="351"/>
        <item m="1" x="1021"/>
        <item m="1" x="237"/>
        <item m="1" x="1022"/>
        <item m="1" x="1023"/>
        <item m="1" x="1024"/>
        <item m="1" x="1026"/>
        <item m="1" x="1027"/>
        <item m="1" x="1029"/>
        <item m="1" x="1030"/>
        <item m="1" x="1031"/>
        <item m="1" x="1032"/>
        <item m="1" x="309"/>
        <item m="1" x="1034"/>
        <item m="1" x="1035"/>
        <item m="1" x="1036"/>
        <item m="1" x="1040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5"/>
        <item m="1" x="1058"/>
        <item m="1" x="1059"/>
        <item m="1" x="1060"/>
        <item m="1" x="1061"/>
        <item m="1" x="1062"/>
        <item m="1" x="1063"/>
        <item m="1" x="1065"/>
        <item m="1" x="1066"/>
        <item m="1" x="1067"/>
        <item m="1" x="1068"/>
        <item m="1" x="1069"/>
        <item m="1" x="1070"/>
        <item m="1" x="1071"/>
        <item m="1" x="1072"/>
        <item m="1" x="1074"/>
        <item m="1" x="1075"/>
        <item m="1" x="1076"/>
        <item m="1" x="1077"/>
        <item m="1" x="1078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2"/>
        <item m="1" x="1094"/>
        <item m="1" x="1095"/>
        <item m="1" x="132"/>
        <item m="1" x="1097"/>
        <item m="1" x="603"/>
        <item m="1" x="1098"/>
        <item m="1" x="1099"/>
        <item m="1" x="1100"/>
        <item m="1" x="1101"/>
        <item m="1" x="1103"/>
        <item m="1" x="1104"/>
        <item m="1" x="1107"/>
        <item m="1" x="1108"/>
        <item m="1" x="1109"/>
        <item m="1" x="1110"/>
        <item m="1" x="552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918"/>
        <item m="1" x="919"/>
        <item m="1" x="802"/>
        <item m="1" x="906"/>
        <item m="1" x="920"/>
        <item m="1" x="921"/>
        <item m="1" x="703"/>
        <item m="1" x="650"/>
        <item m="1" x="638"/>
        <item m="1" x="922"/>
        <item m="1" x="923"/>
        <item m="1" x="808"/>
        <item m="1" x="895"/>
        <item m="1" x="817"/>
        <item m="1" x="896"/>
        <item m="1" x="897"/>
        <item m="1" x="768"/>
        <item m="1" x="898"/>
        <item m="1" x="775"/>
        <item m="1" x="699"/>
        <item m="1" x="899"/>
        <item m="1" x="900"/>
        <item m="1" x="901"/>
        <item m="1" x="758"/>
        <item m="1" x="902"/>
        <item m="1" x="903"/>
        <item m="1" x="857"/>
        <item m="1" x="706"/>
        <item m="1" x="904"/>
        <item m="1" x="905"/>
        <item m="1" x="655"/>
        <item m="1" x="907"/>
        <item m="1" x="908"/>
        <item m="1" x="909"/>
        <item m="1" x="910"/>
        <item m="1" x="911"/>
        <item m="1" x="912"/>
        <item m="1" x="788"/>
        <item m="1" x="796"/>
        <item m="1" x="913"/>
        <item m="1" x="914"/>
        <item m="1" x="785"/>
        <item m="1" x="884"/>
        <item m="1" x="709"/>
        <item m="1" x="799"/>
        <item m="1" x="805"/>
        <item m="1" x="664"/>
        <item m="1" x="915"/>
        <item m="1" x="916"/>
        <item m="1" x="694"/>
        <item m="1" x="917"/>
        <item m="1" x="892"/>
        <item m="1" x="120"/>
        <item m="1" x="893"/>
        <item m="1" x="543"/>
        <item m="1" x="611"/>
        <item m="1" x="612"/>
        <item m="1" x="613"/>
        <item m="1" x="590"/>
        <item m="1" x="615"/>
        <item m="1" x="621"/>
        <item m="1" x="622"/>
        <item m="1" x="625"/>
        <item m="1" x="626"/>
        <item m="1" x="627"/>
        <item m="1" x="894"/>
        <item m="1" x="630"/>
        <item m="1" x="773"/>
        <item m="1" x="830"/>
        <item m="1" x="831"/>
        <item m="1" x="644"/>
        <item m="1" x="763"/>
        <item m="1" x="761"/>
        <item m="1" x="832"/>
        <item m="1" x="833"/>
        <item m="1" x="834"/>
        <item m="1" x="835"/>
        <item m="1" x="836"/>
        <item m="1" x="837"/>
        <item m="1" x="742"/>
        <item m="1" x="670"/>
        <item m="1" x="838"/>
        <item m="1" x="752"/>
        <item m="1" x="839"/>
        <item m="1" x="751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739"/>
        <item m="1" x="850"/>
        <item m="1" x="851"/>
        <item m="1" x="852"/>
        <item m="1" x="853"/>
        <item m="1" x="825"/>
        <item m="1" x="854"/>
        <item m="1" x="855"/>
        <item m="1" x="856"/>
        <item m="1" x="858"/>
        <item m="1" x="859"/>
        <item m="1" x="753"/>
        <item m="1" x="860"/>
        <item m="1" x="861"/>
        <item m="1" x="862"/>
        <item m="1" x="863"/>
        <item m="1" x="864"/>
        <item m="1" x="865"/>
        <item m="1" x="866"/>
        <item m="1" x="662"/>
        <item m="1" x="867"/>
        <item m="1" x="868"/>
        <item m="1" x="869"/>
        <item m="1" x="715"/>
        <item m="1" x="870"/>
        <item m="1" x="871"/>
        <item m="1" x="872"/>
        <item m="1" x="701"/>
        <item m="1" x="804"/>
        <item m="1" x="873"/>
        <item m="1" x="874"/>
        <item m="1" x="875"/>
        <item m="1" x="876"/>
        <item m="1" x="877"/>
        <item m="1" x="878"/>
        <item m="1" x="879"/>
        <item m="1" x="707"/>
        <item m="1" x="880"/>
        <item m="1" x="881"/>
        <item m="1" x="882"/>
        <item m="1" x="883"/>
        <item m="1" x="885"/>
        <item m="1" x="886"/>
        <item m="1" x="651"/>
        <item m="1" x="887"/>
        <item m="1" x="888"/>
        <item m="1" x="889"/>
        <item m="1" x="890"/>
        <item m="1" x="891"/>
        <item m="1" x="668"/>
        <item m="1" x="656"/>
        <item m="1" x="32"/>
        <item m="1" x="631"/>
        <item m="1" x="632"/>
        <item m="1" x="633"/>
        <item m="1" x="634"/>
        <item m="1" x="635"/>
        <item m="1" x="636"/>
        <item m="1" x="637"/>
        <item m="1" x="639"/>
        <item m="1" x="640"/>
        <item m="1" x="641"/>
        <item m="1" x="642"/>
        <item m="1" x="643"/>
        <item m="1" x="645"/>
        <item m="1" x="646"/>
        <item m="1" x="647"/>
        <item m="1" x="648"/>
        <item m="1" x="649"/>
        <item m="1" x="652"/>
        <item m="1" x="653"/>
        <item m="1" x="654"/>
        <item m="1" x="657"/>
        <item m="1" x="658"/>
        <item m="1" x="659"/>
        <item m="1" x="660"/>
        <item m="1" x="661"/>
        <item m="1" x="663"/>
        <item m="1" x="665"/>
        <item m="1" x="666"/>
        <item m="1" x="667"/>
        <item m="1" x="669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5"/>
        <item m="1" x="696"/>
        <item m="1" x="697"/>
        <item m="1" x="698"/>
        <item m="1" x="700"/>
        <item m="1" x="702"/>
        <item m="1" x="704"/>
        <item m="1" x="705"/>
        <item m="1" x="708"/>
        <item m="1" x="710"/>
        <item m="1" x="711"/>
        <item m="1" x="712"/>
        <item m="1" x="713"/>
        <item m="1" x="714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40"/>
        <item m="1" x="741"/>
        <item m="1" x="743"/>
        <item m="1" x="744"/>
        <item m="1" x="745"/>
        <item m="1" x="746"/>
        <item m="1" x="747"/>
        <item m="1" x="748"/>
        <item m="1" x="749"/>
        <item m="1" x="750"/>
        <item m="1" x="754"/>
        <item m="1" x="755"/>
        <item m="1" x="756"/>
        <item m="1" x="757"/>
        <item m="1" x="759"/>
        <item m="1" x="760"/>
        <item m="1" x="762"/>
        <item m="1" x="764"/>
        <item m="1" x="765"/>
        <item m="1" x="766"/>
        <item m="1" x="767"/>
        <item m="1" x="769"/>
        <item m="1" x="770"/>
        <item m="1" x="771"/>
        <item m="1" x="772"/>
        <item m="1" x="774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6"/>
        <item m="1" x="787"/>
        <item m="1" x="789"/>
        <item m="1" x="790"/>
        <item m="1" x="791"/>
        <item m="1" x="792"/>
        <item m="1" x="793"/>
        <item m="1" x="794"/>
        <item m="1" x="795"/>
        <item m="1" x="797"/>
        <item m="1" x="798"/>
        <item m="1" x="800"/>
        <item m="1" x="801"/>
        <item m="1" x="803"/>
        <item m="1" x="806"/>
        <item m="1" x="807"/>
        <item m="1" x="809"/>
        <item m="1" x="810"/>
        <item m="1" x="811"/>
        <item m="1" x="812"/>
        <item m="1" x="813"/>
        <item m="1" x="814"/>
        <item m="1" x="815"/>
        <item m="1" x="816"/>
        <item m="1" x="818"/>
        <item m="1" x="819"/>
        <item m="1" x="820"/>
        <item m="1" x="821"/>
        <item m="1" x="822"/>
        <item m="1" x="823"/>
        <item m="1" x="824"/>
        <item m="1" x="826"/>
        <item m="1" x="827"/>
        <item m="1" x="828"/>
        <item m="1" x="829"/>
        <item m="1" x="605"/>
        <item m="1" x="606"/>
        <item m="1" x="608"/>
        <item m="1" x="610"/>
        <item m="1" x="614"/>
        <item m="1" x="139"/>
        <item m="1" x="616"/>
        <item m="1" x="618"/>
        <item m="1" x="43"/>
        <item m="1" x="623"/>
        <item m="1" x="624"/>
        <item m="1" x="628"/>
        <item m="1" x="493"/>
        <item m="1" x="494"/>
        <item m="1" x="495"/>
        <item m="1" x="256"/>
        <item m="1" x="340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306"/>
        <item m="1" x="509"/>
        <item m="1" x="510"/>
        <item m="1" x="511"/>
        <item x="9"/>
        <item m="1" x="518"/>
        <item m="1" x="523"/>
        <item m="1" x="418"/>
        <item x="23"/>
        <item m="1" x="524"/>
        <item m="1" x="123"/>
        <item m="1" x="526"/>
        <item x="3"/>
        <item m="1" x="528"/>
        <item m="1" x="529"/>
        <item m="1" x="530"/>
        <item m="1" x="322"/>
        <item m="1" x="464"/>
        <item m="1" x="533"/>
        <item m="1" x="166"/>
        <item m="1" x="539"/>
        <item m="1" x="540"/>
        <item m="1" x="544"/>
        <item m="1" x="547"/>
        <item m="1" x="549"/>
        <item m="1" x="550"/>
        <item m="1" x="240"/>
        <item m="1" x="489"/>
        <item m="1" x="553"/>
        <item m="1" x="557"/>
        <item m="1" x="558"/>
        <item m="1" x="567"/>
        <item m="1" x="569"/>
        <item m="1" x="570"/>
        <item m="1" x="571"/>
        <item m="1" x="572"/>
        <item m="1" x="266"/>
        <item m="1" x="573"/>
        <item m="1" x="575"/>
        <item m="1" x="578"/>
        <item m="1" x="579"/>
        <item m="1" x="581"/>
        <item m="1" x="88"/>
        <item m="1" x="583"/>
        <item m="1" x="584"/>
        <item m="1" x="585"/>
        <item m="1" x="588"/>
        <item m="1" x="591"/>
        <item m="1" x="140"/>
        <item m="1" x="430"/>
        <item m="1" x="250"/>
        <item m="1" x="133"/>
        <item m="1" x="239"/>
        <item m="1" x="597"/>
        <item m="1" x="598"/>
        <item m="1" x="599"/>
        <item m="1" x="441"/>
        <item m="1" x="443"/>
        <item m="1" x="444"/>
        <item m="1" x="446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8"/>
        <item m="1" x="459"/>
        <item m="1" x="460"/>
        <item m="1" x="461"/>
        <item m="1" x="463"/>
        <item m="1" x="262"/>
        <item m="1" x="465"/>
        <item m="1" x="467"/>
        <item m="1" x="438"/>
        <item m="1" x="469"/>
        <item m="1" x="472"/>
        <item m="1" x="473"/>
        <item m="1" x="474"/>
        <item m="1" x="263"/>
        <item m="1" x="475"/>
        <item m="1" x="90"/>
        <item m="1" x="478"/>
        <item m="1" x="479"/>
        <item x="1"/>
        <item m="1" x="480"/>
        <item m="1" x="481"/>
        <item m="1" x="482"/>
        <item m="1" x="483"/>
        <item m="1" x="484"/>
        <item m="1" x="485"/>
        <item m="1" x="80"/>
        <item m="1" x="488"/>
        <item m="1" x="129"/>
        <item m="1" x="81"/>
        <item m="1" x="82"/>
        <item m="1" x="86"/>
        <item m="1" x="87"/>
        <item m="1" x="91"/>
        <item m="1" x="92"/>
        <item m="1" x="93"/>
        <item m="1" x="94"/>
        <item m="1" x="97"/>
        <item m="1" x="98"/>
        <item m="1" x="99"/>
        <item m="1" x="100"/>
        <item m="1" x="101"/>
        <item m="1" x="104"/>
        <item m="1" x="108"/>
        <item m="1" x="109"/>
        <item m="1" x="112"/>
        <item m="1" x="115"/>
        <item m="1" x="119"/>
        <item m="1" x="121"/>
        <item m="1" x="122"/>
        <item m="1" x="124"/>
        <item m="1" x="125"/>
        <item m="1" x="128"/>
        <item m="1" x="130"/>
        <item m="1" x="131"/>
        <item m="1" x="134"/>
        <item m="1" x="135"/>
        <item m="1" x="136"/>
        <item m="1" x="137"/>
        <item m="1" x="138"/>
        <item m="1" x="143"/>
        <item m="1" x="144"/>
        <item m="1" x="145"/>
        <item x="27"/>
        <item m="1" x="148"/>
        <item m="1" x="153"/>
        <item m="1" x="154"/>
        <item m="1" x="155"/>
        <item m="1" x="156"/>
        <item m="1" x="157"/>
        <item m="1" x="158"/>
        <item m="1" x="159"/>
        <item m="1" x="161"/>
        <item m="1" x="163"/>
        <item m="1" x="164"/>
        <item m="1" x="167"/>
        <item m="1" x="168"/>
        <item m="1" x="169"/>
        <item m="1" x="171"/>
        <item m="1" x="172"/>
        <item m="1" x="173"/>
        <item m="1" x="174"/>
        <item m="1" x="177"/>
        <item m="1" x="179"/>
        <item m="1" x="180"/>
        <item m="1" x="181"/>
        <item m="1" x="182"/>
        <item m="1" x="183"/>
        <item m="1" x="186"/>
        <item m="1" x="187"/>
        <item m="1" x="195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9"/>
        <item m="1" x="220"/>
        <item m="1" x="221"/>
        <item m="1" x="62"/>
        <item m="1" x="222"/>
        <item m="1" x="225"/>
        <item m="1" x="226"/>
        <item m="1" x="53"/>
        <item m="1" x="227"/>
        <item m="1" x="230"/>
        <item m="1" x="231"/>
        <item m="1" x="232"/>
        <item m="1" x="233"/>
        <item m="1" x="236"/>
        <item m="1" x="241"/>
        <item m="1" x="242"/>
        <item m="1" x="243"/>
        <item m="1" x="244"/>
        <item m="1" x="245"/>
        <item m="1" x="246"/>
        <item m="1" x="248"/>
        <item m="1" x="251"/>
        <item m="1" x="252"/>
        <item m="1" x="253"/>
        <item m="1" x="254"/>
        <item m="1" x="255"/>
        <item m="1" x="261"/>
        <item m="1" x="264"/>
        <item m="1" x="265"/>
        <item m="1" x="268"/>
        <item m="1" x="275"/>
        <item m="1" x="276"/>
        <item m="1" x="288"/>
        <item m="1" x="289"/>
        <item m="1" x="290"/>
        <item m="1" x="291"/>
        <item m="1" x="294"/>
        <item m="1" x="295"/>
        <item m="1" x="296"/>
        <item m="1" x="298"/>
        <item m="1" x="299"/>
        <item m="1" x="300"/>
        <item m="1" x="301"/>
        <item m="1" x="302"/>
        <item m="1" x="303"/>
        <item m="1" x="308"/>
        <item m="1" x="312"/>
        <item m="1" x="321"/>
        <item m="1" x="323"/>
        <item m="1" x="325"/>
        <item m="1" x="326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9"/>
        <item m="1" x="344"/>
        <item m="1" x="345"/>
        <item m="1" x="348"/>
        <item m="1" x="349"/>
        <item m="1" x="354"/>
        <item m="1" x="362"/>
        <item m="1" x="363"/>
        <item m="1" x="367"/>
        <item m="1" x="375"/>
        <item m="1" x="377"/>
        <item m="1" x="378"/>
        <item m="1" x="379"/>
        <item m="1" x="380"/>
        <item m="1" x="383"/>
        <item m="1" x="386"/>
        <item m="1" x="387"/>
        <item m="1" x="399"/>
        <item m="1" x="404"/>
        <item m="1" x="405"/>
        <item m="1" x="406"/>
        <item m="1" x="415"/>
        <item m="1" x="416"/>
        <item m="1" x="417"/>
        <item m="1" x="420"/>
        <item m="1" x="421"/>
        <item m="1" x="423"/>
        <item m="1" x="424"/>
        <item m="1" x="427"/>
        <item m="1" x="428"/>
        <item m="1" x="431"/>
        <item m="1" x="433"/>
        <item m="1" x="435"/>
        <item m="1" x="436"/>
        <item m="1" x="437"/>
        <item m="1" x="439"/>
        <item m="1" x="440"/>
        <item m="1" x="33"/>
        <item m="1" x="34"/>
        <item m="1" x="35"/>
        <item m="1" x="36"/>
        <item m="1" x="38"/>
        <item m="1" x="39"/>
        <item m="1" x="40"/>
        <item m="1" x="41"/>
        <item m="1" x="42"/>
        <item m="1" x="44"/>
        <item m="1" x="45"/>
        <item m="1" x="48"/>
        <item m="1" x="49"/>
        <item m="1" x="50"/>
        <item m="1" x="51"/>
        <item m="1" x="52"/>
        <item m="1" x="54"/>
        <item m="1" x="55"/>
        <item m="1" x="56"/>
        <item m="1" x="57"/>
        <item m="1" x="58"/>
        <item m="1" x="61"/>
        <item m="1" x="63"/>
        <item m="1" x="64"/>
        <item m="1" x="65"/>
        <item m="1" x="66"/>
        <item m="1" x="67"/>
        <item m="1" x="71"/>
        <item m="1" x="73"/>
        <item x="0"/>
        <item x="2"/>
        <item x="4"/>
        <item x="5"/>
        <item x="7"/>
        <item x="11"/>
        <item x="12"/>
        <item x="14"/>
        <item x="15"/>
        <item x="18"/>
        <item x="20"/>
        <item x="21"/>
        <item x="25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0">
        <item x="14"/>
        <item m="1" x="890"/>
        <item m="1" x="881"/>
        <item m="1" x="886"/>
        <item m="1" x="885"/>
        <item m="1" x="888"/>
        <item m="1" x="895"/>
        <item m="1" x="880"/>
        <item m="1" x="893"/>
        <item m="1" x="897"/>
        <item m="1" x="969"/>
        <item m="1" x="898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24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882"/>
        <item m="1" x="883"/>
        <item m="1" x="884"/>
        <item m="1" x="887"/>
        <item m="1" x="889"/>
        <item m="1" x="891"/>
        <item m="1" x="892"/>
        <item m="1" x="894"/>
        <item m="1" x="646"/>
        <item m="1" x="660"/>
        <item m="1" x="896"/>
        <item m="1" x="676"/>
        <item m="1" x="899"/>
        <item m="1" x="680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7"/>
        <item m="1" x="678"/>
        <item m="1" x="679"/>
        <item m="1" x="681"/>
        <item m="1" x="682"/>
        <item m="1" x="683"/>
        <item m="1" x="684"/>
        <item m="1" x="685"/>
        <item m="1" x="686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1"/>
        <item m="1" x="9"/>
        <item m="1" x="8"/>
        <item m="1" x="7"/>
        <item m="1" x="6"/>
        <item m="1" x="5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x="5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m="1" x="17"/>
        <item m="1" x="43"/>
        <item m="1" x="38"/>
        <item m="1" x="77"/>
        <item m="1" x="78"/>
        <item m="1" x="79"/>
        <item m="1" x="81"/>
        <item m="1" x="82"/>
        <item m="1" x="84"/>
        <item m="1" x="86"/>
        <item x="1"/>
        <item x="3"/>
        <item x="6"/>
        <item m="1" x="88"/>
        <item m="1" x="89"/>
        <item m="1" x="90"/>
        <item m="1" x="7"/>
        <item m="1" x="87"/>
        <item m="1" x="6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9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80"/>
        <item m="1" x="70"/>
        <item m="1" x="83"/>
        <item m="1" x="85"/>
        <item m="1" x="71"/>
        <item m="1" x="72"/>
        <item m="1" x="73"/>
        <item m="1" x="74"/>
        <item m="1" x="75"/>
        <item m="1" x="76"/>
        <item m="1" x="39"/>
        <item m="1" x="40"/>
        <item m="1" x="41"/>
        <item m="1" x="42"/>
        <item m="1" x="44"/>
        <item m="1" x="45"/>
        <item m="1" x="46"/>
        <item m="1" x="47"/>
        <item m="1" x="48"/>
        <item x="2"/>
        <item x="4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9"/>
    <field x="1"/>
    <field x="38"/>
    <field x="20"/>
    <field x="22"/>
    <field x="30"/>
    <field x="36"/>
    <field x="32"/>
    <field x="16"/>
    <field x="39"/>
  </rowFields>
  <rowItems count="31">
    <i>
      <x v="5"/>
      <x v="9"/>
      <x v="9"/>
      <x v="6"/>
      <x v="5"/>
      <x v="75"/>
      <x v="953"/>
      <x/>
      <x v="60"/>
      <x v="21"/>
    </i>
    <i r="5">
      <x v="87"/>
      <x v="958"/>
      <x/>
      <x v="60"/>
      <x v="10"/>
    </i>
    <i r="5">
      <x v="141"/>
      <x v="962"/>
      <x/>
      <x v="60"/>
      <x v="21"/>
    </i>
    <i r="5">
      <x v="518"/>
      <x v="961"/>
      <x/>
      <x v="60"/>
      <x v="10"/>
    </i>
    <i r="5">
      <x v="1370"/>
      <x v="953"/>
      <x/>
      <x v="60"/>
      <x v="10"/>
    </i>
    <i r="5">
      <x v="1371"/>
      <x v="960"/>
      <x/>
      <x v="60"/>
      <x v="10"/>
    </i>
    <i r="4">
      <x v="172"/>
      <x v="371"/>
      <x v="968"/>
      <x/>
      <x v="37"/>
      <x v="10"/>
    </i>
    <i r="5">
      <x v="484"/>
      <x v="966"/>
      <x/>
      <x v="37"/>
      <x v="10"/>
    </i>
    <i r="5">
      <x v="1193"/>
      <x v="968"/>
      <x/>
      <x v="37"/>
      <x v="21"/>
    </i>
    <i r="5">
      <x v="1372"/>
      <x v="962"/>
      <x/>
      <x v="37"/>
      <x v="10"/>
    </i>
    <i r="5">
      <x v="1374"/>
      <x v="967"/>
      <x/>
      <x v="37"/>
      <x v="10"/>
    </i>
    <i r="5">
      <x v="1375"/>
      <x v="969"/>
      <x/>
      <x v="60"/>
      <x v="10"/>
    </i>
    <i r="5">
      <x v="1376"/>
      <x v="954"/>
      <x/>
      <x v="60"/>
      <x v="10"/>
    </i>
    <i r="4">
      <x v="173"/>
      <x v="130"/>
      <x v="948"/>
      <x/>
      <x v="60"/>
      <x v="69"/>
    </i>
    <i r="5">
      <x v="202"/>
      <x v="949"/>
      <x/>
      <x v="37"/>
      <x v="21"/>
    </i>
    <i r="5">
      <x v="229"/>
      <x v="965"/>
      <x/>
      <x v="37"/>
      <x v="10"/>
    </i>
    <i r="5">
      <x v="536"/>
      <x v="955"/>
      <x/>
      <x v="37"/>
      <x v="10"/>
    </i>
    <i r="5">
      <x v="1066"/>
      <x v="955"/>
      <x/>
      <x v="60"/>
      <x v="21"/>
    </i>
    <i r="5">
      <x v="1070"/>
      <x v="965"/>
      <x/>
      <x v="37"/>
      <x v="21"/>
    </i>
    <i r="5">
      <x v="1074"/>
      <x v="950"/>
      <x/>
      <x v="37"/>
      <x v="10"/>
    </i>
    <i r="5">
      <x v="1149"/>
      <x v="948"/>
      <x/>
      <x v="37"/>
      <x v="10"/>
    </i>
    <i r="5">
      <x v="1362"/>
      <x v="947"/>
      <x/>
      <x v="37"/>
      <x v="10"/>
    </i>
    <i r="5">
      <x v="1363"/>
      <x v="949"/>
      <x/>
      <x v="37"/>
      <x v="10"/>
    </i>
    <i r="5">
      <x v="1364"/>
      <x v="951"/>
      <x/>
      <x v="37"/>
      <x v="10"/>
    </i>
    <i r="5">
      <x v="1365"/>
      <x v="952"/>
      <x/>
      <x v="37"/>
      <x v="10"/>
    </i>
    <i r="5">
      <x v="1366"/>
      <x v="948"/>
      <x/>
      <x v="37"/>
      <x v="21"/>
    </i>
    <i r="5">
      <x v="1367"/>
      <x v="956"/>
      <x/>
      <x v="37"/>
      <x v="10"/>
    </i>
    <i r="5">
      <x v="1368"/>
      <x v="957"/>
      <x/>
      <x v="37"/>
      <x v="10"/>
    </i>
    <i r="5">
      <x v="1369"/>
      <x v="959"/>
      <x/>
      <x v="37"/>
      <x v="10"/>
    </i>
    <i r="5">
      <x v="1373"/>
      <x v="964"/>
      <x/>
      <x v="37"/>
      <x v="10"/>
    </i>
    <i r="5">
      <x v="1377"/>
      <x v="963"/>
      <x/>
      <x v="37"/>
      <x v="10"/>
    </i>
  </rowItems>
  <colItems count="1">
    <i/>
  </colItems>
  <formats count="364">
    <format dxfId="1989">
      <pivotArea type="all" dataOnly="0" outline="0" fieldPosition="0"/>
    </format>
    <format dxfId="1988">
      <pivotArea dataOnly="0" labelOnly="1" outline="0" fieldPosition="0">
        <references count="1">
          <reference field="9" count="1">
            <x v="5"/>
          </reference>
        </references>
      </pivotArea>
    </format>
    <format dxfId="1987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986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985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984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8" count="0" selected="0"/>
        </references>
      </pivotArea>
    </format>
    <format dxfId="198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8" count="0" selected="0"/>
        </references>
      </pivotArea>
    </format>
    <format dxfId="1982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8" count="0" selected="0"/>
        </references>
      </pivotArea>
    </format>
    <format dxfId="1981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8" count="0" selected="0"/>
        </references>
      </pivotArea>
    </format>
    <format dxfId="198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8" count="0" selected="0"/>
        </references>
      </pivotArea>
    </format>
    <format dxfId="1979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8" count="0" selected="0"/>
        </references>
      </pivotArea>
    </format>
    <format dxfId="197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8" count="0" selected="0"/>
        </references>
      </pivotArea>
    </format>
    <format dxfId="1977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8" count="0" selected="0"/>
        </references>
      </pivotArea>
    </format>
    <format dxfId="1976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8" count="0" selected="0"/>
        </references>
      </pivotArea>
    </format>
    <format dxfId="1975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8" count="0" selected="0"/>
        </references>
      </pivotArea>
    </format>
    <format dxfId="19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8" count="0" selected="0"/>
        </references>
      </pivotArea>
    </format>
    <format dxfId="19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8" count="0" selected="0"/>
        </references>
      </pivotArea>
    </format>
    <format dxfId="19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8" count="0" selected="0"/>
        </references>
      </pivotArea>
    </format>
    <format dxfId="19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4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4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4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4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4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8" count="0" selected="0"/>
        </references>
      </pivotArea>
    </format>
    <format dxfId="194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8" count="0" selected="0"/>
        </references>
      </pivotArea>
    </format>
    <format dxfId="194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8" count="0" selected="0"/>
        </references>
      </pivotArea>
    </format>
    <format dxfId="194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8" count="0" selected="0"/>
        </references>
      </pivotArea>
    </format>
    <format dxfId="193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8" count="0" selected="0"/>
        </references>
      </pivotArea>
    </format>
    <format dxfId="193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8" count="0" selected="0"/>
        </references>
      </pivotArea>
    </format>
    <format dxfId="193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8" count="0" selected="0"/>
        </references>
      </pivotArea>
    </format>
    <format dxfId="193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8" count="0" selected="0"/>
        </references>
      </pivotArea>
    </format>
    <format dxfId="193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8" count="0" selected="0"/>
        </references>
      </pivotArea>
    </format>
    <format dxfId="193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8" count="0" selected="0"/>
        </references>
      </pivotArea>
    </format>
    <format dxfId="193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8" count="0" selected="0"/>
        </references>
      </pivotArea>
    </format>
    <format dxfId="193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8" count="0" selected="0"/>
        </references>
      </pivotArea>
    </format>
    <format dxfId="192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8" count="0" selected="0"/>
        </references>
      </pivotArea>
    </format>
    <format dxfId="192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8" count="0" selected="0"/>
        </references>
      </pivotArea>
    </format>
    <format dxfId="192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8" count="0" selected="0"/>
        </references>
      </pivotArea>
    </format>
    <format dxfId="192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8" count="0" selected="0"/>
        </references>
      </pivotArea>
    </format>
    <format dxfId="192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2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2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8" count="0" selected="0"/>
        </references>
      </pivotArea>
    </format>
    <format dxfId="19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/>
          <reference field="38" count="0" selected="0"/>
        </references>
      </pivotArea>
    </format>
    <format dxfId="190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/>
          <reference field="36" count="0" selected="0"/>
          <reference field="38" count="0" selected="0"/>
        </references>
      </pivotArea>
    </format>
    <format dxfId="19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7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03AED-4DF5-49C1-AFC9-4BA8734EF9DE}" name="Cut List LB" cacheId="2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32" firstHeaderRow="0" firstDataRow="0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9"/>
        <item m="1" x="1"/>
        <item m="1" x="8"/>
        <item m="1" x="5"/>
        <item m="1" x="6"/>
        <item m="1" x="7"/>
        <item m="1" x="4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3">
        <item m="1" x="31"/>
        <item m="1" x="7"/>
        <item m="1" x="17"/>
        <item m="1" x="25"/>
        <item m="1" x="24"/>
        <item x="0"/>
        <item m="1" x="20"/>
        <item m="1" x="14"/>
        <item m="1" x="12"/>
        <item x="6"/>
        <item x="5"/>
        <item m="1" x="8"/>
        <item m="1" x="21"/>
        <item m="1" x="9"/>
        <item m="1" x="11"/>
        <item m="1" x="15"/>
        <item m="1" x="28"/>
        <item x="3"/>
        <item m="1" x="18"/>
        <item x="4"/>
        <item x="1"/>
        <item m="1" x="30"/>
        <item m="1" x="29"/>
        <item m="1" x="32"/>
        <item m="1" x="10"/>
        <item m="1" x="16"/>
        <item m="1" x="19"/>
        <item m="1" x="23"/>
        <item x="2"/>
        <item m="1" x="26"/>
        <item m="1" x="27"/>
        <item m="1" x="22"/>
        <item m="1" x="1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2"/>
        <item m="1" x="37"/>
        <item m="1" x="41"/>
        <item m="1" x="61"/>
        <item m="1" x="55"/>
        <item m="1" x="22"/>
        <item m="1" x="60"/>
        <item m="1" x="23"/>
        <item m="1" x="65"/>
        <item m="1" x="38"/>
        <item m="1" x="33"/>
        <item m="1" x="53"/>
        <item m="1" x="39"/>
        <item m="1" x="42"/>
        <item m="1" x="63"/>
        <item m="1" x="56"/>
        <item m="1" x="24"/>
        <item m="1" x="62"/>
        <item m="1" x="25"/>
        <item m="1" x="64"/>
        <item m="1" x="40"/>
        <item m="1" x="21"/>
        <item m="1" x="48"/>
        <item m="1" x="10"/>
        <item m="1" x="43"/>
        <item m="1" x="32"/>
        <item m="1" x="7"/>
        <item m="1" x="52"/>
        <item m="1" x="17"/>
        <item m="1" x="29"/>
        <item m="1" x="26"/>
        <item m="1" x="27"/>
        <item m="1" x="9"/>
        <item m="1" x="28"/>
        <item m="1" x="49"/>
        <item m="1" x="59"/>
        <item m="1" x="51"/>
        <item x="0"/>
        <item m="1" x="20"/>
        <item m="1" x="19"/>
        <item m="1" x="47"/>
        <item m="1" x="58"/>
        <item m="1" x="44"/>
        <item m="1" x="54"/>
        <item m="1" x="34"/>
        <item m="1" x="11"/>
        <item m="1" x="18"/>
        <item m="1" x="31"/>
        <item m="1" x="30"/>
        <item m="1" x="66"/>
        <item m="1" x="57"/>
        <item m="1" x="50"/>
        <item m="1" x="6"/>
        <item m="1" x="36"/>
        <item m="1" x="45"/>
        <item m="1" x="46"/>
        <item m="1" x="35"/>
        <item x="3"/>
        <item m="1" x="8"/>
        <item m="1" x="5"/>
        <item x="2"/>
        <item x="1"/>
        <item m="1" x="16"/>
        <item m="1" x="15"/>
        <item m="1" x="14"/>
        <item m="1" x="1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4"/>
        <item m="1" x="5"/>
        <item x="1"/>
        <item m="1" x="13"/>
        <item x="0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3"/>
        <item m="1" x="20"/>
        <item m="1" x="15"/>
        <item m="1" x="16"/>
        <item m="1" x="11"/>
        <item m="1" x="2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8"/>
        <item m="1" x="595"/>
        <item m="1" x="295"/>
        <item m="1" x="555"/>
        <item m="1" x="28"/>
        <item x="1"/>
        <item m="1" x="7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4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3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x="2"/>
        <item x="0"/>
        <item m="1" x="5"/>
        <item m="1" x="4"/>
        <item m="1" x="40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8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2"/>
        <item m="1" x="1079"/>
        <item m="1" x="681"/>
        <item m="1" x="682"/>
        <item m="1" x="683"/>
        <item m="1" x="670"/>
        <item m="1" x="507"/>
        <item m="1" x="308"/>
        <item m="1" x="32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1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30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5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6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7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9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8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5"/>
        <item m="1" x="81"/>
        <item m="1" x="33"/>
        <item m="1" x="568"/>
        <item m="1" x="591"/>
        <item m="1" x="722"/>
        <item m="1" x="1164"/>
        <item m="1" x="1114"/>
        <item m="1" x="26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4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5"/>
        <item m="1" x="875"/>
        <item m="1" x="49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9"/>
        <item m="1" x="873"/>
        <item m="1" x="872"/>
        <item m="1" x="27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50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x="3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1"/>
        <item m="1" x="16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10"/>
        <item m="1" x="1220"/>
        <item m="1" x="869"/>
        <item m="1" x="870"/>
        <item m="1" x="766"/>
        <item m="1" x="697"/>
        <item m="1" x="23"/>
        <item m="1" x="1081"/>
        <item m="1" x="698"/>
        <item m="1" x="699"/>
        <item m="1" x="700"/>
        <item m="1" x="687"/>
        <item m="1" x="11"/>
        <item m="1" x="17"/>
        <item m="1" x="83"/>
        <item m="1" x="516"/>
        <item m="1" x="21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2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4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3"/>
        <item m="1" x="1216"/>
        <item m="1" x="734"/>
        <item m="1" x="1168"/>
        <item m="1" x="47"/>
        <item m="1" x="53"/>
        <item m="1" x="883"/>
        <item m="1" x="317"/>
        <item m="1" x="1030"/>
        <item m="1" x="316"/>
        <item m="1" x="1227"/>
        <item m="1" x="1228"/>
        <item m="1" x="1226"/>
        <item m="1" x="8"/>
        <item m="1" x="29"/>
        <item m="1" x="52"/>
        <item m="1" x="880"/>
        <item m="1" x="936"/>
        <item m="1" x="881"/>
        <item m="1" x="6"/>
        <item m="1" x="882"/>
        <item m="1" x="879"/>
        <item m="1" x="735"/>
        <item m="1" x="736"/>
        <item m="1" x="737"/>
        <item m="1" x="738"/>
        <item m="1" x="15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9"/>
        <item m="1" x="1040"/>
        <item m="1" x="1039"/>
        <item m="1" x="44"/>
        <item m="1" x="195"/>
        <item m="1" x="592"/>
        <item m="1" x="1003"/>
        <item m="1" x="1005"/>
        <item m="1" x="1002"/>
        <item m="1" x="1004"/>
        <item m="1" x="45"/>
        <item m="1" x="1051"/>
        <item m="1" x="1045"/>
        <item m="1" x="1229"/>
        <item m="1" x="903"/>
        <item m="1" x="348"/>
        <item m="1" x="349"/>
        <item m="1" x="972"/>
        <item m="1" x="20"/>
        <item m="1" x="578"/>
        <item m="1" x="1009"/>
        <item m="1" x="56"/>
        <item m="1" x="14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6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2"/>
        <item m="1" x="760"/>
        <item m="1" x="41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78">
        <item x="6"/>
        <item m="1" x="76"/>
        <item m="1" x="566"/>
        <item m="1" x="1336"/>
        <item m="1" x="587"/>
        <item m="1" x="410"/>
        <item m="1" x="106"/>
        <item m="1" x="934"/>
        <item m="1" x="189"/>
        <item m="1" x="1176"/>
        <item m="1" x="198"/>
        <item m="1" x="968"/>
        <item m="1" x="1174"/>
        <item m="1" x="1185"/>
        <item m="1" x="984"/>
        <item m="1" x="1064"/>
        <item m="1" x="1145"/>
        <item m="1" x="1134"/>
        <item m="1" x="1135"/>
        <item m="1" x="307"/>
        <item m="1" x="1262"/>
        <item m="1" x="197"/>
        <item m="1" x="357"/>
        <item m="1" x="977"/>
        <item m="1" x="1175"/>
        <item m="1" x="1260"/>
        <item m="1" x="152"/>
        <item m="1" x="118"/>
        <item m="1" x="1261"/>
        <item m="1" x="78"/>
        <item m="1" x="184"/>
        <item m="1" x="1037"/>
        <item m="1" x="79"/>
        <item m="1" x="160"/>
        <item m="1" x="305"/>
        <item m="1" x="1173"/>
        <item m="1" x="409"/>
        <item m="1" x="1102"/>
        <item m="1" x="316"/>
        <item m="1" x="1137"/>
        <item m="1" x="258"/>
        <item m="1" x="1186"/>
        <item m="1" x="492"/>
        <item m="1" x="1105"/>
        <item m="1" x="1146"/>
        <item m="1" x="972"/>
        <item m="1" x="1038"/>
        <item m="1" x="1182"/>
        <item m="1" x="1172"/>
        <item m="1" x="1184"/>
        <item m="1" x="1181"/>
        <item m="1" x="1127"/>
        <item m="1" x="1183"/>
        <item m="1" x="604"/>
        <item m="1" x="111"/>
        <item m="1" x="1177"/>
        <item m="1" x="114"/>
        <item m="1" x="1136"/>
        <item m="1" x="105"/>
        <item m="1" x="411"/>
        <item m="1" x="1138"/>
        <item m="1" x="432"/>
        <item m="1" x="1128"/>
        <item m="1" x="1179"/>
        <item m="1" x="117"/>
        <item m="1" x="1283"/>
        <item m="1" x="389"/>
        <item m="1" x="554"/>
        <item m="1" x="527"/>
        <item m="1" x="1018"/>
        <item m="1" x="1250"/>
        <item m="1" x="341"/>
        <item m="1" x="1365"/>
        <item m="1" x="1016"/>
        <item m="1" x="1170"/>
        <item x="16"/>
        <item m="1" x="561"/>
        <item m="1" x="1331"/>
        <item m="1" x="419"/>
        <item m="1" x="1285"/>
        <item m="1" x="270"/>
        <item m="1" x="1223"/>
        <item m="1" x="1288"/>
        <item m="1" x="400"/>
        <item m="1" x="429"/>
        <item m="1" x="574"/>
        <item m="1" x="1205"/>
        <item x="17"/>
        <item m="1" x="317"/>
        <item m="1" x="287"/>
        <item m="1" x="337"/>
        <item m="1" x="1271"/>
        <item m="1" x="1312"/>
        <item m="1" x="1340"/>
        <item m="1" x="1217"/>
        <item m="1" x="1171"/>
        <item m="1" x="292"/>
        <item m="1" x="376"/>
        <item m="1" x="1357"/>
        <item m="1" x="228"/>
        <item m="1" x="556"/>
        <item m="1" x="247"/>
        <item m="1" x="515"/>
        <item m="1" x="1251"/>
        <item m="1" x="401"/>
        <item m="1" x="487"/>
        <item m="1" x="96"/>
        <item m="1" x="1187"/>
        <item m="1" x="293"/>
        <item m="1" x="353"/>
        <item m="1" x="422"/>
        <item m="1" x="1054"/>
        <item m="1" x="320"/>
        <item m="1" x="1259"/>
        <item m="1" x="190"/>
        <item m="1" x="1286"/>
        <item m="1" x="1131"/>
        <item m="1" x="1025"/>
        <item m="1" x="1143"/>
        <item m="1" x="982"/>
        <item m="1" x="985"/>
        <item m="1" x="1148"/>
        <item m="1" x="990"/>
        <item m="1" x="471"/>
        <item m="1" x="1188"/>
        <item m="1" x="364"/>
        <item m="1" x="593"/>
        <item m="1" x="1178"/>
        <item m="1" x="1028"/>
        <item m="1" x="1200"/>
        <item x="10"/>
        <item m="1" x="304"/>
        <item m="1" x="992"/>
        <item m="1" x="374"/>
        <item m="1" x="83"/>
        <item m="1" x="991"/>
        <item m="1" x="188"/>
        <item m="1" x="352"/>
        <item m="1" x="75"/>
        <item m="1" x="996"/>
        <item m="1" x="68"/>
        <item x="31"/>
        <item m="1" x="259"/>
        <item m="1" x="1057"/>
        <item m="1" x="1129"/>
        <item m="1" x="1191"/>
        <item m="1" x="274"/>
        <item m="1" x="1332"/>
        <item m="1" x="1139"/>
        <item m="1" x="1207"/>
        <item m="1" x="1202"/>
        <item m="1" x="1160"/>
        <item m="1" x="1152"/>
        <item m="1" x="1327"/>
        <item m="1" x="1194"/>
        <item m="1" x="260"/>
        <item m="1" x="1159"/>
        <item m="1" x="72"/>
        <item m="1" x="412"/>
        <item m="1" x="1149"/>
        <item m="1" x="150"/>
        <item m="1" x="1193"/>
        <item m="1" x="586"/>
        <item m="1" x="1130"/>
        <item m="1" x="957"/>
        <item m="1" x="356"/>
        <item m="1" x="392"/>
        <item m="1" x="1144"/>
        <item m="1" x="69"/>
        <item m="1" x="151"/>
        <item m="1" x="537"/>
        <item m="1" x="1208"/>
        <item m="1" x="103"/>
        <item m="1" x="149"/>
        <item m="1" x="95"/>
        <item m="1" x="1147"/>
        <item m="1" x="84"/>
        <item m="1" x="1192"/>
        <item m="1" x="1284"/>
        <item m="1" x="1249"/>
        <item m="1" x="925"/>
        <item m="1" x="1277"/>
        <item m="1" x="1235"/>
        <item m="1" x="1180"/>
        <item m="1" x="1140"/>
        <item m="1" x="1151"/>
        <item m="1" x="1153"/>
        <item m="1" x="1133"/>
        <item m="1" x="1158"/>
        <item m="1" x="59"/>
        <item m="1" x="37"/>
        <item m="1" x="1093"/>
        <item m="1" x="368"/>
        <item m="1" x="1150"/>
        <item m="1" x="564"/>
        <item m="1" x="1189"/>
        <item m="1" x="1309"/>
        <item m="1" x="397"/>
        <item m="1" x="107"/>
        <item m="1" x="1341"/>
        <item m="1" x="77"/>
        <item m="1" x="468"/>
        <item x="13"/>
        <item m="1" x="1237"/>
        <item m="1" x="1132"/>
        <item m="1" x="568"/>
        <item m="1" x="1238"/>
        <item m="1" x="1106"/>
        <item m="1" x="1209"/>
        <item m="1" x="1190"/>
        <item m="1" x="338"/>
        <item m="1" x="1287"/>
        <item m="1" x="1141"/>
        <item m="1" x="1321"/>
        <item m="1" x="1265"/>
        <item m="1" x="1344"/>
        <item m="1" x="1201"/>
        <item m="1" x="1337"/>
        <item m="1" x="1263"/>
        <item m="1" x="1161"/>
        <item m="1" x="1236"/>
        <item m="1" x="315"/>
        <item m="1" x="369"/>
        <item m="1" x="1163"/>
        <item m="1" x="366"/>
        <item m="1" x="1162"/>
        <item m="1" x="394"/>
        <item m="1" x="1155"/>
        <item m="1" x="1377"/>
        <item x="22"/>
        <item m="1" x="282"/>
        <item m="1" x="1154"/>
        <item m="1" x="70"/>
        <item m="1" x="146"/>
        <item m="1" x="548"/>
        <item m="1" x="1333"/>
        <item m="1" x="393"/>
        <item m="1" x="267"/>
        <item m="1" x="310"/>
        <item m="1" x="346"/>
        <item m="1" x="1233"/>
        <item m="1" x="147"/>
        <item m="1" x="1156"/>
        <item m="1" x="1215"/>
        <item m="1" x="1142"/>
        <item m="1" x="1353"/>
        <item m="1" x="1376"/>
        <item m="1" x="1121"/>
        <item m="1" x="1210"/>
        <item m="1" x="1211"/>
        <item m="1" x="532"/>
        <item m="1" x="200"/>
        <item m="1" x="1375"/>
        <item m="1" x="1165"/>
        <item m="1" x="1304"/>
        <item m="1" x="555"/>
        <item m="1" x="372"/>
        <item m="1" x="1195"/>
        <item m="1" x="545"/>
        <item m="1" x="280"/>
        <item m="1" x="1356"/>
        <item m="1" x="272"/>
        <item m="1" x="1001"/>
        <item m="1" x="193"/>
        <item m="1" x="1166"/>
        <item m="1" x="199"/>
        <item m="1" x="371"/>
        <item m="1" x="407"/>
        <item m="1" x="1196"/>
        <item m="1" x="1033"/>
        <item m="1" x="1017"/>
        <item m="1" x="102"/>
        <item m="1" x="1164"/>
        <item m="1" x="1252"/>
        <item m="1" x="1157"/>
        <item m="1" x="1374"/>
        <item m="1" x="1203"/>
        <item m="1" x="1167"/>
        <item m="1" x="1111"/>
        <item m="1" x="1264"/>
        <item m="1" x="403"/>
        <item m="1" x="391"/>
        <item m="1" x="1234"/>
        <item m="1" x="271"/>
        <item m="1" x="457"/>
        <item m="1" x="1197"/>
        <item m="1" x="402"/>
        <item m="1" x="973"/>
        <item m="1" x="175"/>
        <item m="1" x="142"/>
        <item m="1" x="116"/>
        <item m="1" x="238"/>
        <item m="1" x="178"/>
        <item m="1" x="1360"/>
        <item m="1" x="1371"/>
        <item m="1" x="1169"/>
        <item m="1" x="1270"/>
        <item m="1" x="442"/>
        <item m="1" x="1335"/>
        <item m="1" x="1334"/>
        <item m="1" x="1310"/>
        <item m="1" x="1345"/>
        <item m="1" x="1315"/>
        <item m="1" x="141"/>
        <item m="1" x="1168"/>
        <item m="1" x="582"/>
        <item m="1" x="162"/>
        <item m="1" x="373"/>
        <item m="1" x="395"/>
        <item m="1" x="1373"/>
        <item m="1" x="1311"/>
        <item m="1" x="396"/>
        <item m="1" x="1320"/>
        <item m="1" x="196"/>
        <item m="1" x="425"/>
        <item m="1" x="1212"/>
        <item m="1" x="517"/>
        <item m="1" x="235"/>
        <item m="1" x="1198"/>
        <item m="1" x="1014"/>
        <item m="1" x="319"/>
        <item m="1" x="1204"/>
        <item m="1" x="1358"/>
        <item m="1" x="1216"/>
        <item m="1" x="1053"/>
        <item m="1" x="1056"/>
        <item m="1" x="390"/>
        <item m="1" x="358"/>
        <item m="1" x="541"/>
        <item m="1" x="1348"/>
        <item m="1" x="408"/>
        <item m="1" x="1339"/>
        <item m="1" x="1325"/>
        <item m="1" x="576"/>
        <item m="1" x="1013"/>
        <item m="1" x="384"/>
        <item m="1" x="110"/>
        <item m="1" x="514"/>
        <item m="1" x="113"/>
        <item m="1" x="217"/>
        <item m="1" x="1316"/>
        <item m="1" x="1199"/>
        <item m="1" x="1328"/>
        <item m="1" x="1206"/>
        <item m="1" x="462"/>
        <item m="1" x="609"/>
        <item m="1" x="546"/>
        <item m="1" x="534"/>
        <item m="1" x="1366"/>
        <item m="1" x="342"/>
        <item m="1" x="201"/>
        <item m="1" x="1230"/>
        <item m="1" x="981"/>
        <item m="1" x="1349"/>
        <item m="1" x="1322"/>
        <item m="1" x="1343"/>
        <item m="1" x="1218"/>
        <item m="1" x="1352"/>
        <item m="1" x="414"/>
        <item m="1" x="194"/>
        <item m="1" x="234"/>
        <item m="1" x="257"/>
        <item m="1" x="385"/>
        <item m="1" x="249"/>
        <item m="1" x="1329"/>
        <item m="1" x="1347"/>
        <item m="1" x="1276"/>
        <item m="1" x="370"/>
        <item m="1" x="1228"/>
        <item m="1" x="1314"/>
        <item m="1" x="1306"/>
        <item x="26"/>
        <item m="1" x="1362"/>
        <item m="1" x="347"/>
        <item m="1" x="1227"/>
        <item m="1" x="1226"/>
        <item m="1" x="620"/>
        <item m="1" x="1324"/>
        <item m="1" x="283"/>
        <item m="1" x="445"/>
        <item m="1" x="1258"/>
        <item m="1" x="229"/>
        <item m="1" x="538"/>
        <item m="1" x="1219"/>
        <item m="1" x="1354"/>
        <item m="1" x="1363"/>
        <item m="1" x="1073"/>
        <item m="1" x="498"/>
        <item m="1" x="1372"/>
        <item m="1" x="522"/>
        <item m="1" x="191"/>
        <item m="1" x="1256"/>
        <item m="1" x="560"/>
        <item m="1" x="286"/>
        <item m="1" x="580"/>
        <item m="1" x="525"/>
        <item m="1" x="355"/>
        <item m="1" x="1313"/>
        <item m="1" x="1319"/>
        <item m="1" x="1255"/>
        <item m="1" x="1253"/>
        <item m="1" x="1350"/>
        <item m="1" x="1369"/>
        <item m="1" x="519"/>
        <item m="1" x="60"/>
        <item m="1" x="176"/>
        <item m="1" x="1278"/>
        <item m="1" x="277"/>
        <item m="1" x="381"/>
        <item m="1" x="1231"/>
        <item m="1" x="89"/>
        <item m="1" x="1272"/>
        <item m="1" x="447"/>
        <item m="1" x="1225"/>
        <item m="1" x="1267"/>
        <item m="1" x="490"/>
        <item m="1" x="601"/>
        <item m="1" x="1290"/>
        <item m="1" x="1224"/>
        <item m="1" x="398"/>
        <item m="1" x="1342"/>
        <item m="1" x="565"/>
        <item m="1" x="350"/>
        <item m="1" x="1317"/>
        <item m="1" x="1254"/>
        <item m="1" x="562"/>
        <item m="1" x="602"/>
        <item m="1" x="365"/>
        <item m="1" x="1000"/>
        <item m="1" x="318"/>
        <item m="1" x="85"/>
        <item m="1" x="1213"/>
        <item m="1" x="536"/>
        <item m="1" x="1266"/>
        <item m="1" x="1220"/>
        <item m="1" x="1351"/>
        <item m="1" x="592"/>
        <item m="1" x="577"/>
        <item m="1" x="192"/>
        <item m="1" x="1305"/>
        <item m="1" x="218"/>
        <item m="1" x="314"/>
        <item m="1" x="185"/>
        <item m="1" x="1282"/>
        <item m="1" x="1273"/>
        <item m="1" x="1091"/>
        <item m="1" x="1364"/>
        <item m="1" x="324"/>
        <item m="1" x="1368"/>
        <item m="1" x="343"/>
        <item m="1" x="619"/>
        <item m="1" x="542"/>
        <item m="1" x="311"/>
        <item m="1" x="945"/>
        <item m="1" x="491"/>
        <item m="1" x="466"/>
        <item m="1" x="1010"/>
        <item m="1" x="281"/>
        <item m="1" x="531"/>
        <item m="1" x="1355"/>
        <item m="1" x="224"/>
        <item m="1" x="1359"/>
        <item m="1" x="1221"/>
        <item m="1" x="1318"/>
        <item m="1" x="278"/>
        <item m="1" x="426"/>
        <item m="1" x="1279"/>
        <item m="1" x="1019"/>
        <item m="1" x="327"/>
        <item m="1" x="46"/>
        <item m="1" x="1079"/>
        <item m="1" x="1346"/>
        <item m="1" x="1039"/>
        <item m="1" x="273"/>
        <item m="1" x="512"/>
        <item m="1" x="600"/>
        <item m="1" x="127"/>
        <item m="1" x="1307"/>
        <item m="1" x="1326"/>
        <item m="1" x="1269"/>
        <item m="1" x="313"/>
        <item m="1" x="1280"/>
        <item m="1" x="486"/>
        <item m="1" x="1214"/>
        <item x="24"/>
        <item m="1" x="513"/>
        <item m="1" x="1123"/>
        <item m="1" x="1308"/>
        <item m="1" x="1292"/>
        <item m="1" x="1370"/>
        <item m="1" x="983"/>
        <item m="1" x="520"/>
        <item m="1" x="1274"/>
        <item m="1" x="1330"/>
        <item m="1" x="1289"/>
        <item m="1" x="388"/>
        <item m="1" x="1122"/>
        <item m="1" x="1338"/>
        <item m="1" x="594"/>
        <item m="1" x="1323"/>
        <item m="1" x="470"/>
        <item m="1" x="559"/>
        <item m="1" x="1291"/>
        <item m="1" x="629"/>
        <item m="1" x="1296"/>
        <item m="1" x="521"/>
        <item m="1" x="589"/>
        <item m="1" x="535"/>
        <item m="1" x="551"/>
        <item m="1" x="596"/>
        <item m="1" x="1229"/>
        <item m="1" x="1293"/>
        <item m="1" x="497"/>
        <item m="1" x="1298"/>
        <item m="1" x="1009"/>
        <item m="1" x="1268"/>
        <item m="1" x="617"/>
        <item m="1" x="47"/>
        <item x="19"/>
        <item m="1" x="74"/>
        <item m="1" x="434"/>
        <item m="1" x="1367"/>
        <item m="1" x="937"/>
        <item m="1" x="359"/>
        <item m="1" x="1295"/>
        <item m="1" x="1232"/>
        <item m="1" x="477"/>
        <item m="1" x="1240"/>
        <item m="1" x="563"/>
        <item m="1" x="269"/>
        <item m="1" x="1303"/>
        <item m="1" x="1239"/>
        <item m="1" x="499"/>
        <item m="1" x="1222"/>
        <item m="1" x="595"/>
        <item m="1" x="1297"/>
        <item x="8"/>
        <item m="1" x="1275"/>
        <item m="1" x="1294"/>
        <item m="1" x="496"/>
        <item m="1" x="516"/>
        <item m="1" x="1124"/>
        <item m="1" x="1300"/>
        <item m="1" x="1096"/>
        <item m="1" x="1281"/>
        <item m="1" x="284"/>
        <item m="1" x="1047"/>
        <item m="1" x="1248"/>
        <item m="1" x="1243"/>
        <item m="1" x="476"/>
        <item m="1" x="1125"/>
        <item m="1" x="1299"/>
        <item m="1" x="170"/>
        <item m="1" x="1241"/>
        <item m="1" x="1361"/>
        <item m="1" x="1302"/>
        <item m="1" x="165"/>
        <item m="1" x="1126"/>
        <item m="1" x="1245"/>
        <item m="1" x="607"/>
        <item m="1" x="1244"/>
        <item m="1" x="1242"/>
        <item m="1" x="1247"/>
        <item m="1" x="1301"/>
        <item m="1" x="1015"/>
        <item m="1" x="413"/>
        <item m="1" x="1246"/>
        <item m="1" x="361"/>
        <item m="1" x="382"/>
        <item m="1" x="1257"/>
        <item m="1" x="924"/>
        <item m="1" x="926"/>
        <item m="1" x="927"/>
        <item m="1" x="928"/>
        <item m="1" x="929"/>
        <item m="1" x="930"/>
        <item m="1" x="931"/>
        <item m="1" x="932"/>
        <item m="1" x="933"/>
        <item m="1" x="126"/>
        <item m="1" x="935"/>
        <item m="1" x="936"/>
        <item m="1" x="279"/>
        <item m="1" x="938"/>
        <item m="1" x="939"/>
        <item m="1" x="940"/>
        <item m="1" x="941"/>
        <item m="1" x="942"/>
        <item m="1" x="943"/>
        <item m="1" x="944"/>
        <item m="1" x="946"/>
        <item m="1" x="947"/>
        <item m="1" x="360"/>
        <item m="1" x="223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8"/>
        <item m="1" x="959"/>
        <item m="1" x="960"/>
        <item m="1" x="961"/>
        <item m="1" x="962"/>
        <item m="1" x="963"/>
        <item m="1" x="964"/>
        <item m="1" x="965"/>
        <item m="1" x="285"/>
        <item m="1" x="966"/>
        <item m="1" x="967"/>
        <item m="1" x="969"/>
        <item m="1" x="970"/>
        <item m="1" x="971"/>
        <item m="1" x="974"/>
        <item m="1" x="975"/>
        <item m="1" x="976"/>
        <item m="1" x="978"/>
        <item m="1" x="979"/>
        <item m="1" x="980"/>
        <item m="1" x="297"/>
        <item m="1" x="986"/>
        <item m="1" x="987"/>
        <item m="1" x="988"/>
        <item m="1" x="989"/>
        <item m="1" x="993"/>
        <item m="1" x="994"/>
        <item m="1" x="995"/>
        <item m="1" x="997"/>
        <item m="1" x="998"/>
        <item m="1" x="999"/>
        <item m="1" x="1002"/>
        <item m="1" x="1003"/>
        <item m="1" x="1004"/>
        <item m="1" x="1005"/>
        <item m="1" x="1006"/>
        <item m="1" x="1007"/>
        <item m="1" x="1008"/>
        <item m="1" x="1011"/>
        <item m="1" x="1012"/>
        <item m="1" x="1020"/>
        <item m="1" x="351"/>
        <item m="1" x="1021"/>
        <item m="1" x="237"/>
        <item m="1" x="1022"/>
        <item m="1" x="1023"/>
        <item m="1" x="1024"/>
        <item m="1" x="1026"/>
        <item m="1" x="1027"/>
        <item m="1" x="1029"/>
        <item m="1" x="1030"/>
        <item m="1" x="1031"/>
        <item m="1" x="1032"/>
        <item m="1" x="309"/>
        <item m="1" x="1034"/>
        <item m="1" x="1035"/>
        <item m="1" x="1036"/>
        <item m="1" x="1040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5"/>
        <item m="1" x="1058"/>
        <item m="1" x="1059"/>
        <item m="1" x="1060"/>
        <item m="1" x="1061"/>
        <item m="1" x="1062"/>
        <item m="1" x="1063"/>
        <item m="1" x="1065"/>
        <item m="1" x="1066"/>
        <item m="1" x="1067"/>
        <item m="1" x="1068"/>
        <item m="1" x="1069"/>
        <item m="1" x="1070"/>
        <item m="1" x="1071"/>
        <item m="1" x="1072"/>
        <item m="1" x="1074"/>
        <item m="1" x="1075"/>
        <item m="1" x="1076"/>
        <item m="1" x="1077"/>
        <item m="1" x="1078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2"/>
        <item m="1" x="1094"/>
        <item m="1" x="1095"/>
        <item m="1" x="132"/>
        <item m="1" x="1097"/>
        <item m="1" x="603"/>
        <item m="1" x="1098"/>
        <item m="1" x="1099"/>
        <item m="1" x="1100"/>
        <item m="1" x="1101"/>
        <item m="1" x="1103"/>
        <item m="1" x="1104"/>
        <item m="1" x="1107"/>
        <item m="1" x="1108"/>
        <item m="1" x="1109"/>
        <item m="1" x="1110"/>
        <item m="1" x="552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918"/>
        <item m="1" x="919"/>
        <item m="1" x="802"/>
        <item m="1" x="906"/>
        <item m="1" x="920"/>
        <item m="1" x="921"/>
        <item m="1" x="703"/>
        <item m="1" x="650"/>
        <item m="1" x="638"/>
        <item m="1" x="922"/>
        <item m="1" x="923"/>
        <item m="1" x="808"/>
        <item m="1" x="895"/>
        <item m="1" x="817"/>
        <item m="1" x="896"/>
        <item m="1" x="897"/>
        <item m="1" x="768"/>
        <item m="1" x="898"/>
        <item m="1" x="775"/>
        <item m="1" x="699"/>
        <item m="1" x="899"/>
        <item m="1" x="900"/>
        <item m="1" x="901"/>
        <item m="1" x="758"/>
        <item m="1" x="902"/>
        <item m="1" x="903"/>
        <item m="1" x="857"/>
        <item m="1" x="706"/>
        <item m="1" x="904"/>
        <item m="1" x="905"/>
        <item m="1" x="655"/>
        <item m="1" x="907"/>
        <item m="1" x="908"/>
        <item m="1" x="909"/>
        <item m="1" x="910"/>
        <item m="1" x="911"/>
        <item m="1" x="912"/>
        <item m="1" x="788"/>
        <item m="1" x="796"/>
        <item m="1" x="913"/>
        <item m="1" x="914"/>
        <item m="1" x="785"/>
        <item m="1" x="884"/>
        <item m="1" x="709"/>
        <item m="1" x="799"/>
        <item m="1" x="805"/>
        <item m="1" x="664"/>
        <item m="1" x="915"/>
        <item m="1" x="916"/>
        <item m="1" x="694"/>
        <item m="1" x="917"/>
        <item m="1" x="892"/>
        <item m="1" x="120"/>
        <item m="1" x="893"/>
        <item m="1" x="543"/>
        <item m="1" x="611"/>
        <item m="1" x="612"/>
        <item m="1" x="613"/>
        <item m="1" x="590"/>
        <item m="1" x="615"/>
        <item m="1" x="621"/>
        <item m="1" x="622"/>
        <item m="1" x="625"/>
        <item m="1" x="626"/>
        <item m="1" x="627"/>
        <item m="1" x="894"/>
        <item m="1" x="630"/>
        <item m="1" x="773"/>
        <item m="1" x="830"/>
        <item m="1" x="831"/>
        <item m="1" x="644"/>
        <item m="1" x="763"/>
        <item m="1" x="761"/>
        <item m="1" x="832"/>
        <item m="1" x="833"/>
        <item m="1" x="834"/>
        <item m="1" x="835"/>
        <item m="1" x="836"/>
        <item m="1" x="837"/>
        <item m="1" x="742"/>
        <item m="1" x="670"/>
        <item m="1" x="838"/>
        <item m="1" x="752"/>
        <item m="1" x="839"/>
        <item m="1" x="751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739"/>
        <item m="1" x="850"/>
        <item m="1" x="851"/>
        <item m="1" x="852"/>
        <item m="1" x="853"/>
        <item m="1" x="825"/>
        <item m="1" x="854"/>
        <item m="1" x="855"/>
        <item m="1" x="856"/>
        <item m="1" x="858"/>
        <item m="1" x="859"/>
        <item m="1" x="753"/>
        <item m="1" x="860"/>
        <item m="1" x="861"/>
        <item m="1" x="862"/>
        <item m="1" x="863"/>
        <item m="1" x="864"/>
        <item m="1" x="865"/>
        <item m="1" x="866"/>
        <item m="1" x="662"/>
        <item m="1" x="867"/>
        <item m="1" x="868"/>
        <item m="1" x="869"/>
        <item m="1" x="715"/>
        <item m="1" x="870"/>
        <item m="1" x="871"/>
        <item m="1" x="872"/>
        <item m="1" x="701"/>
        <item m="1" x="804"/>
        <item m="1" x="873"/>
        <item m="1" x="874"/>
        <item m="1" x="875"/>
        <item m="1" x="876"/>
        <item m="1" x="877"/>
        <item m="1" x="878"/>
        <item m="1" x="879"/>
        <item m="1" x="707"/>
        <item m="1" x="880"/>
        <item m="1" x="881"/>
        <item m="1" x="882"/>
        <item m="1" x="883"/>
        <item m="1" x="885"/>
        <item m="1" x="886"/>
        <item m="1" x="651"/>
        <item m="1" x="887"/>
        <item m="1" x="888"/>
        <item m="1" x="889"/>
        <item m="1" x="890"/>
        <item m="1" x="891"/>
        <item m="1" x="668"/>
        <item m="1" x="656"/>
        <item m="1" x="32"/>
        <item m="1" x="631"/>
        <item m="1" x="632"/>
        <item m="1" x="633"/>
        <item m="1" x="634"/>
        <item m="1" x="635"/>
        <item m="1" x="636"/>
        <item m="1" x="637"/>
        <item m="1" x="639"/>
        <item m="1" x="640"/>
        <item m="1" x="641"/>
        <item m="1" x="642"/>
        <item m="1" x="643"/>
        <item m="1" x="645"/>
        <item m="1" x="646"/>
        <item m="1" x="647"/>
        <item m="1" x="648"/>
        <item m="1" x="649"/>
        <item m="1" x="652"/>
        <item m="1" x="653"/>
        <item m="1" x="654"/>
        <item m="1" x="657"/>
        <item m="1" x="658"/>
        <item m="1" x="659"/>
        <item m="1" x="660"/>
        <item m="1" x="661"/>
        <item m="1" x="663"/>
        <item m="1" x="665"/>
        <item m="1" x="666"/>
        <item m="1" x="667"/>
        <item m="1" x="669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5"/>
        <item m="1" x="696"/>
        <item m="1" x="697"/>
        <item m="1" x="698"/>
        <item m="1" x="700"/>
        <item m="1" x="702"/>
        <item m="1" x="704"/>
        <item m="1" x="705"/>
        <item m="1" x="708"/>
        <item m="1" x="710"/>
        <item m="1" x="711"/>
        <item m="1" x="712"/>
        <item m="1" x="713"/>
        <item m="1" x="714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40"/>
        <item m="1" x="741"/>
        <item m="1" x="743"/>
        <item m="1" x="744"/>
        <item m="1" x="745"/>
        <item m="1" x="746"/>
        <item m="1" x="747"/>
        <item m="1" x="748"/>
        <item m="1" x="749"/>
        <item m="1" x="750"/>
        <item m="1" x="754"/>
        <item m="1" x="755"/>
        <item m="1" x="756"/>
        <item m="1" x="757"/>
        <item m="1" x="759"/>
        <item m="1" x="760"/>
        <item m="1" x="762"/>
        <item m="1" x="764"/>
        <item m="1" x="765"/>
        <item m="1" x="766"/>
        <item m="1" x="767"/>
        <item m="1" x="769"/>
        <item m="1" x="770"/>
        <item m="1" x="771"/>
        <item m="1" x="772"/>
        <item m="1" x="774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6"/>
        <item m="1" x="787"/>
        <item m="1" x="789"/>
        <item m="1" x="790"/>
        <item m="1" x="791"/>
        <item m="1" x="792"/>
        <item m="1" x="793"/>
        <item m="1" x="794"/>
        <item m="1" x="795"/>
        <item m="1" x="797"/>
        <item m="1" x="798"/>
        <item m="1" x="800"/>
        <item m="1" x="801"/>
        <item m="1" x="803"/>
        <item m="1" x="806"/>
        <item m="1" x="807"/>
        <item m="1" x="809"/>
        <item m="1" x="810"/>
        <item m="1" x="811"/>
        <item m="1" x="812"/>
        <item m="1" x="813"/>
        <item m="1" x="814"/>
        <item m="1" x="815"/>
        <item m="1" x="816"/>
        <item m="1" x="818"/>
        <item m="1" x="819"/>
        <item m="1" x="820"/>
        <item m="1" x="821"/>
        <item m="1" x="822"/>
        <item m="1" x="823"/>
        <item m="1" x="824"/>
        <item m="1" x="826"/>
        <item m="1" x="827"/>
        <item m="1" x="828"/>
        <item m="1" x="829"/>
        <item m="1" x="605"/>
        <item m="1" x="606"/>
        <item m="1" x="608"/>
        <item m="1" x="610"/>
        <item m="1" x="614"/>
        <item m="1" x="139"/>
        <item m="1" x="616"/>
        <item m="1" x="618"/>
        <item m="1" x="43"/>
        <item m="1" x="623"/>
        <item m="1" x="624"/>
        <item m="1" x="628"/>
        <item m="1" x="493"/>
        <item m="1" x="494"/>
        <item m="1" x="495"/>
        <item m="1" x="256"/>
        <item m="1" x="340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306"/>
        <item m="1" x="509"/>
        <item m="1" x="510"/>
        <item m="1" x="511"/>
        <item x="9"/>
        <item m="1" x="518"/>
        <item m="1" x="523"/>
        <item m="1" x="418"/>
        <item x="23"/>
        <item m="1" x="524"/>
        <item m="1" x="123"/>
        <item m="1" x="526"/>
        <item x="3"/>
        <item m="1" x="528"/>
        <item m="1" x="529"/>
        <item m="1" x="530"/>
        <item m="1" x="322"/>
        <item m="1" x="464"/>
        <item m="1" x="533"/>
        <item m="1" x="166"/>
        <item m="1" x="539"/>
        <item m="1" x="540"/>
        <item m="1" x="544"/>
        <item m="1" x="547"/>
        <item m="1" x="549"/>
        <item m="1" x="550"/>
        <item m="1" x="240"/>
        <item m="1" x="489"/>
        <item m="1" x="553"/>
        <item m="1" x="557"/>
        <item m="1" x="558"/>
        <item m="1" x="567"/>
        <item m="1" x="569"/>
        <item m="1" x="570"/>
        <item m="1" x="571"/>
        <item m="1" x="572"/>
        <item m="1" x="266"/>
        <item m="1" x="573"/>
        <item m="1" x="575"/>
        <item m="1" x="578"/>
        <item m="1" x="579"/>
        <item m="1" x="581"/>
        <item m="1" x="88"/>
        <item m="1" x="583"/>
        <item m="1" x="584"/>
        <item m="1" x="585"/>
        <item m="1" x="588"/>
        <item m="1" x="591"/>
        <item m="1" x="140"/>
        <item m="1" x="430"/>
        <item m="1" x="250"/>
        <item m="1" x="133"/>
        <item m="1" x="239"/>
        <item m="1" x="597"/>
        <item m="1" x="598"/>
        <item m="1" x="599"/>
        <item m="1" x="441"/>
        <item m="1" x="443"/>
        <item m="1" x="444"/>
        <item m="1" x="446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8"/>
        <item m="1" x="459"/>
        <item m="1" x="460"/>
        <item m="1" x="461"/>
        <item m="1" x="463"/>
        <item m="1" x="262"/>
        <item m="1" x="465"/>
        <item m="1" x="467"/>
        <item m="1" x="438"/>
        <item m="1" x="469"/>
        <item m="1" x="472"/>
        <item m="1" x="473"/>
        <item m="1" x="474"/>
        <item m="1" x="263"/>
        <item m="1" x="475"/>
        <item m="1" x="90"/>
        <item m="1" x="478"/>
        <item m="1" x="479"/>
        <item x="1"/>
        <item m="1" x="480"/>
        <item m="1" x="481"/>
        <item m="1" x="482"/>
        <item m="1" x="483"/>
        <item m="1" x="484"/>
        <item m="1" x="485"/>
        <item m="1" x="80"/>
        <item m="1" x="488"/>
        <item m="1" x="129"/>
        <item m="1" x="81"/>
        <item m="1" x="82"/>
        <item m="1" x="86"/>
        <item m="1" x="87"/>
        <item m="1" x="91"/>
        <item m="1" x="92"/>
        <item m="1" x="93"/>
        <item m="1" x="94"/>
        <item m="1" x="97"/>
        <item m="1" x="98"/>
        <item m="1" x="99"/>
        <item m="1" x="100"/>
        <item m="1" x="101"/>
        <item m="1" x="104"/>
        <item m="1" x="108"/>
        <item m="1" x="109"/>
        <item m="1" x="112"/>
        <item m="1" x="115"/>
        <item m="1" x="119"/>
        <item m="1" x="121"/>
        <item m="1" x="122"/>
        <item m="1" x="124"/>
        <item m="1" x="125"/>
        <item m="1" x="128"/>
        <item m="1" x="130"/>
        <item m="1" x="131"/>
        <item m="1" x="134"/>
        <item m="1" x="135"/>
        <item m="1" x="136"/>
        <item m="1" x="137"/>
        <item m="1" x="138"/>
        <item m="1" x="143"/>
        <item m="1" x="144"/>
        <item m="1" x="145"/>
        <item x="27"/>
        <item m="1" x="148"/>
        <item m="1" x="153"/>
        <item m="1" x="154"/>
        <item m="1" x="155"/>
        <item m="1" x="156"/>
        <item m="1" x="157"/>
        <item m="1" x="158"/>
        <item m="1" x="159"/>
        <item m="1" x="161"/>
        <item m="1" x="163"/>
        <item m="1" x="164"/>
        <item m="1" x="167"/>
        <item m="1" x="168"/>
        <item m="1" x="169"/>
        <item m="1" x="171"/>
        <item m="1" x="172"/>
        <item m="1" x="173"/>
        <item m="1" x="174"/>
        <item m="1" x="177"/>
        <item m="1" x="179"/>
        <item m="1" x="180"/>
        <item m="1" x="181"/>
        <item m="1" x="182"/>
        <item m="1" x="183"/>
        <item m="1" x="186"/>
        <item m="1" x="187"/>
        <item m="1" x="195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9"/>
        <item m="1" x="220"/>
        <item m="1" x="221"/>
        <item m="1" x="62"/>
        <item m="1" x="222"/>
        <item m="1" x="225"/>
        <item m="1" x="226"/>
        <item m="1" x="53"/>
        <item m="1" x="227"/>
        <item m="1" x="230"/>
        <item m="1" x="231"/>
        <item m="1" x="232"/>
        <item m="1" x="233"/>
        <item m="1" x="236"/>
        <item m="1" x="241"/>
        <item m="1" x="242"/>
        <item m="1" x="243"/>
        <item m="1" x="244"/>
        <item m="1" x="245"/>
        <item m="1" x="246"/>
        <item m="1" x="248"/>
        <item m="1" x="251"/>
        <item m="1" x="252"/>
        <item m="1" x="253"/>
        <item m="1" x="254"/>
        <item m="1" x="255"/>
        <item m="1" x="261"/>
        <item m="1" x="264"/>
        <item m="1" x="265"/>
        <item m="1" x="268"/>
        <item m="1" x="275"/>
        <item m="1" x="276"/>
        <item m="1" x="288"/>
        <item m="1" x="289"/>
        <item m="1" x="290"/>
        <item m="1" x="291"/>
        <item m="1" x="294"/>
        <item m="1" x="295"/>
        <item m="1" x="296"/>
        <item m="1" x="298"/>
        <item m="1" x="299"/>
        <item m="1" x="300"/>
        <item m="1" x="301"/>
        <item m="1" x="302"/>
        <item m="1" x="303"/>
        <item m="1" x="308"/>
        <item m="1" x="312"/>
        <item m="1" x="321"/>
        <item m="1" x="323"/>
        <item m="1" x="325"/>
        <item m="1" x="326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9"/>
        <item m="1" x="344"/>
        <item m="1" x="345"/>
        <item m="1" x="348"/>
        <item m="1" x="349"/>
        <item m="1" x="354"/>
        <item m="1" x="362"/>
        <item m="1" x="363"/>
        <item m="1" x="367"/>
        <item m="1" x="375"/>
        <item m="1" x="377"/>
        <item m="1" x="378"/>
        <item m="1" x="379"/>
        <item m="1" x="380"/>
        <item m="1" x="383"/>
        <item m="1" x="386"/>
        <item m="1" x="387"/>
        <item m="1" x="399"/>
        <item m="1" x="404"/>
        <item m="1" x="405"/>
        <item m="1" x="406"/>
        <item m="1" x="415"/>
        <item m="1" x="416"/>
        <item m="1" x="417"/>
        <item m="1" x="420"/>
        <item m="1" x="421"/>
        <item m="1" x="423"/>
        <item m="1" x="424"/>
        <item m="1" x="427"/>
        <item m="1" x="428"/>
        <item m="1" x="431"/>
        <item m="1" x="433"/>
        <item m="1" x="435"/>
        <item m="1" x="436"/>
        <item m="1" x="437"/>
        <item m="1" x="439"/>
        <item m="1" x="440"/>
        <item m="1" x="33"/>
        <item m="1" x="34"/>
        <item m="1" x="35"/>
        <item m="1" x="36"/>
        <item m="1" x="38"/>
        <item m="1" x="39"/>
        <item m="1" x="40"/>
        <item m="1" x="41"/>
        <item m="1" x="42"/>
        <item m="1" x="44"/>
        <item m="1" x="45"/>
        <item m="1" x="48"/>
        <item m="1" x="49"/>
        <item m="1" x="50"/>
        <item m="1" x="51"/>
        <item m="1" x="52"/>
        <item m="1" x="54"/>
        <item m="1" x="55"/>
        <item m="1" x="56"/>
        <item m="1" x="57"/>
        <item m="1" x="58"/>
        <item m="1" x="61"/>
        <item m="1" x="63"/>
        <item m="1" x="64"/>
        <item m="1" x="65"/>
        <item m="1" x="66"/>
        <item m="1" x="67"/>
        <item m="1" x="71"/>
        <item m="1" x="73"/>
        <item x="0"/>
        <item x="2"/>
        <item x="4"/>
        <item x="5"/>
        <item x="7"/>
        <item x="11"/>
        <item x="12"/>
        <item x="14"/>
        <item x="15"/>
        <item x="18"/>
        <item x="20"/>
        <item x="21"/>
        <item x="25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0">
        <item x="14"/>
        <item m="1" x="890"/>
        <item m="1" x="881"/>
        <item m="1" x="886"/>
        <item m="1" x="885"/>
        <item m="1" x="888"/>
        <item m="1" x="895"/>
        <item m="1" x="880"/>
        <item m="1" x="893"/>
        <item m="1" x="897"/>
        <item m="1" x="969"/>
        <item m="1" x="898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24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882"/>
        <item m="1" x="883"/>
        <item m="1" x="884"/>
        <item m="1" x="887"/>
        <item m="1" x="889"/>
        <item m="1" x="891"/>
        <item m="1" x="892"/>
        <item m="1" x="894"/>
        <item m="1" x="646"/>
        <item m="1" x="660"/>
        <item m="1" x="896"/>
        <item m="1" x="676"/>
        <item m="1" x="899"/>
        <item m="1" x="680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7"/>
        <item m="1" x="678"/>
        <item m="1" x="679"/>
        <item m="1" x="681"/>
        <item m="1" x="682"/>
        <item m="1" x="683"/>
        <item m="1" x="684"/>
        <item m="1" x="685"/>
        <item m="1" x="686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1"/>
        <item m="1" x="9"/>
        <item m="1" x="8"/>
        <item m="1" x="7"/>
        <item m="1" x="6"/>
        <item m="1" x="5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x="5"/>
        <item x="0"/>
        <item x="1"/>
        <item x="3"/>
        <item x="6"/>
        <item m="1" x="7"/>
        <item m="1" x="9"/>
        <item m="1" x="10"/>
        <item m="1" x="8"/>
        <item m="1" x="11"/>
        <item m="1" x="12"/>
        <item m="1" x="13"/>
        <item m="1" x="14"/>
        <item m="1" x="15"/>
        <item m="1" x="87"/>
        <item m="1" x="88"/>
        <item m="1" x="89"/>
        <item m="1" x="90"/>
        <item m="1" x="16"/>
        <item m="1" x="17"/>
        <item m="1" x="43"/>
        <item m="1" x="38"/>
        <item m="1" x="7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78"/>
        <item m="1" x="66"/>
        <item m="1" x="67"/>
        <item m="1" x="79"/>
        <item m="1" x="80"/>
        <item m="1" x="81"/>
        <item m="1" x="82"/>
        <item m="1" x="83"/>
        <item m="1" x="84"/>
        <item m="1" x="85"/>
        <item m="1" x="86"/>
        <item m="1" x="39"/>
        <item m="1" x="40"/>
        <item m="1" x="41"/>
        <item m="1" x="42"/>
        <item m="1" x="44"/>
        <item m="1" x="45"/>
        <item m="1" x="46"/>
        <item m="1" x="47"/>
        <item m="1" x="48"/>
        <item x="2"/>
        <item x="4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36"/>
    <field x="22"/>
    <field x="30"/>
    <field x="39"/>
    <field x="16"/>
  </rowFields>
  <rowItems count="31">
    <i>
      <x v="5"/>
      <x v="9"/>
      <x v="9"/>
      <x v="6"/>
      <x v="947"/>
      <x v="173"/>
      <x v="1362"/>
      <x v="1"/>
      <x v="37"/>
    </i>
    <i r="4">
      <x v="948"/>
      <x v="173"/>
      <x v="130"/>
      <x v="69"/>
      <x v="60"/>
    </i>
    <i r="6">
      <x v="1149"/>
      <x v="1"/>
      <x v="37"/>
    </i>
    <i r="6">
      <x v="1366"/>
      <x v="2"/>
      <x v="37"/>
    </i>
    <i r="4">
      <x v="949"/>
      <x v="173"/>
      <x v="202"/>
      <x v="2"/>
      <x v="37"/>
    </i>
    <i r="6">
      <x v="1363"/>
      <x v="1"/>
      <x v="37"/>
    </i>
    <i r="4">
      <x v="950"/>
      <x v="173"/>
      <x v="1074"/>
      <x v="1"/>
      <x v="37"/>
    </i>
    <i r="4">
      <x v="951"/>
      <x v="173"/>
      <x v="1364"/>
      <x v="1"/>
      <x v="37"/>
    </i>
    <i r="4">
      <x v="952"/>
      <x v="173"/>
      <x v="1365"/>
      <x v="1"/>
      <x v="37"/>
    </i>
    <i r="4">
      <x v="953"/>
      <x v="5"/>
      <x v="75"/>
      <x v="2"/>
      <x v="60"/>
    </i>
    <i r="6">
      <x v="1370"/>
      <x v="1"/>
      <x v="60"/>
    </i>
    <i r="4">
      <x v="954"/>
      <x v="172"/>
      <x v="1376"/>
      <x v="1"/>
      <x v="60"/>
    </i>
    <i r="4">
      <x v="955"/>
      <x v="173"/>
      <x v="536"/>
      <x v="1"/>
      <x v="37"/>
    </i>
    <i r="6">
      <x v="1066"/>
      <x v="2"/>
      <x v="60"/>
    </i>
    <i r="4">
      <x v="956"/>
      <x v="173"/>
      <x v="1367"/>
      <x v="1"/>
      <x v="37"/>
    </i>
    <i r="4">
      <x v="957"/>
      <x v="173"/>
      <x v="1368"/>
      <x v="1"/>
      <x v="37"/>
    </i>
    <i r="4">
      <x v="958"/>
      <x v="5"/>
      <x v="87"/>
      <x v="1"/>
      <x v="60"/>
    </i>
    <i r="4">
      <x v="959"/>
      <x v="173"/>
      <x v="1369"/>
      <x v="1"/>
      <x v="37"/>
    </i>
    <i r="4">
      <x v="960"/>
      <x v="5"/>
      <x v="1371"/>
      <x v="1"/>
      <x v="60"/>
    </i>
    <i r="4">
      <x v="961"/>
      <x v="5"/>
      <x v="518"/>
      <x v="1"/>
      <x v="60"/>
    </i>
    <i r="4">
      <x v="962"/>
      <x v="5"/>
      <x v="141"/>
      <x v="2"/>
      <x v="60"/>
    </i>
    <i r="5">
      <x v="172"/>
      <x v="1372"/>
      <x v="1"/>
      <x v="37"/>
    </i>
    <i r="4">
      <x v="963"/>
      <x v="173"/>
      <x v="1377"/>
      <x v="1"/>
      <x v="37"/>
    </i>
    <i r="4">
      <x v="964"/>
      <x v="173"/>
      <x v="1373"/>
      <x v="1"/>
      <x v="37"/>
    </i>
    <i r="4">
      <x v="965"/>
      <x v="173"/>
      <x v="229"/>
      <x v="1"/>
      <x v="37"/>
    </i>
    <i r="6">
      <x v="1070"/>
      <x v="2"/>
      <x v="37"/>
    </i>
    <i r="4">
      <x v="966"/>
      <x v="172"/>
      <x v="484"/>
      <x v="1"/>
      <x v="37"/>
    </i>
    <i r="4">
      <x v="967"/>
      <x v="172"/>
      <x v="1374"/>
      <x v="1"/>
      <x v="37"/>
    </i>
    <i r="4">
      <x v="968"/>
      <x v="172"/>
      <x v="371"/>
      <x v="1"/>
      <x v="37"/>
    </i>
    <i r="6">
      <x v="1193"/>
      <x v="2"/>
      <x v="37"/>
    </i>
    <i r="4">
      <x v="969"/>
      <x v="172"/>
      <x v="1375"/>
      <x v="1"/>
      <x v="60"/>
    </i>
  </rowItems>
  <colItems count="1">
    <i/>
  </colItems>
  <formats count="382">
    <format dxfId="1625">
      <pivotArea type="all" dataOnly="0" outline="0" fieldPosition="0"/>
    </format>
    <format dxfId="1624">
      <pivotArea dataOnly="0" labelOnly="1" outline="0" fieldPosition="0">
        <references count="1">
          <reference field="9" count="1">
            <x v="5"/>
          </reference>
        </references>
      </pivotArea>
    </format>
    <format dxfId="1623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622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621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62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36" count="0"/>
          <reference field="38" count="0" selected="0"/>
        </references>
      </pivotArea>
    </format>
    <format dxfId="16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6" count="0" selected="0"/>
          <reference field="38" count="0" selected="0"/>
        </references>
      </pivotArea>
    </format>
    <format dxfId="16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6" count="0" selected="0"/>
          <reference field="38" count="0" selected="0"/>
        </references>
      </pivotArea>
    </format>
    <format dxfId="16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6" count="0" selected="0"/>
          <reference field="38" count="0" selected="0"/>
        </references>
      </pivotArea>
    </format>
    <format dxfId="16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6" count="0" selected="0"/>
          <reference field="38" count="0" selected="0"/>
        </references>
      </pivotArea>
    </format>
    <format dxfId="16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6" count="0" selected="0"/>
          <reference field="38" count="0" selected="0"/>
        </references>
      </pivotArea>
    </format>
    <format dxfId="16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6" count="0" selected="0"/>
          <reference field="38" count="0" selected="0"/>
        </references>
      </pivotArea>
    </format>
    <format dxfId="16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6" count="0" selected="0"/>
          <reference field="38" count="0" selected="0"/>
        </references>
      </pivotArea>
    </format>
    <format dxfId="16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6" count="0" selected="0"/>
          <reference field="38" count="0" selected="0"/>
        </references>
      </pivotArea>
    </format>
    <format dxfId="16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6" count="0" selected="0"/>
          <reference field="38" count="0" selected="0"/>
        </references>
      </pivotArea>
    </format>
    <format dxfId="160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6" count="0" selected="0"/>
          <reference field="38" count="0" selected="0"/>
        </references>
      </pivotArea>
    </format>
    <format dxfId="160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6" count="0" selected="0"/>
          <reference field="38" count="0" selected="0"/>
        </references>
      </pivotArea>
    </format>
    <format dxfId="157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7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5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4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4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0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9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3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5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CF362F09-97E3-4515-AD8E-CBD007D36FAE}" autoFormatId="16" applyNumberFormats="0" applyBorderFormats="0" applyFontFormats="0" applyPatternFormats="0" applyAlignmentFormats="0" applyWidthHeightFormats="0">
  <queryTableRefresh nextId="80">
    <queryTableFields count="69">
      <queryTableField id="1" name="Unique Id" tableColumnId="1"/>
      <queryTableField id="2" name="Project Name" tableColumnId="2"/>
      <queryTableField id="3" name="Project Address" tableColumnId="3"/>
      <queryTableField id="4" name="System" tableColumnId="4"/>
      <queryTableField id="5" name="Area" tableColumnId="5"/>
      <queryTableField id="6" name="Project Number" tableColumnId="6"/>
      <queryTableField id="7" name="Drawn By" tableColumnId="7"/>
      <queryTableField id="8" name="Issued Date" tableColumnId="8"/>
      <queryTableField id="9" name="Company" tableColumnId="9"/>
      <queryTableField id="10" name="itm CID" tableColumnId="10"/>
      <queryTableField id="11" name="Fitting Type" tableColumnId="11"/>
      <queryTableField id="12" name="Service Type" tableColumnId="12"/>
      <queryTableField id="13" name="Service" tableColumnId="13"/>
      <queryTableField id="14" name="FAB Service Abbrv" tableColumnId="14"/>
      <queryTableField id="15" name="Description (1)" tableColumnId="15"/>
      <queryTableField id="16" name="Description (2)" tableColumnId="16"/>
      <queryTableField id="17" name="Schedule/Rating" tableColumnId="17"/>
      <queryTableField id="18" name="Alias" tableColumnId="18"/>
      <queryTableField id="19" name="Manufacturer" tableColumnId="19"/>
      <queryTableField id="20" name="Material Group" tableColumnId="20"/>
      <queryTableField id="21" name="Material Data" tableColumnId="21"/>
      <queryTableField id="22" name="Material Abbreviation" tableColumnId="22"/>
      <queryTableField id="23" name="Size (inch)" tableColumnId="23"/>
      <queryTableField id="24" name="Size (dec)" tableColumnId="24"/>
      <queryTableField id="70" name="Inlet Diameter" tableColumnId="61"/>
      <queryTableField id="25" name="Size Outlets" tableColumnId="25"/>
      <queryTableField id="26" name="Size Branches" tableColumnId="26"/>
      <queryTableField id="27" name="RFA Size" tableColumnId="27"/>
      <queryTableField id="28" name="RFA Size (max)" tableColumnId="28"/>
      <queryTableField id="29" name="RFA Size (max dec)" tableColumnId="29"/>
      <queryTableField id="30" name="Length (ft)" tableColumnId="30"/>
      <queryTableField id="31" name="Length (dec ft)" tableColumnId="31"/>
      <queryTableField id="32" name="Quantity" tableColumnId="32"/>
      <queryTableField id="33" name="Manufacturer Order Number" tableColumnId="33"/>
      <queryTableField id="34" name="RFA Model Number" tableColumnId="34"/>
      <queryTableField id="35" name="Spool Name" tableColumnId="35"/>
      <queryTableField id="36" name="Spool Name (PiM)" tableColumnId="36"/>
      <queryTableField id="37" name="Entity Status" tableColumnId="37"/>
      <queryTableField id="38" name="Shop Order Number" tableColumnId="38"/>
      <queryTableField id="39" name="Item Number" tableColumnId="39"/>
      <queryTableField id="40" name="Mark" tableColumnId="40"/>
      <queryTableField id="41" name="Weight" tableColumnId="41"/>
      <queryTableField id="42" name="Level" tableColumnId="42"/>
      <queryTableField id="43" name="Category" tableColumnId="43"/>
      <queryTableField id="44" name="Sub Type" tableColumnId="44"/>
      <queryTableField id="45" name="Bernhard LB ID" tableColumnId="45"/>
      <queryTableField id="46" name="JD Edwards ID" tableColumnId="46"/>
      <queryTableField id="47" name="Hanger Diameter" tableColumnId="47"/>
      <queryTableField id="48" name="Rod Diameter" tableColumnId="48"/>
      <queryTableField id="49" name="Rod Diameter (dec)" tableColumnId="49"/>
      <queryTableField id="50" name="Rod Inset Depth" tableColumnId="50"/>
      <queryTableField id="51" name="Rod Length" tableColumnId="51"/>
      <queryTableField id="52" name="Rod Length (dec)" tableColumnId="52"/>
      <queryTableField id="53" name="Conn Type #1" tableColumnId="53"/>
      <queryTableField id="54" name="Conn Type #2" tableColumnId="54"/>
      <queryTableField id="55" name="Conn Type #3" tableColumnId="55"/>
      <queryTableField id="56" name="Conn Type #4" tableColumnId="56"/>
      <queryTableField id="57" name="Conn Type #5" tableColumnId="57"/>
      <queryTableField id="58" name="Conn Type #6" tableColumnId="58"/>
      <queryTableField id="59" name="Conn Type #7" tableColumnId="59"/>
      <queryTableField id="60" name="Conn Type #8" tableColumnId="60"/>
      <queryTableField id="71" name="Column1" tableColumnId="62"/>
      <queryTableField id="72" name="_1" tableColumnId="63"/>
      <queryTableField id="73" name="_2" tableColumnId="64"/>
      <queryTableField id="74" name="_3" tableColumnId="65"/>
      <queryTableField id="75" name="_4" tableColumnId="66"/>
      <queryTableField id="76" name="_5" tableColumnId="67"/>
      <queryTableField id="77" name="_6" tableColumnId="68"/>
      <queryTableField id="78" name="_7" tableColumnId="6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B8D3B-2E57-448D-83A5-7FAD802F3F58}" name="CSV_Table" displayName="CSV_Table" ref="A1:BQ137" tableType="queryTable" totalsRowCount="1">
  <autoFilter ref="A1:BQ136" xr:uid="{F33B8D3B-2E57-448D-83A5-7FAD802F3F58}"/>
  <tableColumns count="69">
    <tableColumn id="1" xr3:uid="{5FF1451D-416F-4D82-83AC-3CD8C5293BEA}" uniqueName="1" name="Unique Id" queryTableFieldId="1"/>
    <tableColumn id="2" xr3:uid="{4A404733-A7FC-4088-B7E2-6F61BACF3F06}" uniqueName="2" name="Project Name" queryTableFieldId="2"/>
    <tableColumn id="3" xr3:uid="{AF604378-67DF-4026-99A1-271C791FB2C3}" uniqueName="3" name="Project Address" queryTableFieldId="3"/>
    <tableColumn id="4" xr3:uid="{A530B5AF-4937-4A51-82F0-F020C6CFC45E}" uniqueName="4" name="System" queryTableFieldId="4"/>
    <tableColumn id="5" xr3:uid="{9DA9D877-CDBA-4B81-A6B0-173482D1D21F}" uniqueName="5" name="Area" queryTableFieldId="5"/>
    <tableColumn id="6" xr3:uid="{AF19CA96-4ABF-46F4-8D55-3AEFE4B6C3CB}" uniqueName="6" name="Project Number" queryTableFieldId="6"/>
    <tableColumn id="7" xr3:uid="{3D07AB87-BA53-4B3E-ACDF-F3FA33AB786B}" uniqueName="7" name="Drawn By" queryTableFieldId="7"/>
    <tableColumn id="8" xr3:uid="{19867928-529A-41DE-87E8-B1F2F636C159}" uniqueName="8" name="Issued Date" queryTableFieldId="8" dataDxfId="1050" totalsRowDxfId="1243"/>
    <tableColumn id="9" xr3:uid="{618A0DE2-FB83-40B5-98F3-E320A962852C}" uniqueName="9" name="Company" queryTableFieldId="9"/>
    <tableColumn id="10" xr3:uid="{1F655581-F0C1-498B-87BA-CB438596768E}" uniqueName="10" name="itm CID" queryTableFieldId="10"/>
    <tableColumn id="11" xr3:uid="{6335AFC4-2C75-4973-A1ED-2FED059A7B6C}" uniqueName="11" name="Fitting Type" queryTableFieldId="11"/>
    <tableColumn id="12" xr3:uid="{7E71B211-DBC4-49A0-9F4C-F5C994ABBFB2}" uniqueName="12" name="Service Type" queryTableFieldId="12"/>
    <tableColumn id="13" xr3:uid="{7C2F1F27-72ED-445A-97AB-9BFF292F5567}" uniqueName="13" name="Service" queryTableFieldId="13"/>
    <tableColumn id="14" xr3:uid="{C174F4B3-A5F2-4A41-B36A-9773C99E849A}" uniqueName="14" name="FAB Service Abbrv" queryTableFieldId="14"/>
    <tableColumn id="15" xr3:uid="{C286AF96-995A-4E23-9C61-0F344515DB6D}" uniqueName="15" name="Description (1)" queryTableFieldId="15"/>
    <tableColumn id="16" xr3:uid="{277A566C-4EF0-4AD7-A3F9-5754D5B4EB0C}" uniqueName="16" name="Description (2)" queryTableFieldId="16"/>
    <tableColumn id="17" xr3:uid="{3461E221-24CD-4D48-9CD5-BA3ED454676E}" uniqueName="17" name="Schedule/Rating" queryTableFieldId="17"/>
    <tableColumn id="18" xr3:uid="{FCAC3275-AB08-4B01-A061-1232143B181E}" uniqueName="18" name="Alias" queryTableFieldId="18"/>
    <tableColumn id="19" xr3:uid="{77491512-ABA1-486A-8E49-672AA9C2C023}" uniqueName="19" name="Manufacturer" queryTableFieldId="19"/>
    <tableColumn id="20" xr3:uid="{1E91C2AE-DD50-47EC-885C-6CB76044EBE3}" uniqueName="20" name="Material Group" queryTableFieldId="20"/>
    <tableColumn id="21" xr3:uid="{2F92FB08-C47D-4877-9253-9483D0266936}" uniqueName="21" name="Material Data" queryTableFieldId="21"/>
    <tableColumn id="22" xr3:uid="{8CE770B8-BFFA-4F82-889E-A6D0CCCC1FFF}" uniqueName="22" name="Material Abbreviation" queryTableFieldId="22"/>
    <tableColumn id="23" xr3:uid="{74484F21-9321-4CB9-9624-D5793E9A803E}" uniqueName="23" name="Size (inch)" queryTableFieldId="23"/>
    <tableColumn id="24" xr3:uid="{0F84E9C5-E7BC-47CC-8700-757EDE176D67}" uniqueName="24" name="Size (dec)" queryTableFieldId="24"/>
    <tableColumn id="61" xr3:uid="{C566FFD5-181B-4C70-8E2B-9B30C686B417}" uniqueName="61" name="Inlet Diameter" queryTableFieldId="70"/>
    <tableColumn id="25" xr3:uid="{12EE36B3-4C50-410F-A21C-D77B0A525BA8}" uniqueName="25" name="Size Outlets" queryTableFieldId="25"/>
    <tableColumn id="26" xr3:uid="{5D716DC1-E6AF-498C-A293-C88C68A1BD48}" uniqueName="26" name="Size Branches" queryTableFieldId="26"/>
    <tableColumn id="27" xr3:uid="{A4C50F85-2FB4-4652-AE2B-8581295716C9}" uniqueName="27" name="RFA Size" queryTableFieldId="27"/>
    <tableColumn id="28" xr3:uid="{53754A47-4F1E-4AA0-A55D-E24EF4AB7F1C}" uniqueName="28" name="RFA Size (max)" queryTableFieldId="28"/>
    <tableColumn id="29" xr3:uid="{3A3D6153-8A4C-4B69-B97A-5923C0FE60E9}" uniqueName="29" name="RFA Size (max dec)" queryTableFieldId="29"/>
    <tableColumn id="30" xr3:uid="{D8FB4BC4-2F5F-4E49-B18D-AC787E67D938}" uniqueName="30" name="Length (ft)" queryTableFieldId="30"/>
    <tableColumn id="31" xr3:uid="{6F8A912F-3528-4FF9-9696-9632AD183A82}" uniqueName="31" name="Length (dec ft)" queryTableFieldId="31"/>
    <tableColumn id="32" xr3:uid="{67622D23-FA26-481B-80C2-C75480D9E45B}" uniqueName="32" name="Quantity" queryTableFieldId="32"/>
    <tableColumn id="33" xr3:uid="{376BEDB2-7D90-4D54-8C3C-524BEF1A45B9}" uniqueName="33" name="Manufacturer Order Number" queryTableFieldId="33"/>
    <tableColumn id="34" xr3:uid="{64D55909-E753-4257-B6F2-B7570680A47E}" uniqueName="34" name="RFA Model Number" queryTableFieldId="34"/>
    <tableColumn id="35" xr3:uid="{9ABCC272-C83E-4864-9E1F-8E0FC334E31F}" uniqueName="35" name="Spool Name" queryTableFieldId="35"/>
    <tableColumn id="36" xr3:uid="{9628D8DA-8A29-4F08-AC94-7D8F85F279B0}" uniqueName="36" name="Spool Name (PiM)" queryTableFieldId="36"/>
    <tableColumn id="37" xr3:uid="{D0D7BD10-023A-4E18-B2E6-7E4EF9CCC59A}" uniqueName="37" name="Entity Status" queryTableFieldId="37"/>
    <tableColumn id="38" xr3:uid="{E191FF9A-FAC7-46BD-B91E-9775185BAC11}" uniqueName="38" name="Shop Order Number" queryTableFieldId="38"/>
    <tableColumn id="39" xr3:uid="{C1031F44-90B7-42A8-B322-C7E689D46FBB}" uniqueName="39" name="Item Number" queryTableFieldId="39"/>
    <tableColumn id="40" xr3:uid="{7BCE29E4-8413-4DA8-9A62-C52DFF29312D}" uniqueName="40" name="Mark" queryTableFieldId="40"/>
    <tableColumn id="41" xr3:uid="{5C65A434-BEE4-41FB-8123-87CA48BA720A}" uniqueName="41" name="Weight" queryTableFieldId="41"/>
    <tableColumn id="42" xr3:uid="{579D9194-81F0-4C4E-9B1D-1E96E46A7C82}" uniqueName="42" name="Level" queryTableFieldId="42"/>
    <tableColumn id="43" xr3:uid="{768E166E-176E-46CF-A612-7E0971E4F011}" uniqueName="43" name="Category" queryTableFieldId="43"/>
    <tableColumn id="44" xr3:uid="{E3357E2A-CBD5-4087-B4E1-B8DE84F9893B}" uniqueName="44" name="Sub Type" queryTableFieldId="44"/>
    <tableColumn id="45" xr3:uid="{8B7710EE-5F2B-41C5-8A8F-EEB5DDA7BF04}" uniqueName="45" name="Bernhard LB ID" queryTableFieldId="45"/>
    <tableColumn id="46" xr3:uid="{EFC1A5C9-5990-4623-9957-BAE60100A596}" uniqueName="46" name="JD Edwards ID" queryTableFieldId="46"/>
    <tableColumn id="47" xr3:uid="{CED2DFA9-586E-451E-864C-559D5CED205D}" uniqueName="47" name="Hanger Diameter" queryTableFieldId="47"/>
    <tableColumn id="48" xr3:uid="{0B6E3AF0-A464-4446-8E1E-047827AB5EB9}" uniqueName="48" name="Rod Diameter" queryTableFieldId="48"/>
    <tableColumn id="49" xr3:uid="{F450BDB3-4C70-4A6C-A68A-E33F5D535D07}" uniqueName="49" name="Rod Diameter (dec)" queryTableFieldId="49"/>
    <tableColumn id="50" xr3:uid="{4FF87828-5668-4A73-A553-9E7A08633411}" uniqueName="50" name="Rod Inset Depth" queryTableFieldId="50"/>
    <tableColumn id="51" xr3:uid="{57CB27E2-FDE7-4AD0-99BE-CB0B6588537B}" uniqueName="51" name="Rod Length" queryTableFieldId="51"/>
    <tableColumn id="52" xr3:uid="{FA0CAD26-7862-4720-B605-ED971E4749A3}" uniqueName="52" name="Rod Length (dec)" queryTableFieldId="52"/>
    <tableColumn id="53" xr3:uid="{9FF0C9DE-FD7B-41B3-BBFE-C907E231FDA0}" uniqueName="53" name="Conn Type #1" queryTableFieldId="53"/>
    <tableColumn id="54" xr3:uid="{763735B8-6A50-425B-B197-69EFF91741E7}" uniqueName="54" name="Conn Type #2" queryTableFieldId="54"/>
    <tableColumn id="55" xr3:uid="{103B1E8F-B239-4E4A-AD76-3479126F2D25}" uniqueName="55" name="Conn Type #3" queryTableFieldId="55"/>
    <tableColumn id="56" xr3:uid="{350E8994-416C-4C6D-BEE7-096D5DE31845}" uniqueName="56" name="Conn Type #4" queryTableFieldId="56"/>
    <tableColumn id="57" xr3:uid="{37E51251-1BF3-46C8-B5EF-0942CA37D9E8}" uniqueName="57" name="Conn Type #5" queryTableFieldId="57"/>
    <tableColumn id="58" xr3:uid="{509CC9E6-5FEF-4024-9C13-1D88A4442DC9}" uniqueName="58" name="Conn Type #6" queryTableFieldId="58"/>
    <tableColumn id="59" xr3:uid="{12B3A3C4-33DC-48EA-BFBB-EA1BE70D7AB0}" uniqueName="59" name="Conn Type #7" queryTableFieldId="59"/>
    <tableColumn id="60" xr3:uid="{7186497E-C093-4C40-B6A5-6D7734401BD4}" uniqueName="60" name="Conn Type #8" queryTableFieldId="60"/>
    <tableColumn id="62" xr3:uid="{82D371E9-3C7A-49CC-800A-1964C5BD6175}" uniqueName="62" name="Column1" queryTableFieldId="71"/>
    <tableColumn id="63" xr3:uid="{0FA67806-9A3F-4C5B-8A66-002DD388E8DA}" uniqueName="63" name="_1" queryTableFieldId="72"/>
    <tableColumn id="64" xr3:uid="{7FB94332-479C-4182-8482-41292FC06A72}" uniqueName="64" name="_2" queryTableFieldId="73"/>
    <tableColumn id="65" xr3:uid="{A10C3C84-3998-43D5-AB68-76A501C329A7}" uniqueName="65" name="_3" queryTableFieldId="74"/>
    <tableColumn id="66" xr3:uid="{6B4BBB73-5D0A-427C-B612-60BC8E37BA87}" uniqueName="66" name="_4" queryTableFieldId="75"/>
    <tableColumn id="67" xr3:uid="{492012CA-216E-4A1C-86D6-A9FA012800EC}" uniqueName="67" name="_5" queryTableFieldId="76"/>
    <tableColumn id="68" xr3:uid="{20B2036C-6DF8-4C6B-9F6A-4FE132E39B97}" uniqueName="68" name="_6" queryTableFieldId="77"/>
    <tableColumn id="69" xr3:uid="{4AEDECF5-89AB-4F28-8562-745B4F3D63CC}" uniqueName="69" name="_7" queryTableFieldId="7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ivotTable" Target="../pivotTables/pivotTable26.xml"/><Relationship Id="rId21" Type="http://schemas.openxmlformats.org/officeDocument/2006/relationships/pivotTable" Target="../pivotTables/pivotTable21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63" Type="http://schemas.openxmlformats.org/officeDocument/2006/relationships/pivotTable" Target="../pivotTables/pivotTable63.xml"/><Relationship Id="rId68" Type="http://schemas.openxmlformats.org/officeDocument/2006/relationships/pivotTable" Target="../pivotTables/pivotTable68.xml"/><Relationship Id="rId16" Type="http://schemas.openxmlformats.org/officeDocument/2006/relationships/pivotTable" Target="../pivotTables/pivotTable1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8" Type="http://schemas.openxmlformats.org/officeDocument/2006/relationships/pivotTable" Target="../pivotTables/pivotTable58.xml"/><Relationship Id="rId66" Type="http://schemas.openxmlformats.org/officeDocument/2006/relationships/pivotTable" Target="../pivotTables/pivotTable66.xml"/><Relationship Id="rId74" Type="http://schemas.openxmlformats.org/officeDocument/2006/relationships/pivotTable" Target="../pivotTables/pivotTable74.xml"/><Relationship Id="rId5" Type="http://schemas.openxmlformats.org/officeDocument/2006/relationships/pivotTable" Target="../pivotTables/pivotTable5.xml"/><Relationship Id="rId61" Type="http://schemas.openxmlformats.org/officeDocument/2006/relationships/pivotTable" Target="../pivotTables/pivotTable61.xml"/><Relationship Id="rId19" Type="http://schemas.openxmlformats.org/officeDocument/2006/relationships/pivotTable" Target="../pivotTables/pivotTable1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64" Type="http://schemas.openxmlformats.org/officeDocument/2006/relationships/pivotTable" Target="../pivotTables/pivotTable64.xml"/><Relationship Id="rId69" Type="http://schemas.openxmlformats.org/officeDocument/2006/relationships/pivotTable" Target="../pivotTables/pivotTable69.xml"/><Relationship Id="rId77" Type="http://schemas.openxmlformats.org/officeDocument/2006/relationships/pivotTable" Target="../pivotTables/pivotTable77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72" Type="http://schemas.openxmlformats.org/officeDocument/2006/relationships/pivotTable" Target="../pivotTables/pivotTable72.xml"/><Relationship Id="rId3" Type="http://schemas.openxmlformats.org/officeDocument/2006/relationships/pivotTable" Target="../pivotTables/pivotTable3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59" Type="http://schemas.openxmlformats.org/officeDocument/2006/relationships/pivotTable" Target="../pivotTables/pivotTable59.xml"/><Relationship Id="rId67" Type="http://schemas.openxmlformats.org/officeDocument/2006/relationships/pivotTable" Target="../pivotTables/pivotTable67.xml"/><Relationship Id="rId20" Type="http://schemas.openxmlformats.org/officeDocument/2006/relationships/pivotTable" Target="../pivotTables/pivotTable20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62" Type="http://schemas.openxmlformats.org/officeDocument/2006/relationships/pivotTable" Target="../pivotTables/pivotTable62.xml"/><Relationship Id="rId70" Type="http://schemas.openxmlformats.org/officeDocument/2006/relationships/pivotTable" Target="../pivotTables/pivotTable70.xml"/><Relationship Id="rId75" Type="http://schemas.openxmlformats.org/officeDocument/2006/relationships/pivotTable" Target="../pivotTables/pivotTable75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57" Type="http://schemas.openxmlformats.org/officeDocument/2006/relationships/pivotTable" Target="../pivotTables/pivotTable57.xml"/><Relationship Id="rId10" Type="http://schemas.openxmlformats.org/officeDocument/2006/relationships/pivotTable" Target="../pivotTables/pivotTable10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60" Type="http://schemas.openxmlformats.org/officeDocument/2006/relationships/pivotTable" Target="../pivotTables/pivotTable60.xml"/><Relationship Id="rId65" Type="http://schemas.openxmlformats.org/officeDocument/2006/relationships/pivotTable" Target="../pivotTables/pivotTable65.xml"/><Relationship Id="rId73" Type="http://schemas.openxmlformats.org/officeDocument/2006/relationships/pivotTable" Target="../pivotTables/pivotTable73.xml"/><Relationship Id="rId78" Type="http://schemas.openxmlformats.org/officeDocument/2006/relationships/pivotTable" Target="../pivotTables/pivotTable7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9" Type="http://schemas.openxmlformats.org/officeDocument/2006/relationships/pivotTable" Target="../pivotTables/pivotTable39.xml"/><Relationship Id="rId34" Type="http://schemas.openxmlformats.org/officeDocument/2006/relationships/pivotTable" Target="../pivotTables/pivotTable34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6" Type="http://schemas.openxmlformats.org/officeDocument/2006/relationships/pivotTable" Target="../pivotTables/pivotTable76.xml"/><Relationship Id="rId7" Type="http://schemas.openxmlformats.org/officeDocument/2006/relationships/pivotTable" Target="../pivotTables/pivotTable7.xml"/><Relationship Id="rId71" Type="http://schemas.openxmlformats.org/officeDocument/2006/relationships/pivotTable" Target="../pivotTables/pivotTable71.xml"/><Relationship Id="rId2" Type="http://schemas.openxmlformats.org/officeDocument/2006/relationships/pivotTable" Target="../pivotTables/pivotTable2.xml"/><Relationship Id="rId29" Type="http://schemas.openxmlformats.org/officeDocument/2006/relationships/pivotTable" Target="../pivotTables/pivot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1.xml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Relationship Id="rId4" Type="http://schemas.openxmlformats.org/officeDocument/2006/relationships/pivotTable" Target="../pivotTables/pivotTable8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"/>
  <sheetViews>
    <sheetView workbookViewId="0">
      <selection activeCell="A4" sqref="A4"/>
    </sheetView>
  </sheetViews>
  <sheetFormatPr defaultColWidth="0" defaultRowHeight="14.4" x14ac:dyDescent="0.3"/>
  <cols>
    <col min="1" max="1" width="51.44140625" bestFit="1" customWidth="1"/>
    <col min="2" max="2" width="35.6640625" style="181" customWidth="1"/>
    <col min="3" max="3" width="10.6640625" customWidth="1"/>
    <col min="4" max="4" width="14.6640625" customWidth="1"/>
    <col min="5" max="5" width="18.6640625" customWidth="1"/>
    <col min="6" max="6" width="16.109375" customWidth="1"/>
    <col min="7" max="7" width="9.109375" customWidth="1"/>
    <col min="8" max="8" width="19.5546875" customWidth="1"/>
    <col min="9" max="10" width="9.109375" customWidth="1"/>
    <col min="11" max="11" width="11.33203125" customWidth="1"/>
    <col min="12" max="13" width="9.109375" customWidth="1"/>
    <col min="14" max="15" width="9.109375" hidden="1" customWidth="1"/>
    <col min="16" max="16" width="12.6640625" hidden="1" customWidth="1"/>
    <col min="17" max="22" width="0" hidden="1" customWidth="1"/>
    <col min="23" max="16384" width="9.109375" hidden="1"/>
  </cols>
  <sheetData>
    <row r="1" spans="1:22" x14ac:dyDescent="0.3">
      <c r="A1" s="116"/>
      <c r="B1" s="179"/>
      <c r="P1" s="465" t="s">
        <v>323</v>
      </c>
    </row>
    <row r="2" spans="1:22" x14ac:dyDescent="0.3">
      <c r="A2" s="116"/>
      <c r="B2" s="179"/>
      <c r="P2" s="465"/>
    </row>
    <row r="3" spans="1:22" x14ac:dyDescent="0.3">
      <c r="A3" s="116"/>
      <c r="B3" s="179"/>
      <c r="P3" s="175">
        <v>0.55000000000000004</v>
      </c>
      <c r="Q3" s="467" t="s">
        <v>324</v>
      </c>
      <c r="R3" s="467"/>
      <c r="S3" s="467"/>
      <c r="T3" s="467"/>
      <c r="U3" s="467"/>
      <c r="V3" s="467"/>
    </row>
    <row r="4" spans="1:22" x14ac:dyDescent="0.3">
      <c r="A4" s="116" t="s">
        <v>281</v>
      </c>
      <c r="B4" s="179"/>
      <c r="P4" s="176">
        <v>0.61</v>
      </c>
      <c r="Q4" s="466" t="s">
        <v>325</v>
      </c>
      <c r="R4" s="466"/>
      <c r="S4" s="466"/>
      <c r="T4" s="466"/>
      <c r="U4" s="466"/>
      <c r="V4" s="466"/>
    </row>
    <row r="5" spans="1:22" x14ac:dyDescent="0.3">
      <c r="A5" s="174" t="str">
        <f>'Shop Recap'!$C$6</f>
        <v>UNC Carrington Hall Phase 2</v>
      </c>
      <c r="B5" s="180"/>
      <c r="P5" s="182"/>
      <c r="Q5" s="464" t="s">
        <v>332</v>
      </c>
      <c r="R5" s="464"/>
      <c r="S5" s="464"/>
    </row>
    <row r="6" spans="1:22" x14ac:dyDescent="0.3">
      <c r="A6" s="174" t="str">
        <f>'Shop Recap'!$C$10</f>
        <v>AGM: Condensate Drain (CD)</v>
      </c>
      <c r="B6" s="180"/>
      <c r="P6">
        <v>3</v>
      </c>
    </row>
    <row r="7" spans="1:22" x14ac:dyDescent="0.3">
      <c r="C7" s="137" t="s">
        <v>258</v>
      </c>
      <c r="D7" s="137" t="s">
        <v>259</v>
      </c>
      <c r="E7" s="137" t="s">
        <v>260</v>
      </c>
    </row>
    <row r="8" spans="1:22" x14ac:dyDescent="0.3">
      <c r="A8" t="s">
        <v>261</v>
      </c>
      <c r="C8" s="157">
        <f>IF(P6=1,'Shop Recap'!D79,IF(P6=2,'Shop Recap'!D34,0))</f>
        <v>0</v>
      </c>
      <c r="D8" s="158">
        <v>23</v>
      </c>
      <c r="E8" s="158">
        <f>C8*D8</f>
        <v>0</v>
      </c>
    </row>
    <row r="9" spans="1:22" x14ac:dyDescent="0.3">
      <c r="A9" t="s">
        <v>262</v>
      </c>
      <c r="C9" s="159"/>
      <c r="D9" s="158">
        <f>D8*0.5</f>
        <v>11.5</v>
      </c>
      <c r="E9" s="158">
        <f>C9*D9</f>
        <v>0</v>
      </c>
      <c r="P9" s="465" t="s">
        <v>326</v>
      </c>
    </row>
    <row r="10" spans="1:22" x14ac:dyDescent="0.3">
      <c r="A10" t="s">
        <v>263</v>
      </c>
      <c r="C10" s="160">
        <f>ROUND(C8*0.15,2)</f>
        <v>0</v>
      </c>
      <c r="D10" s="161">
        <v>41</v>
      </c>
      <c r="E10" s="161">
        <f>C10*D10</f>
        <v>0</v>
      </c>
      <c r="P10" s="465"/>
    </row>
    <row r="11" spans="1:22" x14ac:dyDescent="0.3">
      <c r="C11" s="157"/>
      <c r="D11" s="158"/>
      <c r="E11" s="158"/>
      <c r="P11" s="175">
        <v>0.45</v>
      </c>
      <c r="Q11" s="467" t="s">
        <v>327</v>
      </c>
      <c r="R11" s="467"/>
      <c r="S11" s="467"/>
      <c r="T11" s="467"/>
      <c r="U11" s="467"/>
      <c r="V11" s="467"/>
    </row>
    <row r="12" spans="1:22" x14ac:dyDescent="0.3">
      <c r="A12" t="s">
        <v>264</v>
      </c>
      <c r="C12" s="157">
        <f>C8+C10</f>
        <v>0</v>
      </c>
      <c r="D12" s="158">
        <f>IFERROR(E12/C12,0)</f>
        <v>0</v>
      </c>
      <c r="E12" s="158">
        <f>SUM(E8:E10)</f>
        <v>0</v>
      </c>
      <c r="P12" s="176">
        <v>0.75</v>
      </c>
      <c r="Q12" s="466" t="s">
        <v>328</v>
      </c>
      <c r="R12" s="466"/>
      <c r="S12" s="466"/>
      <c r="T12" s="466"/>
      <c r="U12" s="466"/>
      <c r="V12" s="466"/>
    </row>
    <row r="13" spans="1:22" x14ac:dyDescent="0.3">
      <c r="C13" s="157"/>
      <c r="P13" s="182"/>
      <c r="Q13" s="464" t="s">
        <v>332</v>
      </c>
      <c r="R13" s="464"/>
      <c r="S13" s="464"/>
    </row>
    <row r="14" spans="1:22" x14ac:dyDescent="0.3">
      <c r="A14" t="s">
        <v>265</v>
      </c>
      <c r="C14" s="157"/>
      <c r="D14" s="162">
        <f>IF(P14=1,P11,IF(P14=2,P12,0))</f>
        <v>0</v>
      </c>
      <c r="E14" s="156">
        <f>D14*E12</f>
        <v>0</v>
      </c>
      <c r="P14">
        <v>3</v>
      </c>
    </row>
    <row r="15" spans="1:22" x14ac:dyDescent="0.3">
      <c r="C15" s="157"/>
    </row>
    <row r="16" spans="1:22" x14ac:dyDescent="0.3">
      <c r="A16" t="s">
        <v>266</v>
      </c>
      <c r="C16" s="157"/>
      <c r="D16" s="158">
        <f>IF(P22=1,P19,IF(P22=2,P20,0))</f>
        <v>0</v>
      </c>
      <c r="E16" s="156">
        <f>IF(P22=1,(E12+E14)*D16,IF(P22=2,C12*D16,0))</f>
        <v>0</v>
      </c>
      <c r="H16" s="116" t="s">
        <v>267</v>
      </c>
    </row>
    <row r="17" spans="1:22" x14ac:dyDescent="0.3">
      <c r="C17" s="157"/>
      <c r="D17" s="177"/>
      <c r="F17" s="169" t="s">
        <v>282</v>
      </c>
      <c r="I17" s="137" t="s">
        <v>268</v>
      </c>
      <c r="J17" s="137" t="s">
        <v>259</v>
      </c>
      <c r="K17" s="137" t="s">
        <v>269</v>
      </c>
      <c r="P17" s="465" t="s">
        <v>329</v>
      </c>
    </row>
    <row r="18" spans="1:22" x14ac:dyDescent="0.3">
      <c r="A18" t="s">
        <v>270</v>
      </c>
      <c r="C18" s="157"/>
      <c r="E18" s="163">
        <v>0</v>
      </c>
      <c r="F18" s="163"/>
      <c r="H18" t="s">
        <v>271</v>
      </c>
      <c r="I18">
        <v>71</v>
      </c>
      <c r="J18" s="158">
        <f>K18/I18</f>
        <v>9.8591549295774641</v>
      </c>
      <c r="K18" s="158">
        <v>700</v>
      </c>
      <c r="P18" s="465"/>
    </row>
    <row r="19" spans="1:22" x14ac:dyDescent="0.3">
      <c r="C19" s="157"/>
      <c r="H19" t="s">
        <v>272</v>
      </c>
      <c r="I19">
        <v>128</v>
      </c>
      <c r="J19" s="158">
        <f>K19/I19</f>
        <v>6.25</v>
      </c>
      <c r="K19" s="158">
        <v>800</v>
      </c>
      <c r="P19" s="175">
        <v>0.05</v>
      </c>
      <c r="Q19" s="467" t="s">
        <v>330</v>
      </c>
      <c r="R19" s="467"/>
      <c r="S19" s="467"/>
      <c r="T19" s="467"/>
      <c r="U19" s="467"/>
      <c r="V19" s="467"/>
    </row>
    <row r="20" spans="1:22" x14ac:dyDescent="0.3">
      <c r="A20" t="s">
        <v>273</v>
      </c>
      <c r="C20" s="157"/>
      <c r="E20" s="163">
        <v>0</v>
      </c>
      <c r="F20" s="163"/>
      <c r="H20" t="s">
        <v>274</v>
      </c>
      <c r="I20">
        <v>183</v>
      </c>
      <c r="J20" s="158">
        <f>K20/I20</f>
        <v>4.6448087431693992</v>
      </c>
      <c r="K20" s="158">
        <v>850</v>
      </c>
      <c r="N20" s="156"/>
      <c r="P20" s="178">
        <v>19</v>
      </c>
      <c r="Q20" s="466" t="s">
        <v>331</v>
      </c>
      <c r="R20" s="466"/>
      <c r="S20" s="466"/>
      <c r="T20" s="466"/>
      <c r="U20" s="466"/>
      <c r="V20" s="466"/>
    </row>
    <row r="21" spans="1:22" x14ac:dyDescent="0.3">
      <c r="C21" s="157"/>
      <c r="H21" t="s">
        <v>275</v>
      </c>
      <c r="I21">
        <v>253</v>
      </c>
      <c r="J21" s="158">
        <f>K21/I21</f>
        <v>3.7549407114624507</v>
      </c>
      <c r="K21" s="158">
        <v>950</v>
      </c>
      <c r="N21" s="156"/>
      <c r="P21" s="182"/>
      <c r="Q21" s="464" t="s">
        <v>332</v>
      </c>
      <c r="R21" s="464"/>
      <c r="S21" s="464"/>
    </row>
    <row r="22" spans="1:22" x14ac:dyDescent="0.3">
      <c r="A22" t="s">
        <v>280</v>
      </c>
      <c r="C22" s="157"/>
      <c r="E22" s="163">
        <v>0</v>
      </c>
      <c r="F22" s="163"/>
      <c r="H22" t="s">
        <v>276</v>
      </c>
      <c r="I22" s="164"/>
      <c r="J22" s="158">
        <v>2.75</v>
      </c>
      <c r="K22" s="158">
        <f>I22*J22</f>
        <v>0</v>
      </c>
      <c r="P22">
        <v>3</v>
      </c>
    </row>
    <row r="23" spans="1:22" x14ac:dyDescent="0.3">
      <c r="C23" s="157"/>
      <c r="E23" s="165"/>
      <c r="H23" t="s">
        <v>277</v>
      </c>
      <c r="K23" s="166">
        <v>0</v>
      </c>
    </row>
    <row r="24" spans="1:22" x14ac:dyDescent="0.3">
      <c r="A24" t="s">
        <v>278</v>
      </c>
      <c r="C24" s="157"/>
      <c r="E24" s="156">
        <f>SUM(E11:E22)</f>
        <v>0</v>
      </c>
    </row>
    <row r="25" spans="1:22" x14ac:dyDescent="0.3">
      <c r="C25" s="157"/>
    </row>
    <row r="26" spans="1:22" x14ac:dyDescent="0.3">
      <c r="A26" t="s">
        <v>279</v>
      </c>
      <c r="C26" s="157"/>
      <c r="D26" s="170">
        <v>0</v>
      </c>
      <c r="E26" s="167">
        <f>D26*E24</f>
        <v>0</v>
      </c>
    </row>
    <row r="27" spans="1:22" x14ac:dyDescent="0.3">
      <c r="C27" s="157"/>
    </row>
    <row r="28" spans="1:22" ht="15" thickBot="1" x14ac:dyDescent="0.35">
      <c r="A28" t="s">
        <v>260</v>
      </c>
      <c r="C28" s="157"/>
      <c r="E28" s="168">
        <f>SUM(E24:E26)</f>
        <v>0</v>
      </c>
    </row>
  </sheetData>
  <mergeCells count="12">
    <mergeCell ref="Q21:S21"/>
    <mergeCell ref="P1:P2"/>
    <mergeCell ref="Q4:V4"/>
    <mergeCell ref="Q3:V3"/>
    <mergeCell ref="P9:P10"/>
    <mergeCell ref="Q11:V11"/>
    <mergeCell ref="Q12:V12"/>
    <mergeCell ref="P17:P18"/>
    <mergeCell ref="Q19:V19"/>
    <mergeCell ref="Q20:V20"/>
    <mergeCell ref="Q5:S5"/>
    <mergeCell ref="Q13:S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6</xdr:row>
                    <xdr:rowOff>182880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SELECTION">
                <anchor moveWithCells="1">
                  <from>
                    <xdr:col>1</xdr:col>
                    <xdr:colOff>731520</xdr:colOff>
                    <xdr:row>3</xdr:row>
                    <xdr:rowOff>0</xdr:rowOff>
                  </from>
                  <to>
                    <xdr:col>1</xdr:col>
                    <xdr:colOff>1623060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Y22"/>
  <sheetViews>
    <sheetView workbookViewId="0">
      <selection activeCell="C11" sqref="C11:F11"/>
    </sheetView>
  </sheetViews>
  <sheetFormatPr defaultColWidth="9.109375" defaultRowHeight="14.4" x14ac:dyDescent="0.3"/>
  <cols>
    <col min="1" max="1" width="26.6640625" bestFit="1" customWidth="1"/>
    <col min="2" max="2" width="11.6640625" customWidth="1"/>
    <col min="3" max="3" width="4.6640625" customWidth="1"/>
    <col min="4" max="14" width="12.33203125" customWidth="1"/>
    <col min="15" max="15" width="9.109375" customWidth="1"/>
    <col min="16" max="16" width="9.5546875" customWidth="1"/>
    <col min="17" max="17" width="12.6640625" customWidth="1"/>
    <col min="18" max="18" width="10.109375" customWidth="1"/>
    <col min="19" max="19" width="9.109375" customWidth="1"/>
    <col min="20" max="20" width="9.109375" hidden="1" customWidth="1"/>
    <col min="21" max="21" width="7.6640625" hidden="1" customWidth="1"/>
    <col min="22" max="25" width="9.109375" hidden="1" customWidth="1"/>
  </cols>
  <sheetData>
    <row r="1" spans="1:25" ht="15" thickBot="1" x14ac:dyDescent="0.35">
      <c r="A1" s="183" t="s">
        <v>305</v>
      </c>
      <c r="B1" s="183"/>
      <c r="C1" s="183"/>
      <c r="U1" s="184"/>
      <c r="W1" s="184"/>
      <c r="Y1" s="184"/>
    </row>
    <row r="2" spans="1:25" ht="15" thickBot="1" x14ac:dyDescent="0.35">
      <c r="A2" s="185" t="s">
        <v>317</v>
      </c>
      <c r="B2" s="185"/>
      <c r="C2" s="185"/>
      <c r="D2" s="186" t="s">
        <v>340</v>
      </c>
      <c r="E2" s="217">
        <v>42745</v>
      </c>
      <c r="F2" s="187">
        <f ca="1">WORKDAY(TODAY()+1,(D20+E20+F20+G20+H20+I20+J20+K20+L20+M20+N20)-1)</f>
        <v>46113</v>
      </c>
      <c r="G2" s="188" t="s">
        <v>339</v>
      </c>
      <c r="U2" s="184"/>
      <c r="W2" s="184"/>
      <c r="Y2" s="184"/>
    </row>
    <row r="3" spans="1:25" x14ac:dyDescent="0.3">
      <c r="T3" s="84">
        <f>'Shop Recap'!$C$108</f>
        <v>0</v>
      </c>
      <c r="U3" s="184">
        <f>T3/3</f>
        <v>0</v>
      </c>
      <c r="W3" s="184"/>
      <c r="Y3" s="184"/>
    </row>
    <row r="4" spans="1:25" ht="35.25" customHeight="1" x14ac:dyDescent="0.3">
      <c r="A4" s="189" t="s">
        <v>320</v>
      </c>
      <c r="B4" s="189" t="s">
        <v>321</v>
      </c>
      <c r="C4" s="190"/>
      <c r="D4" s="191" t="s">
        <v>313</v>
      </c>
      <c r="E4" s="191" t="s">
        <v>312</v>
      </c>
      <c r="F4" s="192" t="s">
        <v>136</v>
      </c>
      <c r="G4" s="193" t="s">
        <v>137</v>
      </c>
      <c r="H4" s="193" t="s">
        <v>314</v>
      </c>
      <c r="I4" s="194" t="s">
        <v>162</v>
      </c>
      <c r="J4" s="195" t="s">
        <v>21</v>
      </c>
      <c r="K4" s="196" t="s">
        <v>315</v>
      </c>
      <c r="L4" s="196" t="s">
        <v>316</v>
      </c>
      <c r="M4" s="191" t="s">
        <v>333</v>
      </c>
      <c r="N4" s="197" t="s">
        <v>334</v>
      </c>
      <c r="T4" s="198" t="s">
        <v>335</v>
      </c>
      <c r="U4" s="184">
        <f>SUM(U5:U13)</f>
        <v>0</v>
      </c>
      <c r="V4" s="199" t="s">
        <v>336</v>
      </c>
      <c r="W4" s="184">
        <f>SUM(W5:W13)</f>
        <v>0</v>
      </c>
      <c r="X4" s="198" t="s">
        <v>337</v>
      </c>
      <c r="Y4" s="184">
        <f>SUM(Y5:Y13)</f>
        <v>0</v>
      </c>
    </row>
    <row r="5" spans="1:25" x14ac:dyDescent="0.3">
      <c r="A5" s="226" t="s">
        <v>306</v>
      </c>
      <c r="B5" s="130">
        <v>0</v>
      </c>
      <c r="C5" s="200"/>
      <c r="D5" s="218">
        <f>IFERROR('Shop Recap'!C83/'PD WORKSHEET'!$B5,0)</f>
        <v>0</v>
      </c>
      <c r="E5" s="218">
        <f>IFERROR('Shop Recap'!I83/'PD WORKSHEET'!$B5,0)</f>
        <v>0</v>
      </c>
      <c r="F5" s="220">
        <f>IFERROR(('Shop Recap'!O83/'PD WORKSHEET'!$B5)+U5+Y5,0)</f>
        <v>0</v>
      </c>
      <c r="G5" s="221">
        <f>IFERROR(('Shop Recap'!C91/'PD WORKSHEET'!$B5)+W5,0)</f>
        <v>0</v>
      </c>
      <c r="H5" s="221">
        <f>IFERROR('Shop Recap'!I91/'PD WORKSHEET'!$B5,0)</f>
        <v>0</v>
      </c>
      <c r="I5" s="222">
        <f>IFERROR('Shop Recap'!O91/'PD WORKSHEET'!$B5,0)</f>
        <v>0</v>
      </c>
      <c r="J5" s="223">
        <f>IFERROR('Shop Recap'!C99/'PD WORKSHEET'!$B5,0)</f>
        <v>0</v>
      </c>
      <c r="K5" s="224">
        <f>IFERROR('Shop Recap'!I99/'PD WORKSHEET'!$B5,0)</f>
        <v>0</v>
      </c>
      <c r="L5" s="224"/>
      <c r="M5" s="218"/>
      <c r="N5" s="225"/>
      <c r="T5" s="205">
        <v>0.18</v>
      </c>
      <c r="U5" s="201">
        <f>IFERROR((('Shop Recap'!$C$108/3)/'PD WORKSHEET'!$B5)*'PD WORKSHEET'!T5,0)</f>
        <v>0</v>
      </c>
      <c r="V5" s="206">
        <v>0.09</v>
      </c>
      <c r="W5" s="207">
        <f>IFERROR((('Shop Recap'!$C$108/3)/'PD WORKSHEET'!$B5)*'PD WORKSHEET'!V5,0)</f>
        <v>0</v>
      </c>
      <c r="X5" s="208">
        <v>0.1</v>
      </c>
      <c r="Y5" s="201">
        <f>IFERROR((('Shop Recap'!$C$108/3)/'PD WORKSHEET'!$B5)*'PD WORKSHEET'!X5,0)</f>
        <v>0</v>
      </c>
    </row>
    <row r="6" spans="1:25" x14ac:dyDescent="0.3">
      <c r="A6" s="226" t="s">
        <v>341</v>
      </c>
      <c r="B6" s="130">
        <v>0</v>
      </c>
      <c r="C6" s="200"/>
      <c r="D6" s="218">
        <f>IFERROR(('Shop Recap'!C84/'PD WORKSHEET'!$B6)+('Shop Recap'!C85/'PD WORKSHEET'!$B6),0)</f>
        <v>0</v>
      </c>
      <c r="E6" s="218">
        <f>IFERROR(('Shop Recap'!I84/'PD WORKSHEET'!$B6)+('Shop Recap'!I85/'PD WORKSHEET'!$B6),0)</f>
        <v>0</v>
      </c>
      <c r="F6" s="220"/>
      <c r="G6" s="221"/>
      <c r="H6" s="221"/>
      <c r="I6" s="222"/>
      <c r="J6" s="223"/>
      <c r="K6" s="224"/>
      <c r="L6" s="224"/>
      <c r="M6" s="218"/>
      <c r="N6" s="225"/>
      <c r="T6" s="205">
        <v>0.12</v>
      </c>
      <c r="U6" s="201">
        <f>IFERROR((('Shop Recap'!C$108/3)/'PD WORKSHEET'!B6)*'PD WORKSHEET'!T6,0)</f>
        <v>0</v>
      </c>
      <c r="V6" s="206">
        <v>7.0000000000000007E-2</v>
      </c>
      <c r="W6" s="207">
        <f>IFERROR((('Shop Recap'!$C$108/3)/'PD WORKSHEET'!$B6)*'PD WORKSHEET'!V6,0)</f>
        <v>0</v>
      </c>
      <c r="Y6" s="209"/>
    </row>
    <row r="7" spans="1:25" x14ac:dyDescent="0.3">
      <c r="A7" s="226" t="s">
        <v>307</v>
      </c>
      <c r="B7" s="130">
        <v>0</v>
      </c>
      <c r="C7" s="200"/>
      <c r="D7" s="218">
        <f>IFERROR((0.33*('Shop Recap'!C87/'PD WORKSHEET'!$B7))+('Shop Recap'!O107/'PD WORKSHEET'!B7),0)</f>
        <v>0</v>
      </c>
      <c r="E7" s="218">
        <f>IFERROR(('Shop Recap'!I86/'PD WORKSHEET'!$B7)+('Shop Recap'!O108/'PD WORKSHEET'!B7),0)</f>
        <v>0</v>
      </c>
      <c r="F7" s="220"/>
      <c r="G7" s="221"/>
      <c r="H7" s="221"/>
      <c r="I7" s="222"/>
      <c r="J7" s="223"/>
      <c r="K7" s="224"/>
      <c r="L7" s="224"/>
      <c r="M7" s="218"/>
      <c r="N7" s="225"/>
      <c r="T7" s="214"/>
      <c r="U7" s="209"/>
      <c r="V7" s="214"/>
      <c r="W7" s="184"/>
      <c r="X7" s="214"/>
      <c r="Y7" s="209"/>
    </row>
    <row r="8" spans="1:25" x14ac:dyDescent="0.3">
      <c r="A8" s="226" t="s">
        <v>318</v>
      </c>
      <c r="B8" s="130">
        <v>0</v>
      </c>
      <c r="C8" s="200"/>
      <c r="D8" s="218">
        <f>IFERROR(0.67*('Shop Recap'!C87/'PD WORKSHEET'!$B8),0)</f>
        <v>0</v>
      </c>
      <c r="E8" s="219"/>
      <c r="F8" s="220"/>
      <c r="G8" s="221"/>
      <c r="H8" s="221"/>
      <c r="I8" s="222"/>
      <c r="J8" s="223"/>
      <c r="K8" s="224"/>
      <c r="L8" s="224"/>
      <c r="M8" s="218"/>
      <c r="N8" s="225"/>
      <c r="T8" s="214"/>
      <c r="U8" s="209"/>
      <c r="V8" s="214"/>
      <c r="W8" s="184"/>
      <c r="Y8" s="209"/>
    </row>
    <row r="9" spans="1:25" x14ac:dyDescent="0.3">
      <c r="A9" s="226" t="s">
        <v>342</v>
      </c>
      <c r="B9" s="130">
        <v>0</v>
      </c>
      <c r="C9" s="200"/>
      <c r="D9" s="218"/>
      <c r="E9" s="219"/>
      <c r="F9" s="220"/>
      <c r="G9" s="221"/>
      <c r="H9" s="221"/>
      <c r="I9" s="222"/>
      <c r="J9" s="223"/>
      <c r="K9" s="224">
        <f>IFERROR(('Shop Recap'!I100/'PD WORKSHEET'!$B9)+('Shop Recap'!I101/'PD WORKSHEET'!$B9),0)</f>
        <v>0</v>
      </c>
      <c r="L9" s="224"/>
      <c r="M9" s="218"/>
      <c r="N9" s="225"/>
      <c r="T9" s="214"/>
      <c r="U9" s="209"/>
      <c r="V9" s="214"/>
      <c r="W9" s="184"/>
      <c r="Y9" s="209"/>
    </row>
    <row r="10" spans="1:25" x14ac:dyDescent="0.3">
      <c r="A10" s="226" t="s">
        <v>319</v>
      </c>
      <c r="B10" s="130">
        <v>0</v>
      </c>
      <c r="C10" s="215"/>
      <c r="D10" s="218"/>
      <c r="E10" s="219"/>
      <c r="F10" s="220"/>
      <c r="G10" s="221"/>
      <c r="H10" s="221"/>
      <c r="I10" s="222"/>
      <c r="J10" s="223"/>
      <c r="K10" s="224">
        <f>'Shop Recap'!I102</f>
        <v>0</v>
      </c>
      <c r="L10" s="224"/>
      <c r="M10" s="218"/>
      <c r="N10" s="225"/>
      <c r="T10" s="214"/>
      <c r="U10" s="209"/>
      <c r="V10" s="214"/>
      <c r="W10" s="184"/>
      <c r="Y10" s="209"/>
    </row>
    <row r="11" spans="1:25" x14ac:dyDescent="0.3">
      <c r="A11" s="226" t="s">
        <v>343</v>
      </c>
      <c r="B11" s="130">
        <v>0</v>
      </c>
      <c r="C11" s="215"/>
      <c r="D11" s="218"/>
      <c r="E11" s="219"/>
      <c r="F11" s="220"/>
      <c r="G11" s="221">
        <f>IFERROR(('Shop Recap'!C92/'PD WORKSHEET'!$B11)+('Shop Recap'!C93/'PD WORKSHEET'!$B11)+W6,0)</f>
        <v>0</v>
      </c>
      <c r="H11" s="221">
        <f>IFERROR(('Shop Recap'!I92/'PD WORKSHEET'!$B11)+('Shop Recap'!I93/'PD WORKSHEET'!$B11),0)</f>
        <v>0</v>
      </c>
      <c r="I11" s="222"/>
      <c r="J11" s="223"/>
      <c r="K11" s="224"/>
      <c r="L11" s="224"/>
      <c r="M11" s="218"/>
      <c r="N11" s="225"/>
      <c r="T11" s="214"/>
      <c r="U11" s="209"/>
      <c r="V11" s="214"/>
      <c r="W11" s="184"/>
      <c r="Y11" s="209"/>
    </row>
    <row r="12" spans="1:25" x14ac:dyDescent="0.3">
      <c r="A12" s="226" t="s">
        <v>344</v>
      </c>
      <c r="B12" s="130">
        <v>0</v>
      </c>
      <c r="C12" s="215"/>
      <c r="D12" s="218"/>
      <c r="E12" s="219"/>
      <c r="F12" s="220">
        <f>IFERROR(('Shop Recap'!O84/'PD WORKSHEET'!$B12)+('Shop Recap'!O85/'PD WORKSHEET'!$B12)+U6,0)</f>
        <v>0</v>
      </c>
      <c r="G12" s="221"/>
      <c r="H12" s="221"/>
      <c r="I12" s="222">
        <f>IFERROR(('Shop Recap'!O92/'PD WORKSHEET'!$B12)+('Shop Recap'!O93/'PD WORKSHEET'!$B12),0)</f>
        <v>0</v>
      </c>
      <c r="J12" s="223">
        <f>IFERROR(('Shop Recap'!C100/'PD WORKSHEET'!$B12)+('Shop Recap'!C101/'PD WORKSHEET'!$B12),0)</f>
        <v>0</v>
      </c>
      <c r="K12" s="224"/>
      <c r="L12" s="224"/>
      <c r="M12" s="218"/>
      <c r="N12" s="225"/>
      <c r="T12" s="214"/>
      <c r="U12" s="209"/>
      <c r="V12" s="214"/>
      <c r="W12" s="184"/>
      <c r="Y12" s="209"/>
    </row>
    <row r="13" spans="1:25" x14ac:dyDescent="0.3">
      <c r="A13" s="226" t="s">
        <v>308</v>
      </c>
      <c r="B13" s="130">
        <v>0</v>
      </c>
      <c r="C13" s="215"/>
      <c r="D13" s="218"/>
      <c r="E13" s="218">
        <f>IFERROR(('Shop Recap'!I86/'PD WORKSHEET'!$B13)+('Shop Recap'!O108/'PD WORKSHEET'!B13),0)</f>
        <v>0</v>
      </c>
      <c r="F13" s="220">
        <f ca="1">IFERROR(('Shop Recap'!O86/'PD WORKSHEET'!$B13)+U13+Y13,0)</f>
        <v>0</v>
      </c>
      <c r="G13" s="221">
        <f>IFERROR(('Shop Recap'!C94/'PD WORKSHEET'!$B13)+('Shop Recap'!O106/'PD WORKSHEET'!B13)+W13,0)</f>
        <v>0</v>
      </c>
      <c r="H13" s="221"/>
      <c r="I13" s="222">
        <f>IFERROR('Shop Recap'!O94/'PD WORKSHEET'!$B13,0)</f>
        <v>0</v>
      </c>
      <c r="J13" s="223">
        <f>IFERROR('Shop Recap'!C102/'PD WORKSHEET'!$B13,0)</f>
        <v>0</v>
      </c>
      <c r="K13" s="224"/>
      <c r="L13" s="224"/>
      <c r="M13" s="218"/>
      <c r="N13" s="225"/>
      <c r="T13" s="205">
        <v>0.7</v>
      </c>
      <c r="U13" s="201">
        <f>IFERROR((('Shop Recap'!C$108/3)/'PD WORKSHEET'!B13)*'PD WORKSHEET'!T13,0)</f>
        <v>0</v>
      </c>
      <c r="V13" s="206">
        <v>0.84</v>
      </c>
      <c r="W13" s="207">
        <f>IFERROR((('Shop Recap'!$C$108/3)/'PD WORKSHEET'!$B13)*'PD WORKSHEET'!V13,0)</f>
        <v>0</v>
      </c>
      <c r="X13" s="205">
        <v>0.9</v>
      </c>
      <c r="Y13" s="201">
        <f>IFERROR((('Shop Recap'!$C$108/3)/'PD WORKSHEET'!$B13)*'PD WORKSHEET'!X13,0)</f>
        <v>0</v>
      </c>
    </row>
    <row r="14" spans="1:25" x14ac:dyDescent="0.3">
      <c r="A14" s="226" t="s">
        <v>309</v>
      </c>
      <c r="B14" s="130">
        <v>0</v>
      </c>
      <c r="C14" s="215"/>
      <c r="D14" s="218"/>
      <c r="E14" s="219"/>
      <c r="F14" s="220"/>
      <c r="G14" s="221"/>
      <c r="H14" s="221">
        <f>IFERROR('Shop Recap'!I94/'PD WORKSHEET'!$B14,0)</f>
        <v>0</v>
      </c>
      <c r="I14" s="222"/>
      <c r="J14" s="223"/>
      <c r="K14" s="224"/>
      <c r="L14" s="224"/>
      <c r="M14" s="218"/>
      <c r="N14" s="225"/>
      <c r="U14" s="184"/>
      <c r="W14" s="184"/>
      <c r="Y14" s="184"/>
    </row>
    <row r="15" spans="1:25" x14ac:dyDescent="0.3">
      <c r="A15" s="226" t="s">
        <v>310</v>
      </c>
      <c r="B15" s="130">
        <v>0</v>
      </c>
      <c r="C15" s="215"/>
      <c r="D15" s="218"/>
      <c r="E15" s="219"/>
      <c r="F15" s="220"/>
      <c r="G15" s="221"/>
      <c r="H15" s="221"/>
      <c r="I15" s="222"/>
      <c r="J15" s="223"/>
      <c r="K15" s="224"/>
      <c r="L15" s="224"/>
      <c r="M15" s="218">
        <f>IFERROR(('Shop Recap'!C106+'Shop Recap'!C107+'Shop Recap'!I106+'Shop Recap'!I107+'Shop Recap'!I108+'Shop Recap'!I109)/'PD WORKSHEET'!B15,0)</f>
        <v>0</v>
      </c>
      <c r="N15" s="225"/>
      <c r="P15" s="216"/>
      <c r="Q15" s="216"/>
      <c r="U15" s="184"/>
      <c r="W15" s="184"/>
      <c r="Y15" s="184"/>
    </row>
    <row r="16" spans="1:25" x14ac:dyDescent="0.3">
      <c r="A16" s="226" t="s">
        <v>311</v>
      </c>
      <c r="B16" s="130">
        <v>0</v>
      </c>
      <c r="C16" s="215"/>
      <c r="D16" s="218"/>
      <c r="E16" s="219"/>
      <c r="F16" s="220"/>
      <c r="G16" s="221"/>
      <c r="H16" s="221"/>
      <c r="I16" s="222"/>
      <c r="J16" s="223"/>
      <c r="K16" s="224"/>
      <c r="L16" s="224">
        <f>IFERROR(('Shop Recap'!O99/'PD WORKSHEET'!$B16)+('Shop Recap'!O100/'PD WORKSHEET'!$B16)+('Shop Recap'!O101/'PD WORKSHEET'!$B16)+('Shop Recap'!O102/'PD WORKSHEET'!$B16),0)</f>
        <v>0</v>
      </c>
      <c r="M16" s="218"/>
      <c r="N16" s="225"/>
      <c r="U16" s="184"/>
      <c r="W16" s="184"/>
      <c r="Y16" s="184"/>
    </row>
    <row r="17" spans="1:25" x14ac:dyDescent="0.3">
      <c r="A17" s="226" t="s">
        <v>322</v>
      </c>
      <c r="B17" s="130">
        <v>0</v>
      </c>
      <c r="D17" s="218"/>
      <c r="E17" s="219"/>
      <c r="F17" s="220"/>
      <c r="G17" s="221"/>
      <c r="H17" s="221"/>
      <c r="I17" s="222"/>
      <c r="J17" s="223"/>
      <c r="K17" s="224"/>
      <c r="L17" s="224"/>
      <c r="M17" s="218">
        <f>IFERROR('Shop Recap'!I110/'PD WORKSHEET'!B17,0)</f>
        <v>0</v>
      </c>
      <c r="N17" s="225"/>
      <c r="U17" s="184"/>
      <c r="W17" s="184"/>
      <c r="Y17" s="184"/>
    </row>
    <row r="18" spans="1:25" x14ac:dyDescent="0.3">
      <c r="A18" s="227" t="s">
        <v>334</v>
      </c>
      <c r="B18" s="130">
        <v>0</v>
      </c>
      <c r="D18" s="218"/>
      <c r="E18" s="219"/>
      <c r="F18" s="220"/>
      <c r="G18" s="221"/>
      <c r="H18" s="221"/>
      <c r="I18" s="222"/>
      <c r="J18" s="223"/>
      <c r="K18" s="224"/>
      <c r="L18" s="224"/>
      <c r="M18" s="218"/>
      <c r="N18" s="225">
        <f>IFERROR('Shop Recap'!C78/'PD WORKSHEET'!B18,0)</f>
        <v>0</v>
      </c>
      <c r="U18" s="184"/>
      <c r="W18" s="184"/>
      <c r="Y18" s="184"/>
    </row>
    <row r="19" spans="1:25" x14ac:dyDescent="0.3">
      <c r="E19" s="216"/>
      <c r="U19" s="184"/>
      <c r="W19" s="184"/>
      <c r="Y19" s="184"/>
    </row>
    <row r="20" spans="1:25" x14ac:dyDescent="0.3">
      <c r="A20" t="s">
        <v>338</v>
      </c>
      <c r="D20" s="216">
        <f>SUM(D5:D19)</f>
        <v>0</v>
      </c>
      <c r="E20" s="216">
        <f t="shared" ref="E20:N20" si="0">SUM(E5:E19)</f>
        <v>0</v>
      </c>
      <c r="F20" s="216">
        <f t="shared" ca="1" si="0"/>
        <v>0</v>
      </c>
      <c r="G20" s="216">
        <f t="shared" si="0"/>
        <v>0</v>
      </c>
      <c r="H20" s="216">
        <f t="shared" si="0"/>
        <v>0</v>
      </c>
      <c r="I20" s="216">
        <f t="shared" si="0"/>
        <v>0</v>
      </c>
      <c r="J20" s="216">
        <f t="shared" si="0"/>
        <v>0</v>
      </c>
      <c r="K20" s="216">
        <f t="shared" si="0"/>
        <v>0</v>
      </c>
      <c r="L20" s="216">
        <f>SUM(L5:L19)</f>
        <v>0</v>
      </c>
      <c r="M20" s="216">
        <f t="shared" si="0"/>
        <v>0</v>
      </c>
      <c r="N20" s="216">
        <f t="shared" si="0"/>
        <v>0</v>
      </c>
      <c r="U20" s="184"/>
      <c r="W20" s="184"/>
      <c r="Y20" s="184"/>
    </row>
    <row r="21" spans="1:25" x14ac:dyDescent="0.3">
      <c r="A21" t="s">
        <v>323</v>
      </c>
      <c r="B21" s="216"/>
      <c r="D21" s="203">
        <f>'Shop Recap'!$C$88+'Shop Recap'!$O$107</f>
        <v>1.9250000000000003E-2</v>
      </c>
      <c r="E21" s="203">
        <f>'Shop Recap'!I87+'Shop Recap'!O108</f>
        <v>2.3375000000000003E-2</v>
      </c>
      <c r="F21" s="210">
        <f ca="1">'Shop Recap'!O87+'PD WORKSHEET'!U5+'PD WORKSHEET'!U6+'PD WORKSHEET'!U13+'PD WORKSHEET'!Y5+'PD WORKSHEET'!Y13</f>
        <v>0</v>
      </c>
      <c r="G21" s="211">
        <f>'Shop Recap'!C95+'PD WORKSHEET'!W5+'Shop Recap'!O106+'PD WORKSHEET'!W6+'PD WORKSHEET'!W13</f>
        <v>2.1976796875</v>
      </c>
      <c r="H21" s="211">
        <f>'Shop Recap'!I95</f>
        <v>0</v>
      </c>
      <c r="I21" s="212">
        <f>'Shop Recap'!O95</f>
        <v>0</v>
      </c>
      <c r="J21" s="213">
        <f>'Shop Recap'!C103</f>
        <v>0</v>
      </c>
      <c r="K21" s="202">
        <f>'Shop Recap'!I103</f>
        <v>0</v>
      </c>
      <c r="L21" s="202">
        <f>'Shop Recap'!O103</f>
        <v>0</v>
      </c>
      <c r="M21" s="203">
        <f>'Shop Recap'!C106+'Shop Recap'!C107+'Shop Recap'!I111</f>
        <v>0</v>
      </c>
      <c r="N21" s="204">
        <f>'Shop Recap'!C78</f>
        <v>0</v>
      </c>
      <c r="U21" s="184"/>
      <c r="W21" s="184"/>
      <c r="Y21" s="184"/>
    </row>
    <row r="22" spans="1:25" x14ac:dyDescent="0.3">
      <c r="D22" s="216">
        <f>(D5*B5)+(D6*B6)+(D7*B7)+(D8*B8)</f>
        <v>0</v>
      </c>
      <c r="E22" s="216">
        <f>(E5*B5)+(E6*B6)+(E7*B7)+(E13*B13)</f>
        <v>0</v>
      </c>
      <c r="F22" s="216">
        <f ca="1">(F5*B5)+(F12*B12)+(F13*B13)</f>
        <v>0</v>
      </c>
      <c r="G22" s="216">
        <f>(G5*B5)+(G11*B11)+(G13*B13)</f>
        <v>0</v>
      </c>
      <c r="H22" s="216">
        <f>(H5*B5)+(H11*B11)+(H14*B14)</f>
        <v>0</v>
      </c>
      <c r="I22" s="216">
        <f>(I5*B5)+(I12*B12)+(I13)</f>
        <v>0</v>
      </c>
      <c r="J22" s="216">
        <f>(J5*B5)+(J12*B12)+(J13*B13)</f>
        <v>0</v>
      </c>
      <c r="K22" s="216">
        <f>(K5*B5)+(K9*B9)+(K10*B10)</f>
        <v>0</v>
      </c>
      <c r="L22" s="216">
        <f>L16*B16</f>
        <v>0</v>
      </c>
      <c r="M22" s="216">
        <f>(M13*B13)+(M14*B14)+(M15*B15)+(M17*B17)</f>
        <v>0</v>
      </c>
      <c r="N22" s="216">
        <f>N18*B18</f>
        <v>0</v>
      </c>
      <c r="U22" s="184"/>
      <c r="W22" s="184"/>
      <c r="Y22" s="184"/>
    </row>
  </sheetData>
  <sheetProtection password="CF07" sheet="1" objects="1" scenarios="1"/>
  <conditionalFormatting sqref="D5">
    <cfRule type="expression" dxfId="1242" priority="69">
      <formula>AND($B$5&gt;0,$D$5&gt;0)</formula>
    </cfRule>
  </conditionalFormatting>
  <conditionalFormatting sqref="D6">
    <cfRule type="expression" dxfId="1241" priority="67">
      <formula>AND($B$6&gt;0,$D$6&gt;0)</formula>
    </cfRule>
  </conditionalFormatting>
  <conditionalFormatting sqref="D7">
    <cfRule type="expression" dxfId="1240" priority="65">
      <formula>AND($B$7&gt;0,$D$7&gt;0)</formula>
    </cfRule>
  </conditionalFormatting>
  <conditionalFormatting sqref="D8">
    <cfRule type="expression" dxfId="1239" priority="63">
      <formula>AND($B$8&gt;0,$D$8&gt;0)</formula>
    </cfRule>
  </conditionalFormatting>
  <conditionalFormatting sqref="E5">
    <cfRule type="expression" dxfId="1238" priority="61">
      <formula>AND($B$5&gt;0,$E$5&gt;0)</formula>
    </cfRule>
  </conditionalFormatting>
  <conditionalFormatting sqref="E6">
    <cfRule type="expression" dxfId="1237" priority="59">
      <formula>AND($B$6&gt;0,$E$6&gt;0)</formula>
    </cfRule>
  </conditionalFormatting>
  <conditionalFormatting sqref="E7">
    <cfRule type="expression" dxfId="1236" priority="57">
      <formula>AND($B$7&gt;0,$E$7&gt;0)</formula>
    </cfRule>
  </conditionalFormatting>
  <conditionalFormatting sqref="E13">
    <cfRule type="expression" dxfId="1235" priority="55">
      <formula>AND($B$13&gt;0,$E$13&gt;0)</formula>
    </cfRule>
  </conditionalFormatting>
  <conditionalFormatting sqref="F2">
    <cfRule type="expression" dxfId="1234" priority="2">
      <formula>$F$2&gt;$E$2</formula>
    </cfRule>
  </conditionalFormatting>
  <conditionalFormatting sqref="F5">
    <cfRule type="expression" dxfId="1233" priority="53">
      <formula>AND($B$5&gt;0,$F$5&gt;0)</formula>
    </cfRule>
  </conditionalFormatting>
  <conditionalFormatting sqref="F12">
    <cfRule type="expression" dxfId="1232" priority="51">
      <formula>AND($B$12&gt;0,$F$12&gt;0)</formula>
    </cfRule>
  </conditionalFormatting>
  <conditionalFormatting sqref="F13">
    <cfRule type="expression" dxfId="1231" priority="49">
      <formula>AND($B$13&gt;0,$F$13&gt;0)</formula>
    </cfRule>
  </conditionalFormatting>
  <conditionalFormatting sqref="F2:G2">
    <cfRule type="expression" dxfId="1230" priority="1">
      <formula>$F$2&lt;$E$2</formula>
    </cfRule>
  </conditionalFormatting>
  <conditionalFormatting sqref="G5">
    <cfRule type="expression" dxfId="1229" priority="47">
      <formula>AND($B$5&gt;0,$G$5&gt;0)</formula>
    </cfRule>
  </conditionalFormatting>
  <conditionalFormatting sqref="G11">
    <cfRule type="expression" dxfId="1228" priority="45">
      <formula>AND($B$11&gt;0,$G$11&gt;0)</formula>
    </cfRule>
  </conditionalFormatting>
  <conditionalFormatting sqref="G13">
    <cfRule type="expression" dxfId="1227" priority="43">
      <formula>AND($B$13&gt;0,$G$13&gt;0)</formula>
    </cfRule>
  </conditionalFormatting>
  <conditionalFormatting sqref="H5">
    <cfRule type="expression" dxfId="1226" priority="41">
      <formula>AND($B$5&gt;0,$H$5&gt;0)</formula>
    </cfRule>
  </conditionalFormatting>
  <conditionalFormatting sqref="H11">
    <cfRule type="expression" dxfId="1225" priority="39">
      <formula>AND($B$11&gt;0,$H$11&gt;0)</formula>
    </cfRule>
  </conditionalFormatting>
  <conditionalFormatting sqref="H14">
    <cfRule type="expression" dxfId="1224" priority="31">
      <formula>AND($B$14&gt;0,$H$14&gt;0)</formula>
    </cfRule>
  </conditionalFormatting>
  <conditionalFormatting sqref="I5">
    <cfRule type="expression" dxfId="1223" priority="35">
      <formula>AND($B$5&gt;0,$I$5&gt;0)</formula>
    </cfRule>
  </conditionalFormatting>
  <conditionalFormatting sqref="I12">
    <cfRule type="expression" dxfId="1222" priority="33">
      <formula>AND($B$12&gt;0,$I$12&gt;0)</formula>
    </cfRule>
  </conditionalFormatting>
  <conditionalFormatting sqref="I13">
    <cfRule type="expression" dxfId="1221" priority="29">
      <formula>AND($B$13&gt;0,$I$13&gt;0)</formula>
    </cfRule>
  </conditionalFormatting>
  <conditionalFormatting sqref="J5">
    <cfRule type="expression" dxfId="1220" priority="27">
      <formula>AND($B$5&gt;0,$J$5&gt;0)</formula>
    </cfRule>
  </conditionalFormatting>
  <conditionalFormatting sqref="J12">
    <cfRule type="expression" dxfId="1219" priority="25">
      <formula>AND($B$12&gt;0,$J$12&gt;0)</formula>
    </cfRule>
  </conditionalFormatting>
  <conditionalFormatting sqref="J13">
    <cfRule type="expression" dxfId="1218" priority="23">
      <formula>AND($B$13&gt;0,$J$13&gt;0)</formula>
    </cfRule>
  </conditionalFormatting>
  <conditionalFormatting sqref="K5">
    <cfRule type="expression" dxfId="1217" priority="21">
      <formula>AND($B$5&gt;0,$K$5&gt;0)</formula>
    </cfRule>
  </conditionalFormatting>
  <conditionalFormatting sqref="K9">
    <cfRule type="expression" dxfId="1216" priority="19">
      <formula>AND($B$9&gt;0,$K$9&gt;0)</formula>
    </cfRule>
  </conditionalFormatting>
  <conditionalFormatting sqref="K10">
    <cfRule type="expression" dxfId="1215" priority="17">
      <formula>AND($B$10&gt;0,$K$10&gt;0)</formula>
    </cfRule>
  </conditionalFormatting>
  <conditionalFormatting sqref="L16">
    <cfRule type="expression" dxfId="1214" priority="15">
      <formula>AND($B$16&gt;0,$L$16&gt;0)</formula>
    </cfRule>
  </conditionalFormatting>
  <conditionalFormatting sqref="M15">
    <cfRule type="expression" dxfId="1213" priority="7">
      <formula>AND($B$15&gt;0,$M$15&gt;0)</formula>
    </cfRule>
  </conditionalFormatting>
  <conditionalFormatting sqref="M17">
    <cfRule type="expression" dxfId="1212" priority="5">
      <formula>AND($B$17&gt;0,$M$17&gt;0)</formula>
    </cfRule>
  </conditionalFormatting>
  <conditionalFormatting sqref="N18">
    <cfRule type="expression" dxfId="1211" priority="3">
      <formula>AND($B$18&gt;0,$N$18&gt;0)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QTY">
                <anchor moveWithCells="1" sizeWithCells="1">
                  <from>
                    <xdr:col>0</xdr:col>
                    <xdr:colOff>998220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0DD4516A-AA8C-49F6-95EC-2595F9B31E4B}">
            <xm:f>'Shop Recap'!$C$83&gt;0</xm:f>
            <x14:dxf>
              <font>
                <color rgb="FFFF0000"/>
              </font>
              <fill>
                <patternFill patternType="solid">
                  <fgColor auto="1"/>
                  <bgColor rgb="FFFF000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8" id="{A1791CB3-B134-413F-9169-EB7FFE9AC102}">
            <xm:f>OR('Shop Recap'!$C$84&gt;0,'Shop Recap'!$C$85&gt;0)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0" id="{4B846C13-596C-47A4-94C3-773E9A92F821}">
            <xm:f>OR('Shop Recap'!$C$87&gt;0,'Shop Recap'!$O$107&gt;0)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64" id="{EE4F52E0-4FF6-448A-A993-005DDFCFB181}">
            <xm:f>'Shop Recap'!$C$87&gt;0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2" id="{7E7D0B72-4C4E-4D3F-A2D1-2F7F53BAED4B}">
            <xm:f>'Shop Recap'!$I$83&gt;0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0" id="{8E042944-3963-4DC3-895D-F45648A0352F}">
            <xm:f>OR('Shop Recap'!$I$84&gt;0,'Shop Recap'!$I$85&gt;0)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58" id="{4B73717D-3E8A-4AB8-BE88-02BDE017D794}">
            <xm:f>'Shop Recap'!$I$86&gt;0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56" id="{32B6DF4A-B382-4D38-B2D7-748507703C6E}">
            <xm:f>OR('Shop Recap'!$I$86&gt;0,'Shop Recap'!$O$108&gt;0)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4" id="{91D4BAA0-C2A4-4D2E-8B42-A3748FD2D59D}">
            <xm:f>OR('Shop Recap'!$O$83&gt;0,$U$5&gt;0,$Y$5&gt;0)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52" id="{9362A899-2FE1-4012-A542-B71D4245D671}">
            <xm:f>OR('Shop Recap'!$O$84&gt;0,$U$6&gt;0)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0" id="{EE1875D7-BBF1-4827-A378-9435F6A85BF1}">
            <xm:f>OR('Shop Recap'!$O$86&gt;0,$U$13&gt;0,$Y$13&gt;0)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8FDF6062-6244-4C61-A3D8-26497EDB6969}">
            <xm:f>OR('Shop Recap'!$C$91&gt;0,$W$5&gt;0)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46" id="{45F8B90D-44E1-4C1E-9069-557C5B69A196}">
            <xm:f>OR('Shop Recap'!$C$92&gt;0,'Shop Recap'!$C$93&gt;0,$W$6&gt;0)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1" id="{B0DD516A-5188-43D7-9F2F-2B81FC16F520}">
            <xm:f>OR('Shop Recap'!$C$94&gt;0,'Shop Recap'!$O$106&gt;0,$W$13&gt;0)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42" id="{808A7AD1-5657-4706-95A3-D00B0347A407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0" id="{EBC9C53F-F835-4E8B-A2BC-766A07F5C070}">
            <xm:f>OR('Shop Recap'!$I$92&gt;0,'Shop Recap'!$I$93&gt;0)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2" id="{C406AE1D-37B9-45EB-BC13-19CFFB478294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6" id="{F1E2CB88-8A82-417D-970C-C057E5F28883}">
            <xm:f>'Shop Recap'!$O$91&gt;0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4" id="{F843CC42-EC97-42B2-A8D2-265FD490B940}">
            <xm:f>OR('Shop Recap'!$O$92&gt;0,'Shop Recap'!$O$93&gt;0)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30" id="{436A0C8B-61B3-4662-A240-C0C2003BB646}">
            <xm:f>'Shop Recap'!$O$94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8" id="{1907C179-57A3-47EF-9524-D78EC8D2E355}">
            <xm:f>'Shop Recap'!$C$99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26" id="{4DA32E8D-DB88-416D-AA7A-4848C2E177BC}">
            <xm:f>OR('Shop Recap'!$C$100&gt;0,'Shop Recap'!$C$101&gt;0)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24" id="{6C07F836-8415-4686-B7F9-60DDBAE96292}">
            <xm:f>'Shop Recap'!$C$102&gt;0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22" id="{78CBE73E-D78D-4867-9FB7-C3D1D390C7B3}">
            <xm:f>'Shop Recap'!$I$99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0" id="{1015D067-DCE8-4CCF-BFD1-2D1C17F350FC}">
            <xm:f>OR('Shop Recap'!$I$100&gt;0,'Shop Recap'!$I$101&gt;0)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18" id="{389AE983-7F64-4F6F-AECD-45D63CBB24B2}">
            <xm:f>'Shop Recap'!$I$102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expression" priority="16" id="{2EA685A5-7B18-4D85-B893-883330F0DA62}">
            <xm:f>OR('Shop Recap'!$O$99&gt;0,'Shop Recap'!$O$100&gt;0,'Shop Recap'!$O$101&gt;0,'Shop Recap'!$O$102&gt;0)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82" id="{42777BF7-7DD1-4B5E-B448-7EDC85946DCA}">
            <xm:f>OR('Shop Recap'!$C$106&gt;0,'Shop Recap'!$C$107&gt;0,'Shop Recap'!$I$106&gt;0,'Shop Recap'!$I$107&gt;0,'Shop Recap'!$I$108&gt;0,'Shop Recap'!$I$109&gt;0)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6" id="{DF211688-3505-4FB4-9DB9-EC8F0DE3D55F}">
            <xm:f>'Shop Recap'!$I$110&gt;0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4" id="{E5A87B9D-49D9-4198-B56F-263EAB16888F}">
            <xm:f>'Shop Recap'!$C$33&gt;0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46DB-CD69-470D-867A-C08380DBDEDB}">
  <sheetPr codeName="Sheet6"/>
  <dimension ref="A1:BQ1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5.77734375" bestFit="1" customWidth="1"/>
    <col min="2" max="2" width="25.44140625" bestFit="1" customWidth="1"/>
    <col min="3" max="3" width="36" bestFit="1" customWidth="1"/>
    <col min="4" max="4" width="11.21875" bestFit="1" customWidth="1"/>
    <col min="5" max="5" width="7.21875" bestFit="1" customWidth="1"/>
    <col min="6" max="6" width="16.88671875" bestFit="1" customWidth="1"/>
    <col min="7" max="7" width="11.21875" bestFit="1" customWidth="1"/>
    <col min="8" max="8" width="13.21875" bestFit="1" customWidth="1"/>
    <col min="9" max="9" width="11.33203125" bestFit="1" customWidth="1"/>
    <col min="10" max="10" width="9.44140625" bestFit="1" customWidth="1"/>
    <col min="11" max="11" width="13.33203125" bestFit="1" customWidth="1"/>
    <col min="12" max="12" width="14" bestFit="1" customWidth="1"/>
    <col min="13" max="13" width="26.109375" bestFit="1" customWidth="1"/>
    <col min="14" max="14" width="19" bestFit="1" customWidth="1"/>
    <col min="15" max="15" width="16" bestFit="1" customWidth="1"/>
    <col min="16" max="16" width="45.5546875" bestFit="1" customWidth="1"/>
    <col min="17" max="17" width="17.44140625" bestFit="1" customWidth="1"/>
    <col min="18" max="18" width="7.33203125" bestFit="1" customWidth="1"/>
    <col min="19" max="19" width="15.109375" bestFit="1" customWidth="1"/>
    <col min="20" max="20" width="16.5546875" bestFit="1" customWidth="1"/>
    <col min="21" max="21" width="15" bestFit="1" customWidth="1"/>
    <col min="22" max="22" width="22.44140625" bestFit="1" customWidth="1"/>
    <col min="23" max="23" width="12.109375" bestFit="1" customWidth="1"/>
    <col min="24" max="24" width="11.5546875" bestFit="1" customWidth="1"/>
    <col min="25" max="25" width="15.77734375" bestFit="1" customWidth="1"/>
    <col min="26" max="26" width="13.44140625" bestFit="1" customWidth="1"/>
    <col min="27" max="27" width="15" bestFit="1" customWidth="1"/>
    <col min="28" max="28" width="10.44140625" bestFit="1" customWidth="1"/>
    <col min="29" max="29" width="16" bestFit="1" customWidth="1"/>
    <col min="30" max="30" width="19.5546875" bestFit="1" customWidth="1"/>
    <col min="31" max="31" width="12.21875" bestFit="1" customWidth="1"/>
    <col min="32" max="32" width="15.77734375" bestFit="1" customWidth="1"/>
    <col min="33" max="33" width="10.6640625" bestFit="1" customWidth="1"/>
    <col min="34" max="34" width="28.44140625" bestFit="1" customWidth="1"/>
    <col min="35" max="35" width="20.44140625" bestFit="1" customWidth="1"/>
    <col min="36" max="36" width="13.5546875" bestFit="1" customWidth="1"/>
    <col min="37" max="37" width="19.109375" bestFit="1" customWidth="1"/>
    <col min="38" max="38" width="13.88671875" bestFit="1" customWidth="1"/>
    <col min="39" max="39" width="20.6640625" bestFit="1" customWidth="1"/>
    <col min="40" max="40" width="14.6640625" bestFit="1" customWidth="1"/>
    <col min="41" max="41" width="7.6640625" bestFit="1" customWidth="1"/>
    <col min="42" max="42" width="9.5546875" bestFit="1" customWidth="1"/>
    <col min="43" max="43" width="11.6640625" bestFit="1" customWidth="1"/>
    <col min="44" max="44" width="23.77734375" bestFit="1" customWidth="1"/>
    <col min="45" max="45" width="11" bestFit="1" customWidth="1"/>
    <col min="46" max="46" width="23.77734375" bestFit="1" customWidth="1"/>
    <col min="47" max="47" width="15.109375" bestFit="1" customWidth="1"/>
    <col min="48" max="48" width="17.88671875" bestFit="1" customWidth="1"/>
    <col min="49" max="49" width="15.109375" bestFit="1" customWidth="1"/>
    <col min="50" max="50" width="20.109375" bestFit="1" customWidth="1"/>
    <col min="51" max="51" width="17.109375" bestFit="1" customWidth="1"/>
    <col min="52" max="52" width="12.77734375" bestFit="1" customWidth="1"/>
    <col min="53" max="53" width="17.77734375" bestFit="1" customWidth="1"/>
    <col min="54" max="55" width="39.6640625" bestFit="1" customWidth="1"/>
    <col min="56" max="56" width="22.88671875" bestFit="1" customWidth="1"/>
    <col min="57" max="60" width="14.6640625" bestFit="1" customWidth="1"/>
    <col min="61" max="61" width="14.6640625" customWidth="1"/>
    <col min="62" max="62" width="10.77734375" bestFit="1" customWidth="1"/>
    <col min="63" max="69" width="5.21875" bestFit="1" customWidth="1"/>
    <col min="70" max="78" width="9.88671875" bestFit="1" customWidth="1"/>
  </cols>
  <sheetData>
    <row r="1" spans="1:69" x14ac:dyDescent="0.3">
      <c r="A1" t="s">
        <v>486</v>
      </c>
      <c r="B1" t="s">
        <v>463</v>
      </c>
      <c r="C1" t="s">
        <v>487</v>
      </c>
      <c r="D1" t="s">
        <v>488</v>
      </c>
      <c r="E1" t="s">
        <v>489</v>
      </c>
      <c r="F1" t="s">
        <v>464</v>
      </c>
      <c r="G1" t="s">
        <v>490</v>
      </c>
      <c r="H1" t="s">
        <v>465</v>
      </c>
      <c r="I1" t="s">
        <v>491</v>
      </c>
      <c r="J1" t="s">
        <v>381</v>
      </c>
      <c r="K1" t="s">
        <v>452</v>
      </c>
      <c r="L1" t="s">
        <v>382</v>
      </c>
      <c r="M1" t="s">
        <v>383</v>
      </c>
      <c r="N1" t="s">
        <v>492</v>
      </c>
      <c r="O1" t="s">
        <v>493</v>
      </c>
      <c r="P1" t="s">
        <v>384</v>
      </c>
      <c r="Q1" t="s">
        <v>494</v>
      </c>
      <c r="R1" t="s">
        <v>495</v>
      </c>
      <c r="S1" t="s">
        <v>496</v>
      </c>
      <c r="T1" t="s">
        <v>497</v>
      </c>
      <c r="U1" t="s">
        <v>385</v>
      </c>
      <c r="V1" t="s">
        <v>498</v>
      </c>
      <c r="W1" t="s">
        <v>386</v>
      </c>
      <c r="X1" t="s">
        <v>499</v>
      </c>
      <c r="Y1" t="s">
        <v>451</v>
      </c>
      <c r="Z1" t="s">
        <v>387</v>
      </c>
      <c r="AA1" t="s">
        <v>500</v>
      </c>
      <c r="AB1" t="s">
        <v>501</v>
      </c>
      <c r="AC1" t="s">
        <v>502</v>
      </c>
      <c r="AD1" t="s">
        <v>503</v>
      </c>
      <c r="AE1" t="s">
        <v>504</v>
      </c>
      <c r="AF1" t="s">
        <v>505</v>
      </c>
      <c r="AG1" t="s">
        <v>506</v>
      </c>
      <c r="AH1" t="s">
        <v>507</v>
      </c>
      <c r="AI1" t="s">
        <v>508</v>
      </c>
      <c r="AJ1" t="s">
        <v>509</v>
      </c>
      <c r="AK1" t="s">
        <v>510</v>
      </c>
      <c r="AL1" t="s">
        <v>511</v>
      </c>
      <c r="AM1" t="s">
        <v>466</v>
      </c>
      <c r="AN1" t="s">
        <v>512</v>
      </c>
      <c r="AO1" t="s">
        <v>513</v>
      </c>
      <c r="AP1" t="s">
        <v>514</v>
      </c>
      <c r="AQ1" t="s">
        <v>515</v>
      </c>
      <c r="AR1" t="s">
        <v>516</v>
      </c>
      <c r="AS1" t="s">
        <v>517</v>
      </c>
      <c r="AT1" t="s">
        <v>518</v>
      </c>
      <c r="AU1" t="s">
        <v>519</v>
      </c>
      <c r="AV1" t="s">
        <v>520</v>
      </c>
      <c r="AW1" t="s">
        <v>521</v>
      </c>
      <c r="AX1" t="s">
        <v>522</v>
      </c>
      <c r="AY1" t="s">
        <v>523</v>
      </c>
      <c r="AZ1" t="s">
        <v>524</v>
      </c>
      <c r="BA1" t="s">
        <v>525</v>
      </c>
      <c r="BB1" t="s">
        <v>378</v>
      </c>
      <c r="BC1" t="s">
        <v>379</v>
      </c>
      <c r="BD1" t="s">
        <v>388</v>
      </c>
      <c r="BE1" t="s">
        <v>526</v>
      </c>
      <c r="BF1" t="s">
        <v>527</v>
      </c>
      <c r="BG1" t="s">
        <v>528</v>
      </c>
      <c r="BH1" t="s">
        <v>529</v>
      </c>
      <c r="BI1" t="s">
        <v>530</v>
      </c>
      <c r="BJ1" t="s">
        <v>485</v>
      </c>
      <c r="BK1" t="s">
        <v>531</v>
      </c>
      <c r="BL1" t="s">
        <v>532</v>
      </c>
      <c r="BM1" t="s">
        <v>533</v>
      </c>
      <c r="BN1" t="s">
        <v>534</v>
      </c>
      <c r="BO1" t="s">
        <v>535</v>
      </c>
      <c r="BP1" t="s">
        <v>536</v>
      </c>
      <c r="BQ1" t="s">
        <v>537</v>
      </c>
    </row>
    <row r="2" spans="1:69" x14ac:dyDescent="0.3">
      <c r="A2" t="s">
        <v>538</v>
      </c>
      <c r="B2" t="s">
        <v>539</v>
      </c>
      <c r="C2" t="s">
        <v>540</v>
      </c>
      <c r="D2" t="s">
        <v>541</v>
      </c>
      <c r="E2" t="s">
        <v>542</v>
      </c>
      <c r="F2" t="s">
        <v>543</v>
      </c>
      <c r="G2" t="s">
        <v>544</v>
      </c>
      <c r="H2" s="453"/>
      <c r="I2" t="s">
        <v>544</v>
      </c>
      <c r="J2">
        <v>2041</v>
      </c>
      <c r="K2" t="s">
        <v>545</v>
      </c>
      <c r="L2" t="s">
        <v>546</v>
      </c>
      <c r="M2" t="s">
        <v>547</v>
      </c>
      <c r="N2" t="s">
        <v>548</v>
      </c>
      <c r="O2" t="s">
        <v>544</v>
      </c>
      <c r="P2" t="s">
        <v>549</v>
      </c>
      <c r="Q2" t="s">
        <v>550</v>
      </c>
      <c r="R2" t="s">
        <v>544</v>
      </c>
      <c r="S2" t="s">
        <v>551</v>
      </c>
      <c r="T2" t="s">
        <v>552</v>
      </c>
      <c r="U2" t="s">
        <v>553</v>
      </c>
      <c r="V2" t="s">
        <v>554</v>
      </c>
      <c r="W2" t="s">
        <v>374</v>
      </c>
      <c r="X2">
        <v>1.5</v>
      </c>
      <c r="Y2" t="s">
        <v>472</v>
      </c>
      <c r="Z2">
        <v>1.5</v>
      </c>
      <c r="AA2" t="s">
        <v>544</v>
      </c>
      <c r="AB2" t="s">
        <v>544</v>
      </c>
      <c r="AC2" t="s">
        <v>544</v>
      </c>
      <c r="AD2" t="s">
        <v>544</v>
      </c>
      <c r="AE2" t="s">
        <v>555</v>
      </c>
      <c r="AF2">
        <v>14.375299999999999</v>
      </c>
      <c r="AG2">
        <v>1</v>
      </c>
      <c r="AH2" t="s">
        <v>544</v>
      </c>
      <c r="AI2" t="s">
        <v>544</v>
      </c>
      <c r="AJ2" t="s">
        <v>556</v>
      </c>
      <c r="AK2" t="s">
        <v>556</v>
      </c>
      <c r="AL2" t="s">
        <v>557</v>
      </c>
      <c r="AM2" t="s">
        <v>558</v>
      </c>
      <c r="AN2" t="s">
        <v>389</v>
      </c>
      <c r="AO2" t="s">
        <v>544</v>
      </c>
      <c r="AP2" t="s">
        <v>559</v>
      </c>
      <c r="AQ2" t="s">
        <v>560</v>
      </c>
      <c r="AR2" t="s">
        <v>561</v>
      </c>
      <c r="AS2" t="s">
        <v>544</v>
      </c>
      <c r="AT2" t="s">
        <v>562</v>
      </c>
      <c r="AU2" t="s">
        <v>544</v>
      </c>
      <c r="AV2" t="s">
        <v>544</v>
      </c>
      <c r="AW2" t="s">
        <v>544</v>
      </c>
      <c r="AY2" t="s">
        <v>544</v>
      </c>
      <c r="AZ2" t="s">
        <v>544</v>
      </c>
      <c r="BB2" t="s">
        <v>563</v>
      </c>
      <c r="BC2" t="s">
        <v>563</v>
      </c>
      <c r="BD2" t="s">
        <v>544</v>
      </c>
      <c r="BE2" t="s">
        <v>544</v>
      </c>
      <c r="BF2" t="s">
        <v>544</v>
      </c>
      <c r="BG2" t="s">
        <v>544</v>
      </c>
      <c r="BH2" t="s">
        <v>544</v>
      </c>
      <c r="BI2" t="s">
        <v>544</v>
      </c>
      <c r="BJ2" t="s">
        <v>544</v>
      </c>
      <c r="BK2" t="s">
        <v>544</v>
      </c>
      <c r="BL2" t="s">
        <v>544</v>
      </c>
      <c r="BM2" t="s">
        <v>544</v>
      </c>
      <c r="BN2" t="s">
        <v>544</v>
      </c>
      <c r="BO2" t="s">
        <v>544</v>
      </c>
      <c r="BP2" t="s">
        <v>544</v>
      </c>
      <c r="BQ2" t="s">
        <v>544</v>
      </c>
    </row>
    <row r="3" spans="1:69" x14ac:dyDescent="0.3">
      <c r="A3" t="s">
        <v>564</v>
      </c>
      <c r="B3" t="s">
        <v>539</v>
      </c>
      <c r="C3" t="s">
        <v>540</v>
      </c>
      <c r="D3" t="s">
        <v>541</v>
      </c>
      <c r="E3" t="s">
        <v>542</v>
      </c>
      <c r="F3" t="s">
        <v>543</v>
      </c>
      <c r="G3" t="s">
        <v>544</v>
      </c>
      <c r="H3" s="453"/>
      <c r="I3" t="s">
        <v>544</v>
      </c>
      <c r="J3">
        <v>2041</v>
      </c>
      <c r="K3" t="s">
        <v>545</v>
      </c>
      <c r="L3" t="s">
        <v>546</v>
      </c>
      <c r="M3" t="s">
        <v>547</v>
      </c>
      <c r="N3" t="s">
        <v>548</v>
      </c>
      <c r="O3" t="s">
        <v>544</v>
      </c>
      <c r="P3" t="s">
        <v>549</v>
      </c>
      <c r="Q3" t="s">
        <v>550</v>
      </c>
      <c r="R3" t="s">
        <v>544</v>
      </c>
      <c r="S3" t="s">
        <v>551</v>
      </c>
      <c r="T3" t="s">
        <v>552</v>
      </c>
      <c r="U3" t="s">
        <v>553</v>
      </c>
      <c r="V3" t="s">
        <v>554</v>
      </c>
      <c r="W3" t="s">
        <v>374</v>
      </c>
      <c r="X3">
        <v>1.5</v>
      </c>
      <c r="Y3" t="s">
        <v>472</v>
      </c>
      <c r="Z3">
        <v>1.5</v>
      </c>
      <c r="AA3" t="s">
        <v>544</v>
      </c>
      <c r="AB3" t="s">
        <v>544</v>
      </c>
      <c r="AC3" t="s">
        <v>544</v>
      </c>
      <c r="AD3" t="s">
        <v>544</v>
      </c>
      <c r="AE3" t="s">
        <v>565</v>
      </c>
      <c r="AF3">
        <v>7.0324</v>
      </c>
      <c r="AG3">
        <v>1</v>
      </c>
      <c r="AH3" t="s">
        <v>544</v>
      </c>
      <c r="AI3" t="s">
        <v>544</v>
      </c>
      <c r="AJ3" t="s">
        <v>566</v>
      </c>
      <c r="AK3" t="s">
        <v>566</v>
      </c>
      <c r="AL3" t="s">
        <v>557</v>
      </c>
      <c r="AM3" t="s">
        <v>558</v>
      </c>
      <c r="AN3" t="s">
        <v>389</v>
      </c>
      <c r="AO3" t="s">
        <v>544</v>
      </c>
      <c r="AP3" t="s">
        <v>567</v>
      </c>
      <c r="AQ3" t="s">
        <v>560</v>
      </c>
      <c r="AR3" t="s">
        <v>561</v>
      </c>
      <c r="AS3" t="s">
        <v>544</v>
      </c>
      <c r="AT3" t="s">
        <v>562</v>
      </c>
      <c r="AU3" t="s">
        <v>544</v>
      </c>
      <c r="AV3" t="s">
        <v>544</v>
      </c>
      <c r="AW3" t="s">
        <v>544</v>
      </c>
      <c r="AY3" t="s">
        <v>544</v>
      </c>
      <c r="AZ3" t="s">
        <v>544</v>
      </c>
      <c r="BB3" t="s">
        <v>563</v>
      </c>
      <c r="BC3" t="s">
        <v>563</v>
      </c>
      <c r="BD3" t="s">
        <v>544</v>
      </c>
      <c r="BE3" t="s">
        <v>544</v>
      </c>
      <c r="BF3" t="s">
        <v>544</v>
      </c>
      <c r="BG3" t="s">
        <v>544</v>
      </c>
      <c r="BH3" t="s">
        <v>544</v>
      </c>
      <c r="BI3" t="s">
        <v>544</v>
      </c>
      <c r="BJ3" t="s">
        <v>544</v>
      </c>
      <c r="BK3" t="s">
        <v>544</v>
      </c>
      <c r="BL3" t="s">
        <v>544</v>
      </c>
      <c r="BM3" t="s">
        <v>544</v>
      </c>
      <c r="BN3" t="s">
        <v>544</v>
      </c>
      <c r="BO3" t="s">
        <v>544</v>
      </c>
      <c r="BP3" t="s">
        <v>544</v>
      </c>
      <c r="BQ3" t="s">
        <v>544</v>
      </c>
    </row>
    <row r="4" spans="1:69" x14ac:dyDescent="0.3">
      <c r="A4" t="s">
        <v>568</v>
      </c>
      <c r="B4" t="s">
        <v>539</v>
      </c>
      <c r="C4" t="s">
        <v>540</v>
      </c>
      <c r="D4" t="s">
        <v>541</v>
      </c>
      <c r="E4" t="s">
        <v>542</v>
      </c>
      <c r="F4" t="s">
        <v>543</v>
      </c>
      <c r="G4" t="s">
        <v>544</v>
      </c>
      <c r="H4" s="453"/>
      <c r="I4" t="s">
        <v>544</v>
      </c>
      <c r="J4">
        <v>2041</v>
      </c>
      <c r="K4" t="s">
        <v>545</v>
      </c>
      <c r="L4" t="s">
        <v>546</v>
      </c>
      <c r="M4" t="s">
        <v>547</v>
      </c>
      <c r="N4" t="s">
        <v>548</v>
      </c>
      <c r="O4" t="s">
        <v>544</v>
      </c>
      <c r="P4" t="s">
        <v>549</v>
      </c>
      <c r="Q4" t="s">
        <v>550</v>
      </c>
      <c r="R4" t="s">
        <v>544</v>
      </c>
      <c r="S4" t="s">
        <v>551</v>
      </c>
      <c r="T4" t="s">
        <v>552</v>
      </c>
      <c r="U4" t="s">
        <v>553</v>
      </c>
      <c r="V4" t="s">
        <v>554</v>
      </c>
      <c r="W4" t="s">
        <v>374</v>
      </c>
      <c r="X4">
        <v>1.5</v>
      </c>
      <c r="Y4" t="s">
        <v>472</v>
      </c>
      <c r="Z4">
        <v>1.5</v>
      </c>
      <c r="AA4" t="s">
        <v>544</v>
      </c>
      <c r="AB4" t="s">
        <v>544</v>
      </c>
      <c r="AC4" t="s">
        <v>544</v>
      </c>
      <c r="AD4" t="s">
        <v>544</v>
      </c>
      <c r="AE4" t="s">
        <v>569</v>
      </c>
      <c r="AF4">
        <v>11.966100000000001</v>
      </c>
      <c r="AG4">
        <v>1</v>
      </c>
      <c r="AH4" t="s">
        <v>544</v>
      </c>
      <c r="AI4" t="s">
        <v>544</v>
      </c>
      <c r="AJ4" t="s">
        <v>570</v>
      </c>
      <c r="AK4" t="s">
        <v>570</v>
      </c>
      <c r="AL4" t="s">
        <v>557</v>
      </c>
      <c r="AM4" t="s">
        <v>558</v>
      </c>
      <c r="AN4" t="s">
        <v>389</v>
      </c>
      <c r="AO4" t="s">
        <v>544</v>
      </c>
      <c r="AP4" t="s">
        <v>571</v>
      </c>
      <c r="AQ4" t="s">
        <v>560</v>
      </c>
      <c r="AR4" t="s">
        <v>561</v>
      </c>
      <c r="AS4" t="s">
        <v>544</v>
      </c>
      <c r="AT4" t="s">
        <v>562</v>
      </c>
      <c r="AU4" t="s">
        <v>544</v>
      </c>
      <c r="AV4" t="s">
        <v>544</v>
      </c>
      <c r="AW4" t="s">
        <v>544</v>
      </c>
      <c r="AY4" t="s">
        <v>544</v>
      </c>
      <c r="AZ4" t="s">
        <v>544</v>
      </c>
      <c r="BB4" t="s">
        <v>563</v>
      </c>
      <c r="BC4" t="s">
        <v>563</v>
      </c>
      <c r="BD4" t="s">
        <v>544</v>
      </c>
      <c r="BE4" t="s">
        <v>544</v>
      </c>
      <c r="BF4" t="s">
        <v>544</v>
      </c>
      <c r="BG4" t="s">
        <v>544</v>
      </c>
      <c r="BH4" t="s">
        <v>544</v>
      </c>
      <c r="BI4" t="s">
        <v>544</v>
      </c>
      <c r="BJ4" t="s">
        <v>544</v>
      </c>
      <c r="BK4" t="s">
        <v>544</v>
      </c>
      <c r="BL4" t="s">
        <v>544</v>
      </c>
      <c r="BM4" t="s">
        <v>544</v>
      </c>
      <c r="BN4" t="s">
        <v>544</v>
      </c>
      <c r="BO4" t="s">
        <v>544</v>
      </c>
      <c r="BP4" t="s">
        <v>544</v>
      </c>
      <c r="BQ4" t="s">
        <v>544</v>
      </c>
    </row>
    <row r="5" spans="1:69" x14ac:dyDescent="0.3">
      <c r="A5" t="s">
        <v>572</v>
      </c>
      <c r="B5" t="s">
        <v>539</v>
      </c>
      <c r="C5" t="s">
        <v>540</v>
      </c>
      <c r="D5" t="s">
        <v>541</v>
      </c>
      <c r="E5" t="s">
        <v>542</v>
      </c>
      <c r="F5" t="s">
        <v>543</v>
      </c>
      <c r="G5" t="s">
        <v>544</v>
      </c>
      <c r="H5" s="453"/>
      <c r="I5" t="s">
        <v>544</v>
      </c>
      <c r="J5">
        <v>2041</v>
      </c>
      <c r="K5" t="s">
        <v>545</v>
      </c>
      <c r="L5" t="s">
        <v>546</v>
      </c>
      <c r="M5" t="s">
        <v>547</v>
      </c>
      <c r="N5" t="s">
        <v>548</v>
      </c>
      <c r="O5" t="s">
        <v>544</v>
      </c>
      <c r="P5" t="s">
        <v>549</v>
      </c>
      <c r="Q5" t="s">
        <v>550</v>
      </c>
      <c r="R5" t="s">
        <v>544</v>
      </c>
      <c r="S5" t="s">
        <v>551</v>
      </c>
      <c r="T5" t="s">
        <v>552</v>
      </c>
      <c r="U5" t="s">
        <v>553</v>
      </c>
      <c r="V5" t="s">
        <v>554</v>
      </c>
      <c r="W5" t="s">
        <v>374</v>
      </c>
      <c r="X5">
        <v>1.5</v>
      </c>
      <c r="Y5" t="s">
        <v>472</v>
      </c>
      <c r="Z5">
        <v>1.5</v>
      </c>
      <c r="AA5" t="s">
        <v>544</v>
      </c>
      <c r="AB5" t="s">
        <v>544</v>
      </c>
      <c r="AC5" t="s">
        <v>544</v>
      </c>
      <c r="AD5" t="s">
        <v>544</v>
      </c>
      <c r="AE5" t="s">
        <v>573</v>
      </c>
      <c r="AF5">
        <v>5.7019000000000002</v>
      </c>
      <c r="AG5">
        <v>1</v>
      </c>
      <c r="AH5" t="s">
        <v>544</v>
      </c>
      <c r="AI5" t="s">
        <v>544</v>
      </c>
      <c r="AJ5" t="s">
        <v>574</v>
      </c>
      <c r="AK5" t="s">
        <v>574</v>
      </c>
      <c r="AL5" t="s">
        <v>557</v>
      </c>
      <c r="AM5" t="s">
        <v>558</v>
      </c>
      <c r="AN5" t="s">
        <v>389</v>
      </c>
      <c r="AO5" t="s">
        <v>544</v>
      </c>
      <c r="AP5" t="s">
        <v>575</v>
      </c>
      <c r="AQ5" t="s">
        <v>560</v>
      </c>
      <c r="AR5" t="s">
        <v>561</v>
      </c>
      <c r="AS5" t="s">
        <v>544</v>
      </c>
      <c r="AT5" t="s">
        <v>562</v>
      </c>
      <c r="AU5" t="s">
        <v>544</v>
      </c>
      <c r="AV5" t="s">
        <v>544</v>
      </c>
      <c r="AW5" t="s">
        <v>544</v>
      </c>
      <c r="AY5" t="s">
        <v>544</v>
      </c>
      <c r="AZ5" t="s">
        <v>544</v>
      </c>
      <c r="BB5" t="s">
        <v>563</v>
      </c>
      <c r="BC5" t="s">
        <v>563</v>
      </c>
      <c r="BD5" t="s">
        <v>544</v>
      </c>
      <c r="BE5" t="s">
        <v>544</v>
      </c>
      <c r="BF5" t="s">
        <v>544</v>
      </c>
      <c r="BG5" t="s">
        <v>544</v>
      </c>
      <c r="BH5" t="s">
        <v>544</v>
      </c>
      <c r="BI5" t="s">
        <v>544</v>
      </c>
      <c r="BJ5" t="s">
        <v>544</v>
      </c>
      <c r="BK5" t="s">
        <v>544</v>
      </c>
      <c r="BL5" t="s">
        <v>544</v>
      </c>
      <c r="BM5" t="s">
        <v>544</v>
      </c>
      <c r="BN5" t="s">
        <v>544</v>
      </c>
      <c r="BO5" t="s">
        <v>544</v>
      </c>
      <c r="BP5" t="s">
        <v>544</v>
      </c>
      <c r="BQ5" t="s">
        <v>544</v>
      </c>
    </row>
    <row r="6" spans="1:69" x14ac:dyDescent="0.3">
      <c r="A6" t="s">
        <v>576</v>
      </c>
      <c r="B6" t="s">
        <v>539</v>
      </c>
      <c r="C6" t="s">
        <v>540</v>
      </c>
      <c r="D6" t="s">
        <v>541</v>
      </c>
      <c r="E6" t="s">
        <v>542</v>
      </c>
      <c r="F6" t="s">
        <v>543</v>
      </c>
      <c r="G6" t="s">
        <v>544</v>
      </c>
      <c r="H6" s="453"/>
      <c r="I6" t="s">
        <v>544</v>
      </c>
      <c r="J6">
        <v>2041</v>
      </c>
      <c r="K6" t="s">
        <v>545</v>
      </c>
      <c r="L6" t="s">
        <v>546</v>
      </c>
      <c r="M6" t="s">
        <v>547</v>
      </c>
      <c r="N6" t="s">
        <v>548</v>
      </c>
      <c r="O6" t="s">
        <v>544</v>
      </c>
      <c r="P6" t="s">
        <v>549</v>
      </c>
      <c r="Q6" t="s">
        <v>550</v>
      </c>
      <c r="R6" t="s">
        <v>544</v>
      </c>
      <c r="S6" t="s">
        <v>551</v>
      </c>
      <c r="T6" t="s">
        <v>552</v>
      </c>
      <c r="U6" t="s">
        <v>553</v>
      </c>
      <c r="V6" t="s">
        <v>554</v>
      </c>
      <c r="W6" t="s">
        <v>374</v>
      </c>
      <c r="X6">
        <v>1.5</v>
      </c>
      <c r="Y6" t="s">
        <v>472</v>
      </c>
      <c r="Z6">
        <v>1.5</v>
      </c>
      <c r="AA6" t="s">
        <v>544</v>
      </c>
      <c r="AB6" t="s">
        <v>544</v>
      </c>
      <c r="AC6" t="s">
        <v>544</v>
      </c>
      <c r="AD6" t="s">
        <v>544</v>
      </c>
      <c r="AE6" t="s">
        <v>577</v>
      </c>
      <c r="AF6">
        <v>9.9514999999999993</v>
      </c>
      <c r="AG6">
        <v>1</v>
      </c>
      <c r="AH6" t="s">
        <v>544</v>
      </c>
      <c r="AI6" t="s">
        <v>544</v>
      </c>
      <c r="AJ6" t="s">
        <v>578</v>
      </c>
      <c r="AK6" t="s">
        <v>578</v>
      </c>
      <c r="AL6" t="s">
        <v>557</v>
      </c>
      <c r="AM6" t="s">
        <v>558</v>
      </c>
      <c r="AN6" t="s">
        <v>389</v>
      </c>
      <c r="AO6" t="s">
        <v>544</v>
      </c>
      <c r="AP6" t="s">
        <v>579</v>
      </c>
      <c r="AQ6" t="s">
        <v>560</v>
      </c>
      <c r="AR6" t="s">
        <v>561</v>
      </c>
      <c r="AS6" t="s">
        <v>544</v>
      </c>
      <c r="AT6" t="s">
        <v>562</v>
      </c>
      <c r="AU6" t="s">
        <v>544</v>
      </c>
      <c r="AV6" t="s">
        <v>544</v>
      </c>
      <c r="AW6" t="s">
        <v>544</v>
      </c>
      <c r="AY6" t="s">
        <v>544</v>
      </c>
      <c r="AZ6" t="s">
        <v>544</v>
      </c>
      <c r="BB6" t="s">
        <v>563</v>
      </c>
      <c r="BC6" t="s">
        <v>563</v>
      </c>
      <c r="BD6" t="s">
        <v>544</v>
      </c>
      <c r="BE6" t="s">
        <v>544</v>
      </c>
      <c r="BF6" t="s">
        <v>544</v>
      </c>
      <c r="BG6" t="s">
        <v>544</v>
      </c>
      <c r="BH6" t="s">
        <v>544</v>
      </c>
      <c r="BI6" t="s">
        <v>544</v>
      </c>
      <c r="BJ6" t="s">
        <v>544</v>
      </c>
      <c r="BK6" t="s">
        <v>544</v>
      </c>
      <c r="BL6" t="s">
        <v>544</v>
      </c>
      <c r="BM6" t="s">
        <v>544</v>
      </c>
      <c r="BN6" t="s">
        <v>544</v>
      </c>
      <c r="BO6" t="s">
        <v>544</v>
      </c>
      <c r="BP6" t="s">
        <v>544</v>
      </c>
      <c r="BQ6" t="s">
        <v>544</v>
      </c>
    </row>
    <row r="7" spans="1:69" x14ac:dyDescent="0.3">
      <c r="A7" t="s">
        <v>580</v>
      </c>
      <c r="B7" t="s">
        <v>539</v>
      </c>
      <c r="C7" t="s">
        <v>540</v>
      </c>
      <c r="D7" t="s">
        <v>541</v>
      </c>
      <c r="E7" t="s">
        <v>542</v>
      </c>
      <c r="F7" t="s">
        <v>543</v>
      </c>
      <c r="G7" t="s">
        <v>544</v>
      </c>
      <c r="H7" s="453"/>
      <c r="I7" t="s">
        <v>544</v>
      </c>
      <c r="J7">
        <v>2041</v>
      </c>
      <c r="K7" t="s">
        <v>545</v>
      </c>
      <c r="L7" t="s">
        <v>546</v>
      </c>
      <c r="M7" t="s">
        <v>547</v>
      </c>
      <c r="N7" t="s">
        <v>548</v>
      </c>
      <c r="O7" t="s">
        <v>544</v>
      </c>
      <c r="P7" t="s">
        <v>549</v>
      </c>
      <c r="Q7" t="s">
        <v>550</v>
      </c>
      <c r="R7" t="s">
        <v>544</v>
      </c>
      <c r="S7" t="s">
        <v>551</v>
      </c>
      <c r="T7" t="s">
        <v>552</v>
      </c>
      <c r="U7" t="s">
        <v>553</v>
      </c>
      <c r="V7" t="s">
        <v>554</v>
      </c>
      <c r="W7" t="s">
        <v>374</v>
      </c>
      <c r="X7">
        <v>1.5</v>
      </c>
      <c r="Y7" t="s">
        <v>472</v>
      </c>
      <c r="Z7">
        <v>1.5</v>
      </c>
      <c r="AA7" t="s">
        <v>544</v>
      </c>
      <c r="AB7" t="s">
        <v>544</v>
      </c>
      <c r="AC7" t="s">
        <v>544</v>
      </c>
      <c r="AD7" t="s">
        <v>544</v>
      </c>
      <c r="AE7" t="s">
        <v>581</v>
      </c>
      <c r="AF7">
        <v>10.5947</v>
      </c>
      <c r="AG7">
        <v>1</v>
      </c>
      <c r="AH7" t="s">
        <v>544</v>
      </c>
      <c r="AI7" t="s">
        <v>544</v>
      </c>
      <c r="AJ7" t="s">
        <v>582</v>
      </c>
      <c r="AK7" t="s">
        <v>582</v>
      </c>
      <c r="AL7" t="s">
        <v>557</v>
      </c>
      <c r="AM7" t="s">
        <v>558</v>
      </c>
      <c r="AN7" t="s">
        <v>389</v>
      </c>
      <c r="AO7" t="s">
        <v>544</v>
      </c>
      <c r="AP7" t="s">
        <v>583</v>
      </c>
      <c r="AQ7" t="s">
        <v>560</v>
      </c>
      <c r="AR7" t="s">
        <v>561</v>
      </c>
      <c r="AS7" t="s">
        <v>544</v>
      </c>
      <c r="AT7" t="s">
        <v>562</v>
      </c>
      <c r="AU7" t="s">
        <v>544</v>
      </c>
      <c r="AV7" t="s">
        <v>544</v>
      </c>
      <c r="AW7" t="s">
        <v>544</v>
      </c>
      <c r="AY7" t="s">
        <v>544</v>
      </c>
      <c r="AZ7" t="s">
        <v>544</v>
      </c>
      <c r="BB7" t="s">
        <v>563</v>
      </c>
      <c r="BC7" t="s">
        <v>563</v>
      </c>
      <c r="BD7" t="s">
        <v>544</v>
      </c>
      <c r="BE7" t="s">
        <v>544</v>
      </c>
      <c r="BF7" t="s">
        <v>544</v>
      </c>
      <c r="BG7" t="s">
        <v>544</v>
      </c>
      <c r="BH7" t="s">
        <v>544</v>
      </c>
      <c r="BI7" t="s">
        <v>544</v>
      </c>
      <c r="BJ7" t="s">
        <v>544</v>
      </c>
      <c r="BK7" t="s">
        <v>544</v>
      </c>
      <c r="BL7" t="s">
        <v>544</v>
      </c>
      <c r="BM7" t="s">
        <v>544</v>
      </c>
      <c r="BN7" t="s">
        <v>544</v>
      </c>
      <c r="BO7" t="s">
        <v>544</v>
      </c>
      <c r="BP7" t="s">
        <v>544</v>
      </c>
      <c r="BQ7" t="s">
        <v>544</v>
      </c>
    </row>
    <row r="8" spans="1:69" x14ac:dyDescent="0.3">
      <c r="A8" t="s">
        <v>584</v>
      </c>
      <c r="B8" t="s">
        <v>539</v>
      </c>
      <c r="C8" t="s">
        <v>540</v>
      </c>
      <c r="D8" t="s">
        <v>541</v>
      </c>
      <c r="E8" t="s">
        <v>542</v>
      </c>
      <c r="F8" t="s">
        <v>543</v>
      </c>
      <c r="G8" t="s">
        <v>544</v>
      </c>
      <c r="H8" s="453"/>
      <c r="I8" t="s">
        <v>544</v>
      </c>
      <c r="J8">
        <v>2523</v>
      </c>
      <c r="K8" t="s">
        <v>585</v>
      </c>
      <c r="L8" t="s">
        <v>546</v>
      </c>
      <c r="M8" t="s">
        <v>547</v>
      </c>
      <c r="N8" t="s">
        <v>548</v>
      </c>
      <c r="O8" t="s">
        <v>544</v>
      </c>
      <c r="P8" t="s">
        <v>586</v>
      </c>
      <c r="Q8" t="s">
        <v>550</v>
      </c>
      <c r="R8" t="s">
        <v>587</v>
      </c>
      <c r="S8" t="s">
        <v>588</v>
      </c>
      <c r="T8" t="s">
        <v>552</v>
      </c>
      <c r="U8" t="s">
        <v>553</v>
      </c>
      <c r="V8" t="s">
        <v>554</v>
      </c>
      <c r="W8" t="s">
        <v>374</v>
      </c>
      <c r="X8">
        <v>1.5</v>
      </c>
      <c r="Y8" t="s">
        <v>472</v>
      </c>
      <c r="Z8">
        <v>1.5</v>
      </c>
      <c r="AA8" t="s">
        <v>544</v>
      </c>
      <c r="AB8" t="s">
        <v>544</v>
      </c>
      <c r="AC8" t="s">
        <v>544</v>
      </c>
      <c r="AD8" t="s">
        <v>544</v>
      </c>
      <c r="AE8" t="s">
        <v>544</v>
      </c>
      <c r="AG8">
        <v>1</v>
      </c>
      <c r="AH8" t="s">
        <v>544</v>
      </c>
      <c r="AI8" t="s">
        <v>544</v>
      </c>
      <c r="AJ8" t="s">
        <v>574</v>
      </c>
      <c r="AK8" t="s">
        <v>574</v>
      </c>
      <c r="AL8" t="s">
        <v>557</v>
      </c>
      <c r="AM8" t="s">
        <v>558</v>
      </c>
      <c r="AN8" t="s">
        <v>390</v>
      </c>
      <c r="AO8" t="s">
        <v>544</v>
      </c>
      <c r="AP8" t="s">
        <v>589</v>
      </c>
      <c r="AQ8" t="s">
        <v>560</v>
      </c>
      <c r="AR8" t="s">
        <v>561</v>
      </c>
      <c r="AS8" t="s">
        <v>544</v>
      </c>
      <c r="AT8" t="s">
        <v>590</v>
      </c>
      <c r="AU8" t="s">
        <v>544</v>
      </c>
      <c r="AV8" t="s">
        <v>544</v>
      </c>
      <c r="AW8" t="s">
        <v>544</v>
      </c>
      <c r="AY8" t="s">
        <v>544</v>
      </c>
      <c r="AZ8" t="s">
        <v>544</v>
      </c>
      <c r="BB8" t="s">
        <v>591</v>
      </c>
      <c r="BC8" t="s">
        <v>591</v>
      </c>
      <c r="BD8" t="s">
        <v>544</v>
      </c>
      <c r="BE8" t="s">
        <v>544</v>
      </c>
      <c r="BF8" t="s">
        <v>544</v>
      </c>
      <c r="BG8" t="s">
        <v>544</v>
      </c>
      <c r="BH8" t="s">
        <v>544</v>
      </c>
      <c r="BI8" t="s">
        <v>544</v>
      </c>
      <c r="BJ8" t="s">
        <v>544</v>
      </c>
      <c r="BK8" t="s">
        <v>544</v>
      </c>
      <c r="BL8" t="s">
        <v>544</v>
      </c>
      <c r="BM8" t="s">
        <v>544</v>
      </c>
      <c r="BN8" t="s">
        <v>544</v>
      </c>
      <c r="BO8" t="s">
        <v>544</v>
      </c>
      <c r="BP8" t="s">
        <v>544</v>
      </c>
      <c r="BQ8" t="s">
        <v>544</v>
      </c>
    </row>
    <row r="9" spans="1:69" x14ac:dyDescent="0.3">
      <c r="A9" t="s">
        <v>592</v>
      </c>
      <c r="B9" t="s">
        <v>539</v>
      </c>
      <c r="C9" t="s">
        <v>540</v>
      </c>
      <c r="D9" t="s">
        <v>541</v>
      </c>
      <c r="E9" t="s">
        <v>542</v>
      </c>
      <c r="F9" t="s">
        <v>543</v>
      </c>
      <c r="G9" t="s">
        <v>544</v>
      </c>
      <c r="H9" s="453"/>
      <c r="I9" t="s">
        <v>544</v>
      </c>
      <c r="J9">
        <v>2523</v>
      </c>
      <c r="K9" t="s">
        <v>585</v>
      </c>
      <c r="L9" t="s">
        <v>593</v>
      </c>
      <c r="M9" t="s">
        <v>547</v>
      </c>
      <c r="N9" t="s">
        <v>548</v>
      </c>
      <c r="O9" t="s">
        <v>544</v>
      </c>
      <c r="P9" t="s">
        <v>594</v>
      </c>
      <c r="Q9" t="s">
        <v>595</v>
      </c>
      <c r="R9" t="s">
        <v>596</v>
      </c>
      <c r="S9" t="s">
        <v>588</v>
      </c>
      <c r="T9" t="s">
        <v>552</v>
      </c>
      <c r="U9" t="s">
        <v>553</v>
      </c>
      <c r="V9" t="s">
        <v>554</v>
      </c>
      <c r="W9" t="s">
        <v>372</v>
      </c>
      <c r="X9">
        <v>0.75</v>
      </c>
      <c r="Y9" t="s">
        <v>470</v>
      </c>
      <c r="Z9">
        <v>0.75</v>
      </c>
      <c r="AA9" t="s">
        <v>544</v>
      </c>
      <c r="AB9" t="s">
        <v>544</v>
      </c>
      <c r="AC9" t="s">
        <v>544</v>
      </c>
      <c r="AD9" t="s">
        <v>544</v>
      </c>
      <c r="AE9" t="s">
        <v>544</v>
      </c>
      <c r="AG9">
        <v>1</v>
      </c>
      <c r="AH9" t="s">
        <v>544</v>
      </c>
      <c r="AI9" t="s">
        <v>544</v>
      </c>
      <c r="AJ9" t="s">
        <v>597</v>
      </c>
      <c r="AK9" t="s">
        <v>597</v>
      </c>
      <c r="AL9" t="s">
        <v>557</v>
      </c>
      <c r="AM9" t="s">
        <v>558</v>
      </c>
      <c r="AN9" t="s">
        <v>391</v>
      </c>
      <c r="AO9" t="s">
        <v>544</v>
      </c>
      <c r="AP9" t="s">
        <v>598</v>
      </c>
      <c r="AQ9" t="s">
        <v>560</v>
      </c>
      <c r="AR9" t="s">
        <v>561</v>
      </c>
      <c r="AS9" t="s">
        <v>544</v>
      </c>
      <c r="AT9" t="s">
        <v>599</v>
      </c>
      <c r="AU9" t="s">
        <v>544</v>
      </c>
      <c r="AV9" t="s">
        <v>544</v>
      </c>
      <c r="AW9" t="s">
        <v>544</v>
      </c>
      <c r="AY9" t="s">
        <v>544</v>
      </c>
      <c r="AZ9" t="s">
        <v>544</v>
      </c>
      <c r="BB9" t="s">
        <v>600</v>
      </c>
      <c r="BC9" t="s">
        <v>600</v>
      </c>
      <c r="BD9" t="s">
        <v>544</v>
      </c>
      <c r="BE9" t="s">
        <v>544</v>
      </c>
      <c r="BF9" t="s">
        <v>544</v>
      </c>
      <c r="BG9" t="s">
        <v>544</v>
      </c>
      <c r="BH9" t="s">
        <v>544</v>
      </c>
      <c r="BI9" t="s">
        <v>544</v>
      </c>
      <c r="BJ9" t="s">
        <v>544</v>
      </c>
      <c r="BK9" t="s">
        <v>544</v>
      </c>
      <c r="BL9" t="s">
        <v>544</v>
      </c>
      <c r="BM9" t="s">
        <v>544</v>
      </c>
      <c r="BN9" t="s">
        <v>544</v>
      </c>
      <c r="BO9" t="s">
        <v>544</v>
      </c>
      <c r="BP9" t="s">
        <v>544</v>
      </c>
      <c r="BQ9" t="s">
        <v>544</v>
      </c>
    </row>
    <row r="10" spans="1:69" x14ac:dyDescent="0.3">
      <c r="A10" t="s">
        <v>601</v>
      </c>
      <c r="B10" t="s">
        <v>539</v>
      </c>
      <c r="C10" t="s">
        <v>540</v>
      </c>
      <c r="D10" t="s">
        <v>541</v>
      </c>
      <c r="E10" t="s">
        <v>542</v>
      </c>
      <c r="F10" t="s">
        <v>543</v>
      </c>
      <c r="G10" t="s">
        <v>544</v>
      </c>
      <c r="H10" s="453"/>
      <c r="I10" t="s">
        <v>544</v>
      </c>
      <c r="J10">
        <v>2900</v>
      </c>
      <c r="K10" t="s">
        <v>585</v>
      </c>
      <c r="L10" t="s">
        <v>546</v>
      </c>
      <c r="M10" t="s">
        <v>547</v>
      </c>
      <c r="N10" t="s">
        <v>548</v>
      </c>
      <c r="O10" t="s">
        <v>544</v>
      </c>
      <c r="P10" t="s">
        <v>602</v>
      </c>
      <c r="Q10" t="s">
        <v>550</v>
      </c>
      <c r="R10" t="s">
        <v>603</v>
      </c>
      <c r="S10" t="s">
        <v>588</v>
      </c>
      <c r="T10" t="s">
        <v>552</v>
      </c>
      <c r="U10" t="s">
        <v>553</v>
      </c>
      <c r="V10" t="s">
        <v>554</v>
      </c>
      <c r="W10" t="s">
        <v>374</v>
      </c>
      <c r="X10">
        <v>1.5</v>
      </c>
      <c r="Y10" t="s">
        <v>472</v>
      </c>
      <c r="Z10">
        <v>1.5</v>
      </c>
      <c r="AA10" t="s">
        <v>472</v>
      </c>
      <c r="AB10" t="s">
        <v>544</v>
      </c>
      <c r="AC10" t="s">
        <v>544</v>
      </c>
      <c r="AD10" t="s">
        <v>544</v>
      </c>
      <c r="AE10" t="s">
        <v>544</v>
      </c>
      <c r="AG10">
        <v>1</v>
      </c>
      <c r="AH10" t="s">
        <v>544</v>
      </c>
      <c r="AI10" t="s">
        <v>544</v>
      </c>
      <c r="AJ10" t="s">
        <v>582</v>
      </c>
      <c r="AK10" t="s">
        <v>582</v>
      </c>
      <c r="AL10" t="s">
        <v>557</v>
      </c>
      <c r="AM10" t="s">
        <v>558</v>
      </c>
      <c r="AN10" t="s">
        <v>390</v>
      </c>
      <c r="AO10" t="s">
        <v>544</v>
      </c>
      <c r="AP10" t="s">
        <v>604</v>
      </c>
      <c r="AQ10" t="s">
        <v>560</v>
      </c>
      <c r="AR10" t="s">
        <v>561</v>
      </c>
      <c r="AS10" t="s">
        <v>544</v>
      </c>
      <c r="AT10" t="s">
        <v>605</v>
      </c>
      <c r="AU10" t="s">
        <v>544</v>
      </c>
      <c r="AV10" t="s">
        <v>544</v>
      </c>
      <c r="AW10" t="s">
        <v>544</v>
      </c>
      <c r="AY10" t="s">
        <v>544</v>
      </c>
      <c r="AZ10" t="s">
        <v>544</v>
      </c>
      <c r="BB10" t="s">
        <v>591</v>
      </c>
      <c r="BC10" t="s">
        <v>591</v>
      </c>
      <c r="BD10" t="s">
        <v>591</v>
      </c>
      <c r="BE10" t="s">
        <v>544</v>
      </c>
      <c r="BF10" t="s">
        <v>544</v>
      </c>
      <c r="BG10" t="s">
        <v>544</v>
      </c>
      <c r="BH10" t="s">
        <v>544</v>
      </c>
      <c r="BI10" t="s">
        <v>544</v>
      </c>
      <c r="BJ10" t="s">
        <v>544</v>
      </c>
      <c r="BK10" t="s">
        <v>544</v>
      </c>
      <c r="BL10" t="s">
        <v>544</v>
      </c>
      <c r="BM10" t="s">
        <v>544</v>
      </c>
      <c r="BN10" t="s">
        <v>544</v>
      </c>
      <c r="BO10" t="s">
        <v>544</v>
      </c>
      <c r="BP10" t="s">
        <v>544</v>
      </c>
      <c r="BQ10" t="s">
        <v>544</v>
      </c>
    </row>
    <row r="11" spans="1:69" x14ac:dyDescent="0.3">
      <c r="A11" t="s">
        <v>606</v>
      </c>
      <c r="B11" t="s">
        <v>539</v>
      </c>
      <c r="C11" t="s">
        <v>540</v>
      </c>
      <c r="D11" t="s">
        <v>541</v>
      </c>
      <c r="E11" t="s">
        <v>542</v>
      </c>
      <c r="F11" t="s">
        <v>543</v>
      </c>
      <c r="G11" t="s">
        <v>544</v>
      </c>
      <c r="H11" s="453"/>
      <c r="I11" t="s">
        <v>544</v>
      </c>
      <c r="J11">
        <v>2900</v>
      </c>
      <c r="K11" t="s">
        <v>585</v>
      </c>
      <c r="L11" t="s">
        <v>546</v>
      </c>
      <c r="M11" t="s">
        <v>547</v>
      </c>
      <c r="N11" t="s">
        <v>548</v>
      </c>
      <c r="O11" t="s">
        <v>544</v>
      </c>
      <c r="P11" t="s">
        <v>602</v>
      </c>
      <c r="Q11" t="s">
        <v>550</v>
      </c>
      <c r="R11" t="s">
        <v>603</v>
      </c>
      <c r="S11" t="s">
        <v>588</v>
      </c>
      <c r="T11" t="s">
        <v>552</v>
      </c>
      <c r="U11" t="s">
        <v>553</v>
      </c>
      <c r="V11" t="s">
        <v>554</v>
      </c>
      <c r="W11" t="s">
        <v>374</v>
      </c>
      <c r="X11">
        <v>1.5</v>
      </c>
      <c r="Y11" t="s">
        <v>472</v>
      </c>
      <c r="Z11">
        <v>1.5</v>
      </c>
      <c r="AA11" t="s">
        <v>472</v>
      </c>
      <c r="AB11" t="s">
        <v>544</v>
      </c>
      <c r="AC11" t="s">
        <v>544</v>
      </c>
      <c r="AD11" t="s">
        <v>544</v>
      </c>
      <c r="AE11" t="s">
        <v>544</v>
      </c>
      <c r="AG11">
        <v>1</v>
      </c>
      <c r="AH11" t="s">
        <v>544</v>
      </c>
      <c r="AI11" t="s">
        <v>544</v>
      </c>
      <c r="AJ11" t="s">
        <v>566</v>
      </c>
      <c r="AK11" t="s">
        <v>566</v>
      </c>
      <c r="AL11" t="s">
        <v>557</v>
      </c>
      <c r="AM11" t="s">
        <v>558</v>
      </c>
      <c r="AN11" t="s">
        <v>392</v>
      </c>
      <c r="AO11" t="s">
        <v>544</v>
      </c>
      <c r="AP11" t="s">
        <v>604</v>
      </c>
      <c r="AQ11" t="s">
        <v>560</v>
      </c>
      <c r="AR11" t="s">
        <v>561</v>
      </c>
      <c r="AS11" t="s">
        <v>544</v>
      </c>
      <c r="AT11" t="s">
        <v>605</v>
      </c>
      <c r="AU11" t="s">
        <v>544</v>
      </c>
      <c r="AV11" t="s">
        <v>544</v>
      </c>
      <c r="AW11" t="s">
        <v>544</v>
      </c>
      <c r="AY11" t="s">
        <v>544</v>
      </c>
      <c r="AZ11" t="s">
        <v>544</v>
      </c>
      <c r="BB11" t="s">
        <v>591</v>
      </c>
      <c r="BC11" t="s">
        <v>591</v>
      </c>
      <c r="BD11" t="s">
        <v>591</v>
      </c>
      <c r="BE11" t="s">
        <v>544</v>
      </c>
      <c r="BF11" t="s">
        <v>544</v>
      </c>
      <c r="BG11" t="s">
        <v>544</v>
      </c>
      <c r="BH11" t="s">
        <v>544</v>
      </c>
      <c r="BI11" t="s">
        <v>544</v>
      </c>
      <c r="BJ11" t="s">
        <v>544</v>
      </c>
      <c r="BK11" t="s">
        <v>544</v>
      </c>
      <c r="BL11" t="s">
        <v>544</v>
      </c>
      <c r="BM11" t="s">
        <v>544</v>
      </c>
      <c r="BN11" t="s">
        <v>544</v>
      </c>
      <c r="BO11" t="s">
        <v>544</v>
      </c>
      <c r="BP11" t="s">
        <v>544</v>
      </c>
      <c r="BQ11" t="s">
        <v>544</v>
      </c>
    </row>
    <row r="12" spans="1:69" x14ac:dyDescent="0.3">
      <c r="A12" t="s">
        <v>607</v>
      </c>
      <c r="B12" t="s">
        <v>539</v>
      </c>
      <c r="C12" t="s">
        <v>540</v>
      </c>
      <c r="D12" t="s">
        <v>541</v>
      </c>
      <c r="E12" t="s">
        <v>542</v>
      </c>
      <c r="F12" t="s">
        <v>543</v>
      </c>
      <c r="G12" t="s">
        <v>544</v>
      </c>
      <c r="H12" s="453"/>
      <c r="I12" t="s">
        <v>544</v>
      </c>
      <c r="J12">
        <v>2041</v>
      </c>
      <c r="K12" t="s">
        <v>545</v>
      </c>
      <c r="L12" t="s">
        <v>546</v>
      </c>
      <c r="M12" t="s">
        <v>547</v>
      </c>
      <c r="N12" t="s">
        <v>548</v>
      </c>
      <c r="O12" t="s">
        <v>544</v>
      </c>
      <c r="P12" t="s">
        <v>549</v>
      </c>
      <c r="Q12" t="s">
        <v>550</v>
      </c>
      <c r="R12" t="s">
        <v>544</v>
      </c>
      <c r="S12" t="s">
        <v>551</v>
      </c>
      <c r="T12" t="s">
        <v>552</v>
      </c>
      <c r="U12" t="s">
        <v>553</v>
      </c>
      <c r="V12" t="s">
        <v>554</v>
      </c>
      <c r="W12" t="s">
        <v>374</v>
      </c>
      <c r="X12">
        <v>1.5</v>
      </c>
      <c r="Y12" t="s">
        <v>472</v>
      </c>
      <c r="Z12">
        <v>1.5</v>
      </c>
      <c r="AA12" t="s">
        <v>544</v>
      </c>
      <c r="AB12" t="s">
        <v>544</v>
      </c>
      <c r="AC12" t="s">
        <v>544</v>
      </c>
      <c r="AD12" t="s">
        <v>544</v>
      </c>
      <c r="AE12" t="s">
        <v>608</v>
      </c>
      <c r="AF12">
        <v>3.2195</v>
      </c>
      <c r="AG12">
        <v>1</v>
      </c>
      <c r="AH12" t="s">
        <v>544</v>
      </c>
      <c r="AI12" t="s">
        <v>544</v>
      </c>
      <c r="AJ12" t="s">
        <v>566</v>
      </c>
      <c r="AK12" t="s">
        <v>566</v>
      </c>
      <c r="AL12" t="s">
        <v>557</v>
      </c>
      <c r="AM12" t="s">
        <v>558</v>
      </c>
      <c r="AN12" t="s">
        <v>390</v>
      </c>
      <c r="AO12" t="s">
        <v>544</v>
      </c>
      <c r="AP12" t="s">
        <v>609</v>
      </c>
      <c r="AQ12" t="s">
        <v>560</v>
      </c>
      <c r="AR12" t="s">
        <v>561</v>
      </c>
      <c r="AS12" t="s">
        <v>544</v>
      </c>
      <c r="AT12" t="s">
        <v>562</v>
      </c>
      <c r="AU12" t="s">
        <v>544</v>
      </c>
      <c r="AV12" t="s">
        <v>544</v>
      </c>
      <c r="AW12" t="s">
        <v>544</v>
      </c>
      <c r="AY12" t="s">
        <v>544</v>
      </c>
      <c r="AZ12" t="s">
        <v>544</v>
      </c>
      <c r="BB12" t="s">
        <v>563</v>
      </c>
      <c r="BC12" t="s">
        <v>563</v>
      </c>
      <c r="BD12" t="s">
        <v>544</v>
      </c>
      <c r="BE12" t="s">
        <v>544</v>
      </c>
      <c r="BF12" t="s">
        <v>544</v>
      </c>
      <c r="BG12" t="s">
        <v>544</v>
      </c>
      <c r="BH12" t="s">
        <v>544</v>
      </c>
      <c r="BI12" t="s">
        <v>544</v>
      </c>
      <c r="BJ12" t="s">
        <v>544</v>
      </c>
      <c r="BK12" t="s">
        <v>544</v>
      </c>
      <c r="BL12" t="s">
        <v>544</v>
      </c>
      <c r="BM12" t="s">
        <v>544</v>
      </c>
      <c r="BN12" t="s">
        <v>544</v>
      </c>
      <c r="BO12" t="s">
        <v>544</v>
      </c>
      <c r="BP12" t="s">
        <v>544</v>
      </c>
      <c r="BQ12" t="s">
        <v>544</v>
      </c>
    </row>
    <row r="13" spans="1:69" x14ac:dyDescent="0.3">
      <c r="A13" t="s">
        <v>610</v>
      </c>
      <c r="B13" t="s">
        <v>539</v>
      </c>
      <c r="C13" t="s">
        <v>540</v>
      </c>
      <c r="D13" t="s">
        <v>541</v>
      </c>
      <c r="E13" t="s">
        <v>542</v>
      </c>
      <c r="F13" t="s">
        <v>543</v>
      </c>
      <c r="G13" t="s">
        <v>544</v>
      </c>
      <c r="H13" s="453"/>
      <c r="I13" t="s">
        <v>544</v>
      </c>
      <c r="J13">
        <v>2523</v>
      </c>
      <c r="K13" t="s">
        <v>585</v>
      </c>
      <c r="L13" t="s">
        <v>546</v>
      </c>
      <c r="M13" t="s">
        <v>547</v>
      </c>
      <c r="N13" t="s">
        <v>548</v>
      </c>
      <c r="O13" t="s">
        <v>544</v>
      </c>
      <c r="P13" t="s">
        <v>586</v>
      </c>
      <c r="Q13" t="s">
        <v>550</v>
      </c>
      <c r="R13" t="s">
        <v>587</v>
      </c>
      <c r="S13" t="s">
        <v>588</v>
      </c>
      <c r="T13" t="s">
        <v>552</v>
      </c>
      <c r="U13" t="s">
        <v>553</v>
      </c>
      <c r="V13" t="s">
        <v>554</v>
      </c>
      <c r="W13" t="s">
        <v>373</v>
      </c>
      <c r="X13">
        <v>1.25</v>
      </c>
      <c r="Y13" t="s">
        <v>469</v>
      </c>
      <c r="Z13">
        <v>1.25</v>
      </c>
      <c r="AA13" t="s">
        <v>544</v>
      </c>
      <c r="AB13" t="s">
        <v>544</v>
      </c>
      <c r="AC13" t="s">
        <v>544</v>
      </c>
      <c r="AD13" t="s">
        <v>544</v>
      </c>
      <c r="AE13" t="s">
        <v>544</v>
      </c>
      <c r="AG13">
        <v>1</v>
      </c>
      <c r="AH13" t="s">
        <v>544</v>
      </c>
      <c r="AI13" t="s">
        <v>544</v>
      </c>
      <c r="AJ13" t="s">
        <v>611</v>
      </c>
      <c r="AK13" t="s">
        <v>611</v>
      </c>
      <c r="AL13" t="s">
        <v>557</v>
      </c>
      <c r="AM13" t="s">
        <v>558</v>
      </c>
      <c r="AN13" t="s">
        <v>390</v>
      </c>
      <c r="AO13" t="s">
        <v>544</v>
      </c>
      <c r="AP13" t="s">
        <v>612</v>
      </c>
      <c r="AQ13" t="s">
        <v>560</v>
      </c>
      <c r="AR13" t="s">
        <v>561</v>
      </c>
      <c r="AS13" t="s">
        <v>544</v>
      </c>
      <c r="AT13" t="s">
        <v>613</v>
      </c>
      <c r="AU13" t="s">
        <v>544</v>
      </c>
      <c r="AV13" t="s">
        <v>544</v>
      </c>
      <c r="AW13" t="s">
        <v>544</v>
      </c>
      <c r="AY13" t="s">
        <v>544</v>
      </c>
      <c r="AZ13" t="s">
        <v>544</v>
      </c>
      <c r="BB13" t="s">
        <v>591</v>
      </c>
      <c r="BC13" t="s">
        <v>591</v>
      </c>
      <c r="BD13" t="s">
        <v>544</v>
      </c>
      <c r="BE13" t="s">
        <v>544</v>
      </c>
      <c r="BF13" t="s">
        <v>544</v>
      </c>
      <c r="BG13" t="s">
        <v>544</v>
      </c>
      <c r="BH13" t="s">
        <v>544</v>
      </c>
      <c r="BI13" t="s">
        <v>544</v>
      </c>
      <c r="BJ13" t="s">
        <v>544</v>
      </c>
      <c r="BK13" t="s">
        <v>544</v>
      </c>
      <c r="BL13" t="s">
        <v>544</v>
      </c>
      <c r="BM13" t="s">
        <v>544</v>
      </c>
      <c r="BN13" t="s">
        <v>544</v>
      </c>
      <c r="BO13" t="s">
        <v>544</v>
      </c>
      <c r="BP13" t="s">
        <v>544</v>
      </c>
      <c r="BQ13" t="s">
        <v>544</v>
      </c>
    </row>
    <row r="14" spans="1:69" x14ac:dyDescent="0.3">
      <c r="A14" t="s">
        <v>614</v>
      </c>
      <c r="B14" t="s">
        <v>539</v>
      </c>
      <c r="C14" t="s">
        <v>540</v>
      </c>
      <c r="D14" t="s">
        <v>541</v>
      </c>
      <c r="E14" t="s">
        <v>542</v>
      </c>
      <c r="F14" t="s">
        <v>543</v>
      </c>
      <c r="G14" t="s">
        <v>544</v>
      </c>
      <c r="H14" s="453"/>
      <c r="I14" t="s">
        <v>544</v>
      </c>
      <c r="J14">
        <v>2041</v>
      </c>
      <c r="K14" t="s">
        <v>545</v>
      </c>
      <c r="L14" t="s">
        <v>546</v>
      </c>
      <c r="M14" t="s">
        <v>547</v>
      </c>
      <c r="N14" t="s">
        <v>548</v>
      </c>
      <c r="O14" t="s">
        <v>544</v>
      </c>
      <c r="P14" t="s">
        <v>549</v>
      </c>
      <c r="Q14" t="s">
        <v>550</v>
      </c>
      <c r="R14" t="s">
        <v>544</v>
      </c>
      <c r="S14" t="s">
        <v>551</v>
      </c>
      <c r="T14" t="s">
        <v>552</v>
      </c>
      <c r="U14" t="s">
        <v>553</v>
      </c>
      <c r="V14" t="s">
        <v>554</v>
      </c>
      <c r="W14" t="s">
        <v>374</v>
      </c>
      <c r="X14">
        <v>1.5</v>
      </c>
      <c r="Y14" t="s">
        <v>472</v>
      </c>
      <c r="Z14">
        <v>1.5</v>
      </c>
      <c r="AA14" t="s">
        <v>544</v>
      </c>
      <c r="AB14" t="s">
        <v>544</v>
      </c>
      <c r="AC14" t="s">
        <v>544</v>
      </c>
      <c r="AD14" t="s">
        <v>544</v>
      </c>
      <c r="AE14" t="s">
        <v>615</v>
      </c>
      <c r="AF14">
        <v>3.4117000000000002</v>
      </c>
      <c r="AG14">
        <v>1</v>
      </c>
      <c r="AH14" t="s">
        <v>544</v>
      </c>
      <c r="AI14" t="s">
        <v>544</v>
      </c>
      <c r="AJ14" t="s">
        <v>616</v>
      </c>
      <c r="AK14" t="s">
        <v>616</v>
      </c>
      <c r="AL14" t="s">
        <v>557</v>
      </c>
      <c r="AM14" t="s">
        <v>558</v>
      </c>
      <c r="AN14" t="s">
        <v>389</v>
      </c>
      <c r="AO14" t="s">
        <v>544</v>
      </c>
      <c r="AP14" t="s">
        <v>617</v>
      </c>
      <c r="AQ14" t="s">
        <v>560</v>
      </c>
      <c r="AR14" t="s">
        <v>561</v>
      </c>
      <c r="AS14" t="s">
        <v>544</v>
      </c>
      <c r="AT14" t="s">
        <v>562</v>
      </c>
      <c r="AU14" t="s">
        <v>544</v>
      </c>
      <c r="AV14" t="s">
        <v>544</v>
      </c>
      <c r="AW14" t="s">
        <v>544</v>
      </c>
      <c r="AY14" t="s">
        <v>544</v>
      </c>
      <c r="AZ14" t="s">
        <v>544</v>
      </c>
      <c r="BB14" t="s">
        <v>563</v>
      </c>
      <c r="BC14" t="s">
        <v>563</v>
      </c>
      <c r="BD14" t="s">
        <v>544</v>
      </c>
      <c r="BE14" t="s">
        <v>544</v>
      </c>
      <c r="BF14" t="s">
        <v>544</v>
      </c>
      <c r="BG14" t="s">
        <v>544</v>
      </c>
      <c r="BH14" t="s">
        <v>544</v>
      </c>
      <c r="BI14" t="s">
        <v>544</v>
      </c>
      <c r="BJ14" t="s">
        <v>544</v>
      </c>
      <c r="BK14" t="s">
        <v>544</v>
      </c>
      <c r="BL14" t="s">
        <v>544</v>
      </c>
      <c r="BM14" t="s">
        <v>544</v>
      </c>
      <c r="BN14" t="s">
        <v>544</v>
      </c>
      <c r="BO14" t="s">
        <v>544</v>
      </c>
      <c r="BP14" t="s">
        <v>544</v>
      </c>
      <c r="BQ14" t="s">
        <v>544</v>
      </c>
    </row>
    <row r="15" spans="1:69" x14ac:dyDescent="0.3">
      <c r="A15" t="s">
        <v>618</v>
      </c>
      <c r="B15" t="s">
        <v>539</v>
      </c>
      <c r="C15" t="s">
        <v>540</v>
      </c>
      <c r="D15" t="s">
        <v>541</v>
      </c>
      <c r="E15" t="s">
        <v>542</v>
      </c>
      <c r="F15" t="s">
        <v>543</v>
      </c>
      <c r="G15" t="s">
        <v>544</v>
      </c>
      <c r="H15" s="453"/>
      <c r="I15" t="s">
        <v>544</v>
      </c>
      <c r="J15">
        <v>2523</v>
      </c>
      <c r="K15" t="s">
        <v>585</v>
      </c>
      <c r="L15" t="s">
        <v>546</v>
      </c>
      <c r="M15" t="s">
        <v>547</v>
      </c>
      <c r="N15" t="s">
        <v>548</v>
      </c>
      <c r="O15" t="s">
        <v>544</v>
      </c>
      <c r="P15" t="s">
        <v>619</v>
      </c>
      <c r="Q15" t="s">
        <v>550</v>
      </c>
      <c r="R15" t="s">
        <v>596</v>
      </c>
      <c r="S15" t="s">
        <v>588</v>
      </c>
      <c r="T15" t="s">
        <v>552</v>
      </c>
      <c r="U15" t="s">
        <v>553</v>
      </c>
      <c r="V15" t="s">
        <v>554</v>
      </c>
      <c r="W15" t="s">
        <v>374</v>
      </c>
      <c r="X15">
        <v>1.5</v>
      </c>
      <c r="Y15" t="s">
        <v>472</v>
      </c>
      <c r="Z15">
        <v>1.5</v>
      </c>
      <c r="AA15" t="s">
        <v>544</v>
      </c>
      <c r="AB15" t="s">
        <v>544</v>
      </c>
      <c r="AC15" t="s">
        <v>544</v>
      </c>
      <c r="AD15" t="s">
        <v>544</v>
      </c>
      <c r="AE15" t="s">
        <v>544</v>
      </c>
      <c r="AG15">
        <v>1</v>
      </c>
      <c r="AH15" t="s">
        <v>544</v>
      </c>
      <c r="AI15" t="s">
        <v>544</v>
      </c>
      <c r="AJ15" t="s">
        <v>616</v>
      </c>
      <c r="AK15" t="s">
        <v>616</v>
      </c>
      <c r="AL15" t="s">
        <v>557</v>
      </c>
      <c r="AM15" t="s">
        <v>558</v>
      </c>
      <c r="AN15" t="s">
        <v>391</v>
      </c>
      <c r="AO15" t="s">
        <v>544</v>
      </c>
      <c r="AP15" t="s">
        <v>620</v>
      </c>
      <c r="AQ15" t="s">
        <v>560</v>
      </c>
      <c r="AR15" t="s">
        <v>561</v>
      </c>
      <c r="AS15" t="s">
        <v>544</v>
      </c>
      <c r="AT15" t="s">
        <v>621</v>
      </c>
      <c r="AU15" t="s">
        <v>544</v>
      </c>
      <c r="AV15" t="s">
        <v>544</v>
      </c>
      <c r="AW15" t="s">
        <v>544</v>
      </c>
      <c r="AY15" t="s">
        <v>544</v>
      </c>
      <c r="AZ15" t="s">
        <v>544</v>
      </c>
      <c r="BB15" t="s">
        <v>591</v>
      </c>
      <c r="BC15" t="s">
        <v>591</v>
      </c>
      <c r="BD15" t="s">
        <v>544</v>
      </c>
      <c r="BE15" t="s">
        <v>544</v>
      </c>
      <c r="BF15" t="s">
        <v>544</v>
      </c>
      <c r="BG15" t="s">
        <v>544</v>
      </c>
      <c r="BH15" t="s">
        <v>544</v>
      </c>
      <c r="BI15" t="s">
        <v>544</v>
      </c>
      <c r="BJ15" t="s">
        <v>544</v>
      </c>
      <c r="BK15" t="s">
        <v>544</v>
      </c>
      <c r="BL15" t="s">
        <v>544</v>
      </c>
      <c r="BM15" t="s">
        <v>544</v>
      </c>
      <c r="BN15" t="s">
        <v>544</v>
      </c>
      <c r="BO15" t="s">
        <v>544</v>
      </c>
      <c r="BP15" t="s">
        <v>544</v>
      </c>
      <c r="BQ15" t="s">
        <v>544</v>
      </c>
    </row>
    <row r="16" spans="1:69" x14ac:dyDescent="0.3">
      <c r="A16" t="s">
        <v>622</v>
      </c>
      <c r="B16" t="s">
        <v>539</v>
      </c>
      <c r="C16" t="s">
        <v>540</v>
      </c>
      <c r="D16" t="s">
        <v>541</v>
      </c>
      <c r="E16" t="s">
        <v>542</v>
      </c>
      <c r="F16" t="s">
        <v>543</v>
      </c>
      <c r="G16" t="s">
        <v>544</v>
      </c>
      <c r="H16" s="453"/>
      <c r="I16" t="s">
        <v>544</v>
      </c>
      <c r="J16">
        <v>2041</v>
      </c>
      <c r="K16" t="s">
        <v>545</v>
      </c>
      <c r="L16" t="s">
        <v>593</v>
      </c>
      <c r="M16" t="s">
        <v>547</v>
      </c>
      <c r="N16" t="s">
        <v>548</v>
      </c>
      <c r="O16" t="s">
        <v>544</v>
      </c>
      <c r="P16" t="s">
        <v>623</v>
      </c>
      <c r="Q16" t="s">
        <v>624</v>
      </c>
      <c r="R16" t="s">
        <v>544</v>
      </c>
      <c r="S16" t="s">
        <v>625</v>
      </c>
      <c r="T16" t="s">
        <v>552</v>
      </c>
      <c r="U16" t="s">
        <v>553</v>
      </c>
      <c r="V16" t="s">
        <v>554</v>
      </c>
      <c r="W16" t="s">
        <v>374</v>
      </c>
      <c r="X16">
        <v>1.5</v>
      </c>
      <c r="Y16" t="s">
        <v>472</v>
      </c>
      <c r="Z16">
        <v>1.5</v>
      </c>
      <c r="AA16" t="s">
        <v>544</v>
      </c>
      <c r="AB16" t="s">
        <v>544</v>
      </c>
      <c r="AC16" t="s">
        <v>544</v>
      </c>
      <c r="AD16" t="s">
        <v>544</v>
      </c>
      <c r="AE16" t="s">
        <v>626</v>
      </c>
      <c r="AF16">
        <v>2.7052</v>
      </c>
      <c r="AG16">
        <v>1</v>
      </c>
      <c r="AH16" t="s">
        <v>544</v>
      </c>
      <c r="AI16" t="s">
        <v>544</v>
      </c>
      <c r="AJ16" t="s">
        <v>616</v>
      </c>
      <c r="AK16" t="s">
        <v>616</v>
      </c>
      <c r="AL16" t="s">
        <v>557</v>
      </c>
      <c r="AM16" t="s">
        <v>558</v>
      </c>
      <c r="AN16" t="s">
        <v>390</v>
      </c>
      <c r="AO16" t="s">
        <v>544</v>
      </c>
      <c r="AP16" t="s">
        <v>627</v>
      </c>
      <c r="AQ16" t="s">
        <v>560</v>
      </c>
      <c r="AR16" t="s">
        <v>561</v>
      </c>
      <c r="AS16" t="s">
        <v>544</v>
      </c>
      <c r="AT16" t="s">
        <v>628</v>
      </c>
      <c r="AU16" t="s">
        <v>544</v>
      </c>
      <c r="AV16" t="s">
        <v>544</v>
      </c>
      <c r="AW16" t="s">
        <v>544</v>
      </c>
      <c r="AY16" t="s">
        <v>544</v>
      </c>
      <c r="AZ16" t="s">
        <v>544</v>
      </c>
      <c r="BB16" t="s">
        <v>629</v>
      </c>
      <c r="BC16" t="s">
        <v>629</v>
      </c>
      <c r="BD16" t="s">
        <v>544</v>
      </c>
      <c r="BE16" t="s">
        <v>544</v>
      </c>
      <c r="BF16" t="s">
        <v>544</v>
      </c>
      <c r="BG16" t="s">
        <v>544</v>
      </c>
      <c r="BH16" t="s">
        <v>544</v>
      </c>
      <c r="BI16" t="s">
        <v>544</v>
      </c>
      <c r="BJ16" t="s">
        <v>544</v>
      </c>
      <c r="BK16" t="s">
        <v>544</v>
      </c>
      <c r="BL16" t="s">
        <v>544</v>
      </c>
      <c r="BM16" t="s">
        <v>544</v>
      </c>
      <c r="BN16" t="s">
        <v>544</v>
      </c>
      <c r="BO16" t="s">
        <v>544</v>
      </c>
      <c r="BP16" t="s">
        <v>544</v>
      </c>
      <c r="BQ16" t="s">
        <v>544</v>
      </c>
    </row>
    <row r="17" spans="1:69" x14ac:dyDescent="0.3">
      <c r="A17" t="s">
        <v>630</v>
      </c>
      <c r="B17" t="s">
        <v>539</v>
      </c>
      <c r="C17" t="s">
        <v>540</v>
      </c>
      <c r="D17" t="s">
        <v>541</v>
      </c>
      <c r="E17" t="s">
        <v>542</v>
      </c>
      <c r="F17" t="s">
        <v>543</v>
      </c>
      <c r="G17" t="s">
        <v>544</v>
      </c>
      <c r="H17" s="453"/>
      <c r="I17" t="s">
        <v>544</v>
      </c>
      <c r="J17">
        <v>2523</v>
      </c>
      <c r="K17" t="s">
        <v>585</v>
      </c>
      <c r="L17" t="s">
        <v>546</v>
      </c>
      <c r="M17" t="s">
        <v>547</v>
      </c>
      <c r="N17" t="s">
        <v>548</v>
      </c>
      <c r="O17" t="s">
        <v>544</v>
      </c>
      <c r="P17" t="s">
        <v>619</v>
      </c>
      <c r="Q17" t="s">
        <v>550</v>
      </c>
      <c r="R17" t="s">
        <v>596</v>
      </c>
      <c r="S17" t="s">
        <v>588</v>
      </c>
      <c r="T17" t="s">
        <v>552</v>
      </c>
      <c r="U17" t="s">
        <v>553</v>
      </c>
      <c r="V17" t="s">
        <v>554</v>
      </c>
      <c r="W17" t="s">
        <v>374</v>
      </c>
      <c r="X17">
        <v>1.5</v>
      </c>
      <c r="Y17" t="s">
        <v>472</v>
      </c>
      <c r="Z17">
        <v>1.5</v>
      </c>
      <c r="AA17" t="s">
        <v>544</v>
      </c>
      <c r="AB17" t="s">
        <v>544</v>
      </c>
      <c r="AC17" t="s">
        <v>544</v>
      </c>
      <c r="AD17" t="s">
        <v>544</v>
      </c>
      <c r="AE17" t="s">
        <v>544</v>
      </c>
      <c r="AG17">
        <v>1</v>
      </c>
      <c r="AH17" t="s">
        <v>544</v>
      </c>
      <c r="AI17" t="s">
        <v>544</v>
      </c>
      <c r="AJ17" t="s">
        <v>616</v>
      </c>
      <c r="AK17" t="s">
        <v>616</v>
      </c>
      <c r="AL17" t="s">
        <v>557</v>
      </c>
      <c r="AM17" t="s">
        <v>558</v>
      </c>
      <c r="AN17" t="s">
        <v>391</v>
      </c>
      <c r="AO17" t="s">
        <v>544</v>
      </c>
      <c r="AP17" t="s">
        <v>620</v>
      </c>
      <c r="AQ17" t="s">
        <v>560</v>
      </c>
      <c r="AR17" t="s">
        <v>561</v>
      </c>
      <c r="AS17" t="s">
        <v>544</v>
      </c>
      <c r="AT17" t="s">
        <v>621</v>
      </c>
      <c r="AU17" t="s">
        <v>544</v>
      </c>
      <c r="AV17" t="s">
        <v>544</v>
      </c>
      <c r="AW17" t="s">
        <v>544</v>
      </c>
      <c r="AY17" t="s">
        <v>544</v>
      </c>
      <c r="AZ17" t="s">
        <v>544</v>
      </c>
      <c r="BB17" t="s">
        <v>591</v>
      </c>
      <c r="BC17" t="s">
        <v>591</v>
      </c>
      <c r="BD17" t="s">
        <v>544</v>
      </c>
      <c r="BE17" t="s">
        <v>544</v>
      </c>
      <c r="BF17" t="s">
        <v>544</v>
      </c>
      <c r="BG17" t="s">
        <v>544</v>
      </c>
      <c r="BH17" t="s">
        <v>544</v>
      </c>
      <c r="BI17" t="s">
        <v>544</v>
      </c>
      <c r="BJ17" t="s">
        <v>544</v>
      </c>
      <c r="BK17" t="s">
        <v>544</v>
      </c>
      <c r="BL17" t="s">
        <v>544</v>
      </c>
      <c r="BM17" t="s">
        <v>544</v>
      </c>
      <c r="BN17" t="s">
        <v>544</v>
      </c>
      <c r="BO17" t="s">
        <v>544</v>
      </c>
      <c r="BP17" t="s">
        <v>544</v>
      </c>
      <c r="BQ17" t="s">
        <v>544</v>
      </c>
    </row>
    <row r="18" spans="1:69" x14ac:dyDescent="0.3">
      <c r="A18" t="s">
        <v>631</v>
      </c>
      <c r="B18" t="s">
        <v>539</v>
      </c>
      <c r="C18" t="s">
        <v>540</v>
      </c>
      <c r="D18" t="s">
        <v>541</v>
      </c>
      <c r="E18" t="s">
        <v>542</v>
      </c>
      <c r="F18" t="s">
        <v>543</v>
      </c>
      <c r="G18" t="s">
        <v>544</v>
      </c>
      <c r="H18" s="453"/>
      <c r="I18" t="s">
        <v>544</v>
      </c>
      <c r="J18">
        <v>2041</v>
      </c>
      <c r="K18" t="s">
        <v>545</v>
      </c>
      <c r="L18" t="s">
        <v>593</v>
      </c>
      <c r="M18" t="s">
        <v>547</v>
      </c>
      <c r="N18" t="s">
        <v>548</v>
      </c>
      <c r="O18" t="s">
        <v>544</v>
      </c>
      <c r="P18" t="s">
        <v>623</v>
      </c>
      <c r="Q18" t="s">
        <v>624</v>
      </c>
      <c r="R18" t="s">
        <v>544</v>
      </c>
      <c r="S18" t="s">
        <v>625</v>
      </c>
      <c r="T18" t="s">
        <v>552</v>
      </c>
      <c r="U18" t="s">
        <v>553</v>
      </c>
      <c r="V18" t="s">
        <v>554</v>
      </c>
      <c r="W18" t="s">
        <v>374</v>
      </c>
      <c r="X18">
        <v>1.5</v>
      </c>
      <c r="Y18" t="s">
        <v>472</v>
      </c>
      <c r="Z18">
        <v>1.5</v>
      </c>
      <c r="AA18" t="s">
        <v>544</v>
      </c>
      <c r="AB18" t="s">
        <v>544</v>
      </c>
      <c r="AC18" t="s">
        <v>544</v>
      </c>
      <c r="AD18" t="s">
        <v>544</v>
      </c>
      <c r="AE18" t="s">
        <v>632</v>
      </c>
      <c r="AF18">
        <v>0.2213</v>
      </c>
      <c r="AG18">
        <v>1</v>
      </c>
      <c r="AH18" t="s">
        <v>544</v>
      </c>
      <c r="AI18" t="s">
        <v>544</v>
      </c>
      <c r="AJ18" t="s">
        <v>566</v>
      </c>
      <c r="AK18" t="s">
        <v>566</v>
      </c>
      <c r="AL18" t="s">
        <v>557</v>
      </c>
      <c r="AM18" t="s">
        <v>558</v>
      </c>
      <c r="AN18" t="s">
        <v>391</v>
      </c>
      <c r="AO18" t="s">
        <v>544</v>
      </c>
      <c r="AP18" t="s">
        <v>620</v>
      </c>
      <c r="AQ18" t="s">
        <v>560</v>
      </c>
      <c r="AR18" t="s">
        <v>561</v>
      </c>
      <c r="AS18" t="s">
        <v>544</v>
      </c>
      <c r="AT18" t="s">
        <v>628</v>
      </c>
      <c r="AU18" t="s">
        <v>544</v>
      </c>
      <c r="AV18" t="s">
        <v>544</v>
      </c>
      <c r="AW18" t="s">
        <v>544</v>
      </c>
      <c r="AY18" t="s">
        <v>544</v>
      </c>
      <c r="AZ18" t="s">
        <v>544</v>
      </c>
      <c r="BB18" t="s">
        <v>629</v>
      </c>
      <c r="BC18" t="s">
        <v>629</v>
      </c>
      <c r="BD18" t="s">
        <v>544</v>
      </c>
      <c r="BE18" t="s">
        <v>544</v>
      </c>
      <c r="BF18" t="s">
        <v>544</v>
      </c>
      <c r="BG18" t="s">
        <v>544</v>
      </c>
      <c r="BH18" t="s">
        <v>544</v>
      </c>
      <c r="BI18" t="s">
        <v>544</v>
      </c>
      <c r="BJ18" t="s">
        <v>544</v>
      </c>
      <c r="BK18" t="s">
        <v>544</v>
      </c>
      <c r="BL18" t="s">
        <v>544</v>
      </c>
      <c r="BM18" t="s">
        <v>544</v>
      </c>
      <c r="BN18" t="s">
        <v>544</v>
      </c>
      <c r="BO18" t="s">
        <v>544</v>
      </c>
      <c r="BP18" t="s">
        <v>544</v>
      </c>
      <c r="BQ18" t="s">
        <v>544</v>
      </c>
    </row>
    <row r="19" spans="1:69" x14ac:dyDescent="0.3">
      <c r="A19" t="s">
        <v>633</v>
      </c>
      <c r="B19" t="s">
        <v>539</v>
      </c>
      <c r="C19" t="s">
        <v>540</v>
      </c>
      <c r="D19" t="s">
        <v>541</v>
      </c>
      <c r="E19" t="s">
        <v>542</v>
      </c>
      <c r="F19" t="s">
        <v>543</v>
      </c>
      <c r="G19" t="s">
        <v>544</v>
      </c>
      <c r="H19" s="453"/>
      <c r="I19" t="s">
        <v>544</v>
      </c>
      <c r="J19">
        <v>2523</v>
      </c>
      <c r="K19" t="s">
        <v>585</v>
      </c>
      <c r="L19" t="s">
        <v>546</v>
      </c>
      <c r="M19" t="s">
        <v>547</v>
      </c>
      <c r="N19" t="s">
        <v>548</v>
      </c>
      <c r="O19" t="s">
        <v>544</v>
      </c>
      <c r="P19" t="s">
        <v>619</v>
      </c>
      <c r="Q19" t="s">
        <v>550</v>
      </c>
      <c r="R19" t="s">
        <v>596</v>
      </c>
      <c r="S19" t="s">
        <v>588</v>
      </c>
      <c r="T19" t="s">
        <v>552</v>
      </c>
      <c r="U19" t="s">
        <v>553</v>
      </c>
      <c r="V19" t="s">
        <v>554</v>
      </c>
      <c r="W19" t="s">
        <v>374</v>
      </c>
      <c r="X19">
        <v>1.5</v>
      </c>
      <c r="Y19" t="s">
        <v>472</v>
      </c>
      <c r="Z19">
        <v>1.5</v>
      </c>
      <c r="AA19" t="s">
        <v>544</v>
      </c>
      <c r="AB19" t="s">
        <v>544</v>
      </c>
      <c r="AC19" t="s">
        <v>544</v>
      </c>
      <c r="AD19" t="s">
        <v>544</v>
      </c>
      <c r="AE19" t="s">
        <v>544</v>
      </c>
      <c r="AG19">
        <v>1</v>
      </c>
      <c r="AH19" t="s">
        <v>544</v>
      </c>
      <c r="AI19" t="s">
        <v>544</v>
      </c>
      <c r="AJ19" t="s">
        <v>566</v>
      </c>
      <c r="AK19" t="s">
        <v>566</v>
      </c>
      <c r="AL19" t="s">
        <v>557</v>
      </c>
      <c r="AM19" t="s">
        <v>558</v>
      </c>
      <c r="AN19" t="s">
        <v>393</v>
      </c>
      <c r="AO19" t="s">
        <v>544</v>
      </c>
      <c r="AP19" t="s">
        <v>620</v>
      </c>
      <c r="AQ19" t="s">
        <v>560</v>
      </c>
      <c r="AR19" t="s">
        <v>561</v>
      </c>
      <c r="AS19" t="s">
        <v>544</v>
      </c>
      <c r="AT19" t="s">
        <v>621</v>
      </c>
      <c r="AU19" t="s">
        <v>544</v>
      </c>
      <c r="AV19" t="s">
        <v>544</v>
      </c>
      <c r="AW19" t="s">
        <v>544</v>
      </c>
      <c r="AY19" t="s">
        <v>544</v>
      </c>
      <c r="AZ19" t="s">
        <v>544</v>
      </c>
      <c r="BB19" t="s">
        <v>591</v>
      </c>
      <c r="BC19" t="s">
        <v>591</v>
      </c>
      <c r="BD19" t="s">
        <v>544</v>
      </c>
      <c r="BE19" t="s">
        <v>544</v>
      </c>
      <c r="BF19" t="s">
        <v>544</v>
      </c>
      <c r="BG19" t="s">
        <v>544</v>
      </c>
      <c r="BH19" t="s">
        <v>544</v>
      </c>
      <c r="BI19" t="s">
        <v>544</v>
      </c>
      <c r="BJ19" t="s">
        <v>544</v>
      </c>
      <c r="BK19" t="s">
        <v>544</v>
      </c>
      <c r="BL19" t="s">
        <v>544</v>
      </c>
      <c r="BM19" t="s">
        <v>544</v>
      </c>
      <c r="BN19" t="s">
        <v>544</v>
      </c>
      <c r="BO19" t="s">
        <v>544</v>
      </c>
      <c r="BP19" t="s">
        <v>544</v>
      </c>
      <c r="BQ19" t="s">
        <v>544</v>
      </c>
    </row>
    <row r="20" spans="1:69" x14ac:dyDescent="0.3">
      <c r="A20" t="s">
        <v>634</v>
      </c>
      <c r="B20" t="s">
        <v>539</v>
      </c>
      <c r="C20" t="s">
        <v>540</v>
      </c>
      <c r="D20" t="s">
        <v>541</v>
      </c>
      <c r="E20" t="s">
        <v>542</v>
      </c>
      <c r="F20" t="s">
        <v>543</v>
      </c>
      <c r="G20" t="s">
        <v>544</v>
      </c>
      <c r="H20" s="453"/>
      <c r="I20" t="s">
        <v>544</v>
      </c>
      <c r="J20">
        <v>2041</v>
      </c>
      <c r="K20" t="s">
        <v>545</v>
      </c>
      <c r="L20" t="s">
        <v>546</v>
      </c>
      <c r="M20" t="s">
        <v>547</v>
      </c>
      <c r="N20" t="s">
        <v>548</v>
      </c>
      <c r="O20" t="s">
        <v>544</v>
      </c>
      <c r="P20" t="s">
        <v>549</v>
      </c>
      <c r="Q20" t="s">
        <v>550</v>
      </c>
      <c r="R20" t="s">
        <v>544</v>
      </c>
      <c r="S20" t="s">
        <v>551</v>
      </c>
      <c r="T20" t="s">
        <v>552</v>
      </c>
      <c r="U20" t="s">
        <v>553</v>
      </c>
      <c r="V20" t="s">
        <v>554</v>
      </c>
      <c r="W20" t="s">
        <v>374</v>
      </c>
      <c r="X20">
        <v>1.5</v>
      </c>
      <c r="Y20" t="s">
        <v>472</v>
      </c>
      <c r="Z20">
        <v>1.5</v>
      </c>
      <c r="AA20" t="s">
        <v>544</v>
      </c>
      <c r="AB20" t="s">
        <v>544</v>
      </c>
      <c r="AC20" t="s">
        <v>544</v>
      </c>
      <c r="AD20" t="s">
        <v>544</v>
      </c>
      <c r="AE20" t="s">
        <v>635</v>
      </c>
      <c r="AF20">
        <v>2.3551000000000002</v>
      </c>
      <c r="AG20">
        <v>1</v>
      </c>
      <c r="AH20" t="s">
        <v>544</v>
      </c>
      <c r="AI20" t="s">
        <v>544</v>
      </c>
      <c r="AJ20" t="s">
        <v>636</v>
      </c>
      <c r="AK20" t="s">
        <v>636</v>
      </c>
      <c r="AL20" t="s">
        <v>557</v>
      </c>
      <c r="AM20" t="s">
        <v>558</v>
      </c>
      <c r="AN20" t="s">
        <v>389</v>
      </c>
      <c r="AO20" t="s">
        <v>544</v>
      </c>
      <c r="AP20" t="s">
        <v>637</v>
      </c>
      <c r="AQ20" t="s">
        <v>560</v>
      </c>
      <c r="AR20" t="s">
        <v>561</v>
      </c>
      <c r="AS20" t="s">
        <v>544</v>
      </c>
      <c r="AT20" t="s">
        <v>562</v>
      </c>
      <c r="AU20" t="s">
        <v>544</v>
      </c>
      <c r="AV20" t="s">
        <v>544</v>
      </c>
      <c r="AW20" t="s">
        <v>544</v>
      </c>
      <c r="AY20" t="s">
        <v>544</v>
      </c>
      <c r="AZ20" t="s">
        <v>544</v>
      </c>
      <c r="BB20" t="s">
        <v>563</v>
      </c>
      <c r="BC20" t="s">
        <v>563</v>
      </c>
      <c r="BD20" t="s">
        <v>544</v>
      </c>
      <c r="BE20" t="s">
        <v>544</v>
      </c>
      <c r="BF20" t="s">
        <v>544</v>
      </c>
      <c r="BG20" t="s">
        <v>544</v>
      </c>
      <c r="BH20" t="s">
        <v>544</v>
      </c>
      <c r="BI20" t="s">
        <v>544</v>
      </c>
      <c r="BJ20" t="s">
        <v>544</v>
      </c>
      <c r="BK20" t="s">
        <v>544</v>
      </c>
      <c r="BL20" t="s">
        <v>544</v>
      </c>
      <c r="BM20" t="s">
        <v>544</v>
      </c>
      <c r="BN20" t="s">
        <v>544</v>
      </c>
      <c r="BO20" t="s">
        <v>544</v>
      </c>
      <c r="BP20" t="s">
        <v>544</v>
      </c>
      <c r="BQ20" t="s">
        <v>544</v>
      </c>
    </row>
    <row r="21" spans="1:69" x14ac:dyDescent="0.3">
      <c r="A21" t="s">
        <v>638</v>
      </c>
      <c r="B21" t="s">
        <v>539</v>
      </c>
      <c r="C21" t="s">
        <v>540</v>
      </c>
      <c r="D21" t="s">
        <v>541</v>
      </c>
      <c r="E21" t="s">
        <v>542</v>
      </c>
      <c r="F21" t="s">
        <v>543</v>
      </c>
      <c r="G21" t="s">
        <v>544</v>
      </c>
      <c r="H21" s="453"/>
      <c r="I21" t="s">
        <v>544</v>
      </c>
      <c r="J21">
        <v>2523</v>
      </c>
      <c r="K21" t="s">
        <v>585</v>
      </c>
      <c r="L21" t="s">
        <v>546</v>
      </c>
      <c r="M21" t="s">
        <v>547</v>
      </c>
      <c r="N21" t="s">
        <v>548</v>
      </c>
      <c r="O21" t="s">
        <v>544</v>
      </c>
      <c r="P21" t="s">
        <v>586</v>
      </c>
      <c r="Q21" t="s">
        <v>550</v>
      </c>
      <c r="R21" t="s">
        <v>587</v>
      </c>
      <c r="S21" t="s">
        <v>588</v>
      </c>
      <c r="T21" t="s">
        <v>552</v>
      </c>
      <c r="U21" t="s">
        <v>553</v>
      </c>
      <c r="V21" t="s">
        <v>554</v>
      </c>
      <c r="W21" t="s">
        <v>374</v>
      </c>
      <c r="X21">
        <v>1.5</v>
      </c>
      <c r="Y21" t="s">
        <v>472</v>
      </c>
      <c r="Z21">
        <v>1.5</v>
      </c>
      <c r="AA21" t="s">
        <v>544</v>
      </c>
      <c r="AB21" t="s">
        <v>544</v>
      </c>
      <c r="AC21" t="s">
        <v>544</v>
      </c>
      <c r="AD21" t="s">
        <v>544</v>
      </c>
      <c r="AE21" t="s">
        <v>544</v>
      </c>
      <c r="AG21">
        <v>1</v>
      </c>
      <c r="AH21" t="s">
        <v>544</v>
      </c>
      <c r="AI21" t="s">
        <v>544</v>
      </c>
      <c r="AJ21" t="s">
        <v>639</v>
      </c>
      <c r="AK21" t="s">
        <v>639</v>
      </c>
      <c r="AL21" t="s">
        <v>557</v>
      </c>
      <c r="AM21" t="s">
        <v>558</v>
      </c>
      <c r="AN21" t="s">
        <v>390</v>
      </c>
      <c r="AO21" t="s">
        <v>544</v>
      </c>
      <c r="AP21" t="s">
        <v>589</v>
      </c>
      <c r="AQ21" t="s">
        <v>560</v>
      </c>
      <c r="AR21" t="s">
        <v>561</v>
      </c>
      <c r="AS21" t="s">
        <v>544</v>
      </c>
      <c r="AT21" t="s">
        <v>590</v>
      </c>
      <c r="AU21" t="s">
        <v>544</v>
      </c>
      <c r="AV21" t="s">
        <v>544</v>
      </c>
      <c r="AW21" t="s">
        <v>544</v>
      </c>
      <c r="AY21" t="s">
        <v>544</v>
      </c>
      <c r="AZ21" t="s">
        <v>544</v>
      </c>
      <c r="BB21" t="s">
        <v>591</v>
      </c>
      <c r="BC21" t="s">
        <v>591</v>
      </c>
      <c r="BD21" t="s">
        <v>544</v>
      </c>
      <c r="BE21" t="s">
        <v>544</v>
      </c>
      <c r="BF21" t="s">
        <v>544</v>
      </c>
      <c r="BG21" t="s">
        <v>544</v>
      </c>
      <c r="BH21" t="s">
        <v>544</v>
      </c>
      <c r="BI21" t="s">
        <v>544</v>
      </c>
      <c r="BJ21" t="s">
        <v>544</v>
      </c>
      <c r="BK21" t="s">
        <v>544</v>
      </c>
      <c r="BL21" t="s">
        <v>544</v>
      </c>
      <c r="BM21" t="s">
        <v>544</v>
      </c>
      <c r="BN21" t="s">
        <v>544</v>
      </c>
      <c r="BO21" t="s">
        <v>544</v>
      </c>
      <c r="BP21" t="s">
        <v>544</v>
      </c>
      <c r="BQ21" t="s">
        <v>544</v>
      </c>
    </row>
    <row r="22" spans="1:69" x14ac:dyDescent="0.3">
      <c r="A22" t="s">
        <v>640</v>
      </c>
      <c r="B22" t="s">
        <v>539</v>
      </c>
      <c r="C22" t="s">
        <v>540</v>
      </c>
      <c r="D22" t="s">
        <v>541</v>
      </c>
      <c r="E22" t="s">
        <v>542</v>
      </c>
      <c r="F22" t="s">
        <v>543</v>
      </c>
      <c r="G22" t="s">
        <v>544</v>
      </c>
      <c r="H22" s="453"/>
      <c r="I22" t="s">
        <v>544</v>
      </c>
      <c r="J22">
        <v>2523</v>
      </c>
      <c r="K22" t="s">
        <v>585</v>
      </c>
      <c r="L22" t="s">
        <v>546</v>
      </c>
      <c r="M22" t="s">
        <v>547</v>
      </c>
      <c r="N22" t="s">
        <v>548</v>
      </c>
      <c r="O22" t="s">
        <v>544</v>
      </c>
      <c r="P22" t="s">
        <v>586</v>
      </c>
      <c r="Q22" t="s">
        <v>550</v>
      </c>
      <c r="R22" t="s">
        <v>587</v>
      </c>
      <c r="S22" t="s">
        <v>588</v>
      </c>
      <c r="T22" t="s">
        <v>552</v>
      </c>
      <c r="U22" t="s">
        <v>553</v>
      </c>
      <c r="V22" t="s">
        <v>554</v>
      </c>
      <c r="W22" t="s">
        <v>374</v>
      </c>
      <c r="X22">
        <v>1.5</v>
      </c>
      <c r="Y22" t="s">
        <v>472</v>
      </c>
      <c r="Z22">
        <v>1.5</v>
      </c>
      <c r="AA22" t="s">
        <v>544</v>
      </c>
      <c r="AB22" t="s">
        <v>544</v>
      </c>
      <c r="AC22" t="s">
        <v>544</v>
      </c>
      <c r="AD22" t="s">
        <v>544</v>
      </c>
      <c r="AE22" t="s">
        <v>544</v>
      </c>
      <c r="AG22">
        <v>1</v>
      </c>
      <c r="AH22" t="s">
        <v>544</v>
      </c>
      <c r="AI22" t="s">
        <v>544</v>
      </c>
      <c r="AJ22" t="s">
        <v>636</v>
      </c>
      <c r="AK22" t="s">
        <v>636</v>
      </c>
      <c r="AL22" t="s">
        <v>557</v>
      </c>
      <c r="AM22" t="s">
        <v>558</v>
      </c>
      <c r="AN22" t="s">
        <v>390</v>
      </c>
      <c r="AO22" t="s">
        <v>544</v>
      </c>
      <c r="AP22" t="s">
        <v>589</v>
      </c>
      <c r="AQ22" t="s">
        <v>560</v>
      </c>
      <c r="AR22" t="s">
        <v>561</v>
      </c>
      <c r="AS22" t="s">
        <v>544</v>
      </c>
      <c r="AT22" t="s">
        <v>590</v>
      </c>
      <c r="AU22" t="s">
        <v>544</v>
      </c>
      <c r="AV22" t="s">
        <v>544</v>
      </c>
      <c r="AW22" t="s">
        <v>544</v>
      </c>
      <c r="AY22" t="s">
        <v>544</v>
      </c>
      <c r="AZ22" t="s">
        <v>544</v>
      </c>
      <c r="BB22" t="s">
        <v>591</v>
      </c>
      <c r="BC22" t="s">
        <v>591</v>
      </c>
      <c r="BD22" t="s">
        <v>544</v>
      </c>
      <c r="BE22" t="s">
        <v>544</v>
      </c>
      <c r="BF22" t="s">
        <v>544</v>
      </c>
      <c r="BG22" t="s">
        <v>544</v>
      </c>
      <c r="BH22" t="s">
        <v>544</v>
      </c>
      <c r="BI22" t="s">
        <v>544</v>
      </c>
      <c r="BJ22" t="s">
        <v>544</v>
      </c>
      <c r="BK22" t="s">
        <v>544</v>
      </c>
      <c r="BL22" t="s">
        <v>544</v>
      </c>
      <c r="BM22" t="s">
        <v>544</v>
      </c>
      <c r="BN22" t="s">
        <v>544</v>
      </c>
      <c r="BO22" t="s">
        <v>544</v>
      </c>
      <c r="BP22" t="s">
        <v>544</v>
      </c>
      <c r="BQ22" t="s">
        <v>544</v>
      </c>
    </row>
    <row r="23" spans="1:69" x14ac:dyDescent="0.3">
      <c r="A23" t="s">
        <v>641</v>
      </c>
      <c r="B23" t="s">
        <v>539</v>
      </c>
      <c r="C23" t="s">
        <v>540</v>
      </c>
      <c r="D23" t="s">
        <v>541</v>
      </c>
      <c r="E23" t="s">
        <v>542</v>
      </c>
      <c r="F23" t="s">
        <v>543</v>
      </c>
      <c r="G23" t="s">
        <v>544</v>
      </c>
      <c r="H23" s="453"/>
      <c r="I23" t="s">
        <v>544</v>
      </c>
      <c r="J23">
        <v>2041</v>
      </c>
      <c r="K23" t="s">
        <v>545</v>
      </c>
      <c r="L23" t="s">
        <v>546</v>
      </c>
      <c r="M23" t="s">
        <v>547</v>
      </c>
      <c r="N23" t="s">
        <v>548</v>
      </c>
      <c r="O23" t="s">
        <v>544</v>
      </c>
      <c r="P23" t="s">
        <v>549</v>
      </c>
      <c r="Q23" t="s">
        <v>550</v>
      </c>
      <c r="R23" t="s">
        <v>544</v>
      </c>
      <c r="S23" t="s">
        <v>551</v>
      </c>
      <c r="T23" t="s">
        <v>552</v>
      </c>
      <c r="U23" t="s">
        <v>553</v>
      </c>
      <c r="V23" t="s">
        <v>554</v>
      </c>
      <c r="W23" t="s">
        <v>374</v>
      </c>
      <c r="X23">
        <v>1.5</v>
      </c>
      <c r="Y23" t="s">
        <v>472</v>
      </c>
      <c r="Z23">
        <v>1.5</v>
      </c>
      <c r="AA23" t="s">
        <v>544</v>
      </c>
      <c r="AB23" t="s">
        <v>544</v>
      </c>
      <c r="AC23" t="s">
        <v>544</v>
      </c>
      <c r="AD23" t="s">
        <v>544</v>
      </c>
      <c r="AE23" t="s">
        <v>642</v>
      </c>
      <c r="AF23">
        <v>1.4061999999999999</v>
      </c>
      <c r="AG23">
        <v>1</v>
      </c>
      <c r="AH23" t="s">
        <v>544</v>
      </c>
      <c r="AI23" t="s">
        <v>544</v>
      </c>
      <c r="AJ23" t="s">
        <v>639</v>
      </c>
      <c r="AK23" t="s">
        <v>639</v>
      </c>
      <c r="AL23" t="s">
        <v>557</v>
      </c>
      <c r="AM23" t="s">
        <v>558</v>
      </c>
      <c r="AN23" t="s">
        <v>389</v>
      </c>
      <c r="AO23" t="s">
        <v>544</v>
      </c>
      <c r="AP23" t="s">
        <v>643</v>
      </c>
      <c r="AQ23" t="s">
        <v>560</v>
      </c>
      <c r="AR23" t="s">
        <v>561</v>
      </c>
      <c r="AS23" t="s">
        <v>544</v>
      </c>
      <c r="AT23" t="s">
        <v>562</v>
      </c>
      <c r="AU23" t="s">
        <v>544</v>
      </c>
      <c r="AV23" t="s">
        <v>544</v>
      </c>
      <c r="AW23" t="s">
        <v>544</v>
      </c>
      <c r="AY23" t="s">
        <v>544</v>
      </c>
      <c r="AZ23" t="s">
        <v>544</v>
      </c>
      <c r="BB23" t="s">
        <v>563</v>
      </c>
      <c r="BC23" t="s">
        <v>563</v>
      </c>
      <c r="BD23" t="s">
        <v>544</v>
      </c>
      <c r="BE23" t="s">
        <v>544</v>
      </c>
      <c r="BF23" t="s">
        <v>544</v>
      </c>
      <c r="BG23" t="s">
        <v>544</v>
      </c>
      <c r="BH23" t="s">
        <v>544</v>
      </c>
      <c r="BI23" t="s">
        <v>544</v>
      </c>
      <c r="BJ23" t="s">
        <v>544</v>
      </c>
      <c r="BK23" t="s">
        <v>544</v>
      </c>
      <c r="BL23" t="s">
        <v>544</v>
      </c>
      <c r="BM23" t="s">
        <v>544</v>
      </c>
      <c r="BN23" t="s">
        <v>544</v>
      </c>
      <c r="BO23" t="s">
        <v>544</v>
      </c>
      <c r="BP23" t="s">
        <v>544</v>
      </c>
      <c r="BQ23" t="s">
        <v>544</v>
      </c>
    </row>
    <row r="24" spans="1:69" x14ac:dyDescent="0.3">
      <c r="A24" t="s">
        <v>644</v>
      </c>
      <c r="B24" t="s">
        <v>539</v>
      </c>
      <c r="C24" t="s">
        <v>540</v>
      </c>
      <c r="D24" t="s">
        <v>541</v>
      </c>
      <c r="E24" t="s">
        <v>542</v>
      </c>
      <c r="F24" t="s">
        <v>543</v>
      </c>
      <c r="G24" t="s">
        <v>544</v>
      </c>
      <c r="H24" s="453"/>
      <c r="I24" t="s">
        <v>544</v>
      </c>
      <c r="J24">
        <v>2041</v>
      </c>
      <c r="K24" t="s">
        <v>545</v>
      </c>
      <c r="L24" t="s">
        <v>546</v>
      </c>
      <c r="M24" t="s">
        <v>547</v>
      </c>
      <c r="N24" t="s">
        <v>548</v>
      </c>
      <c r="O24" t="s">
        <v>544</v>
      </c>
      <c r="P24" t="s">
        <v>549</v>
      </c>
      <c r="Q24" t="s">
        <v>550</v>
      </c>
      <c r="R24" t="s">
        <v>544</v>
      </c>
      <c r="S24" t="s">
        <v>551</v>
      </c>
      <c r="T24" t="s">
        <v>552</v>
      </c>
      <c r="U24" t="s">
        <v>553</v>
      </c>
      <c r="V24" t="s">
        <v>554</v>
      </c>
      <c r="W24" t="s">
        <v>374</v>
      </c>
      <c r="X24">
        <v>1.5</v>
      </c>
      <c r="Y24" t="s">
        <v>472</v>
      </c>
      <c r="Z24">
        <v>1.5</v>
      </c>
      <c r="AA24" t="s">
        <v>544</v>
      </c>
      <c r="AB24" t="s">
        <v>544</v>
      </c>
      <c r="AC24" t="s">
        <v>544</v>
      </c>
      <c r="AD24" t="s">
        <v>544</v>
      </c>
      <c r="AE24" t="s">
        <v>645</v>
      </c>
      <c r="AF24">
        <v>0.45829999999999999</v>
      </c>
      <c r="AG24">
        <v>1</v>
      </c>
      <c r="AH24" t="s">
        <v>544</v>
      </c>
      <c r="AI24" t="s">
        <v>544</v>
      </c>
      <c r="AJ24" t="s">
        <v>570</v>
      </c>
      <c r="AK24" t="s">
        <v>570</v>
      </c>
      <c r="AL24" t="s">
        <v>557</v>
      </c>
      <c r="AM24" t="s">
        <v>558</v>
      </c>
      <c r="AN24" t="s">
        <v>390</v>
      </c>
      <c r="AO24" t="s">
        <v>544</v>
      </c>
      <c r="AP24" t="s">
        <v>646</v>
      </c>
      <c r="AQ24" t="s">
        <v>560</v>
      </c>
      <c r="AR24" t="s">
        <v>561</v>
      </c>
      <c r="AS24" t="s">
        <v>544</v>
      </c>
      <c r="AT24" t="s">
        <v>562</v>
      </c>
      <c r="AU24" t="s">
        <v>544</v>
      </c>
      <c r="AV24" t="s">
        <v>544</v>
      </c>
      <c r="AW24" t="s">
        <v>544</v>
      </c>
      <c r="AY24" t="s">
        <v>544</v>
      </c>
      <c r="AZ24" t="s">
        <v>544</v>
      </c>
      <c r="BB24" t="s">
        <v>563</v>
      </c>
      <c r="BC24" t="s">
        <v>563</v>
      </c>
      <c r="BD24" t="s">
        <v>544</v>
      </c>
      <c r="BE24" t="s">
        <v>544</v>
      </c>
      <c r="BF24" t="s">
        <v>544</v>
      </c>
      <c r="BG24" t="s">
        <v>544</v>
      </c>
      <c r="BH24" t="s">
        <v>544</v>
      </c>
      <c r="BI24" t="s">
        <v>544</v>
      </c>
      <c r="BJ24" t="s">
        <v>544</v>
      </c>
      <c r="BK24" t="s">
        <v>544</v>
      </c>
      <c r="BL24" t="s">
        <v>544</v>
      </c>
      <c r="BM24" t="s">
        <v>544</v>
      </c>
      <c r="BN24" t="s">
        <v>544</v>
      </c>
      <c r="BO24" t="s">
        <v>544</v>
      </c>
      <c r="BP24" t="s">
        <v>544</v>
      </c>
      <c r="BQ24" t="s">
        <v>544</v>
      </c>
    </row>
    <row r="25" spans="1:69" x14ac:dyDescent="0.3">
      <c r="A25" t="s">
        <v>647</v>
      </c>
      <c r="B25" t="s">
        <v>539</v>
      </c>
      <c r="C25" t="s">
        <v>540</v>
      </c>
      <c r="D25" t="s">
        <v>541</v>
      </c>
      <c r="E25" t="s">
        <v>542</v>
      </c>
      <c r="F25" t="s">
        <v>543</v>
      </c>
      <c r="G25" t="s">
        <v>544</v>
      </c>
      <c r="H25" s="453"/>
      <c r="I25" t="s">
        <v>544</v>
      </c>
      <c r="J25">
        <v>2523</v>
      </c>
      <c r="K25" t="s">
        <v>585</v>
      </c>
      <c r="L25" t="s">
        <v>546</v>
      </c>
      <c r="M25" t="s">
        <v>547</v>
      </c>
      <c r="N25" t="s">
        <v>548</v>
      </c>
      <c r="O25" t="s">
        <v>544</v>
      </c>
      <c r="P25" t="s">
        <v>586</v>
      </c>
      <c r="Q25" t="s">
        <v>550</v>
      </c>
      <c r="R25" t="s">
        <v>587</v>
      </c>
      <c r="S25" t="s">
        <v>588</v>
      </c>
      <c r="T25" t="s">
        <v>552</v>
      </c>
      <c r="U25" t="s">
        <v>553</v>
      </c>
      <c r="V25" t="s">
        <v>554</v>
      </c>
      <c r="W25" t="s">
        <v>374</v>
      </c>
      <c r="X25">
        <v>1.5</v>
      </c>
      <c r="Y25" t="s">
        <v>472</v>
      </c>
      <c r="Z25">
        <v>1.5</v>
      </c>
      <c r="AA25" t="s">
        <v>544</v>
      </c>
      <c r="AB25" t="s">
        <v>544</v>
      </c>
      <c r="AC25" t="s">
        <v>544</v>
      </c>
      <c r="AD25" t="s">
        <v>544</v>
      </c>
      <c r="AE25" t="s">
        <v>544</v>
      </c>
      <c r="AG25">
        <v>1</v>
      </c>
      <c r="AH25" t="s">
        <v>544</v>
      </c>
      <c r="AI25" t="s">
        <v>544</v>
      </c>
      <c r="AJ25" t="s">
        <v>570</v>
      </c>
      <c r="AK25" t="s">
        <v>570</v>
      </c>
      <c r="AL25" t="s">
        <v>557</v>
      </c>
      <c r="AM25" t="s">
        <v>558</v>
      </c>
      <c r="AN25" t="s">
        <v>391</v>
      </c>
      <c r="AO25" t="s">
        <v>544</v>
      </c>
      <c r="AP25" t="s">
        <v>589</v>
      </c>
      <c r="AQ25" t="s">
        <v>560</v>
      </c>
      <c r="AR25" t="s">
        <v>561</v>
      </c>
      <c r="AS25" t="s">
        <v>544</v>
      </c>
      <c r="AT25" t="s">
        <v>590</v>
      </c>
      <c r="AU25" t="s">
        <v>544</v>
      </c>
      <c r="AV25" t="s">
        <v>544</v>
      </c>
      <c r="AW25" t="s">
        <v>544</v>
      </c>
      <c r="AY25" t="s">
        <v>544</v>
      </c>
      <c r="AZ25" t="s">
        <v>544</v>
      </c>
      <c r="BB25" t="s">
        <v>591</v>
      </c>
      <c r="BC25" t="s">
        <v>591</v>
      </c>
      <c r="BD25" t="s">
        <v>544</v>
      </c>
      <c r="BE25" t="s">
        <v>544</v>
      </c>
      <c r="BF25" t="s">
        <v>544</v>
      </c>
      <c r="BG25" t="s">
        <v>544</v>
      </c>
      <c r="BH25" t="s">
        <v>544</v>
      </c>
      <c r="BI25" t="s">
        <v>544</v>
      </c>
      <c r="BJ25" t="s">
        <v>544</v>
      </c>
      <c r="BK25" t="s">
        <v>544</v>
      </c>
      <c r="BL25" t="s">
        <v>544</v>
      </c>
      <c r="BM25" t="s">
        <v>544</v>
      </c>
      <c r="BN25" t="s">
        <v>544</v>
      </c>
      <c r="BO25" t="s">
        <v>544</v>
      </c>
      <c r="BP25" t="s">
        <v>544</v>
      </c>
      <c r="BQ25" t="s">
        <v>544</v>
      </c>
    </row>
    <row r="26" spans="1:69" x14ac:dyDescent="0.3">
      <c r="A26" t="s">
        <v>648</v>
      </c>
      <c r="B26" t="s">
        <v>539</v>
      </c>
      <c r="C26" t="s">
        <v>540</v>
      </c>
      <c r="D26" t="s">
        <v>541</v>
      </c>
      <c r="E26" t="s">
        <v>542</v>
      </c>
      <c r="F26" t="s">
        <v>543</v>
      </c>
      <c r="G26" t="s">
        <v>544</v>
      </c>
      <c r="H26" s="453"/>
      <c r="I26" t="s">
        <v>544</v>
      </c>
      <c r="J26">
        <v>2160</v>
      </c>
      <c r="K26" t="s">
        <v>585</v>
      </c>
      <c r="L26" t="s">
        <v>593</v>
      </c>
      <c r="M26" t="s">
        <v>547</v>
      </c>
      <c r="N26" t="s">
        <v>548</v>
      </c>
      <c r="O26" t="s">
        <v>544</v>
      </c>
      <c r="P26" t="s">
        <v>649</v>
      </c>
      <c r="Q26" t="s">
        <v>595</v>
      </c>
      <c r="R26" t="s">
        <v>603</v>
      </c>
      <c r="S26" t="s">
        <v>588</v>
      </c>
      <c r="T26" t="s">
        <v>552</v>
      </c>
      <c r="U26" t="s">
        <v>553</v>
      </c>
      <c r="V26" t="s">
        <v>554</v>
      </c>
      <c r="W26" t="s">
        <v>372</v>
      </c>
      <c r="X26">
        <v>0.75</v>
      </c>
      <c r="Y26" t="s">
        <v>470</v>
      </c>
      <c r="Z26">
        <v>0.75</v>
      </c>
      <c r="AA26" t="s">
        <v>470</v>
      </c>
      <c r="AB26" t="s">
        <v>544</v>
      </c>
      <c r="AC26" t="s">
        <v>544</v>
      </c>
      <c r="AD26" t="s">
        <v>544</v>
      </c>
      <c r="AE26" t="s">
        <v>544</v>
      </c>
      <c r="AG26">
        <v>1</v>
      </c>
      <c r="AH26" t="s">
        <v>544</v>
      </c>
      <c r="AI26" t="s">
        <v>544</v>
      </c>
      <c r="AJ26" t="s">
        <v>650</v>
      </c>
      <c r="AK26" t="s">
        <v>650</v>
      </c>
      <c r="AL26" t="s">
        <v>557</v>
      </c>
      <c r="AM26" t="s">
        <v>558</v>
      </c>
      <c r="AN26" t="s">
        <v>390</v>
      </c>
      <c r="AO26" t="s">
        <v>544</v>
      </c>
      <c r="AP26" t="s">
        <v>651</v>
      </c>
      <c r="AQ26" t="s">
        <v>560</v>
      </c>
      <c r="AR26" t="s">
        <v>561</v>
      </c>
      <c r="AS26" t="s">
        <v>544</v>
      </c>
      <c r="AT26" t="s">
        <v>652</v>
      </c>
      <c r="AU26" t="s">
        <v>544</v>
      </c>
      <c r="AV26" t="s">
        <v>544</v>
      </c>
      <c r="AW26" t="s">
        <v>544</v>
      </c>
      <c r="AY26" t="s">
        <v>544</v>
      </c>
      <c r="AZ26" t="s">
        <v>544</v>
      </c>
      <c r="BB26" t="s">
        <v>600</v>
      </c>
      <c r="BC26" t="s">
        <v>600</v>
      </c>
      <c r="BD26" t="s">
        <v>600</v>
      </c>
      <c r="BE26" t="s">
        <v>544</v>
      </c>
      <c r="BF26" t="s">
        <v>544</v>
      </c>
      <c r="BG26" t="s">
        <v>544</v>
      </c>
      <c r="BH26" t="s">
        <v>544</v>
      </c>
      <c r="BI26" t="s">
        <v>544</v>
      </c>
      <c r="BJ26" t="s">
        <v>544</v>
      </c>
      <c r="BK26" t="s">
        <v>544</v>
      </c>
      <c r="BL26" t="s">
        <v>544</v>
      </c>
      <c r="BM26" t="s">
        <v>544</v>
      </c>
      <c r="BN26" t="s">
        <v>544</v>
      </c>
      <c r="BO26" t="s">
        <v>544</v>
      </c>
      <c r="BP26" t="s">
        <v>544</v>
      </c>
      <c r="BQ26" t="s">
        <v>544</v>
      </c>
    </row>
    <row r="27" spans="1:69" x14ac:dyDescent="0.3">
      <c r="A27" t="s">
        <v>653</v>
      </c>
      <c r="B27" t="s">
        <v>539</v>
      </c>
      <c r="C27" t="s">
        <v>540</v>
      </c>
      <c r="D27" t="s">
        <v>541</v>
      </c>
      <c r="E27" t="s">
        <v>542</v>
      </c>
      <c r="F27" t="s">
        <v>543</v>
      </c>
      <c r="G27" t="s">
        <v>544</v>
      </c>
      <c r="H27" s="453"/>
      <c r="I27" t="s">
        <v>544</v>
      </c>
      <c r="J27">
        <v>2522</v>
      </c>
      <c r="K27" t="s">
        <v>585</v>
      </c>
      <c r="L27" t="s">
        <v>593</v>
      </c>
      <c r="M27" t="s">
        <v>547</v>
      </c>
      <c r="N27" t="s">
        <v>548</v>
      </c>
      <c r="O27" t="s">
        <v>544</v>
      </c>
      <c r="P27" t="s">
        <v>654</v>
      </c>
      <c r="Q27" t="s">
        <v>595</v>
      </c>
      <c r="R27" t="s">
        <v>544</v>
      </c>
      <c r="S27" t="s">
        <v>588</v>
      </c>
      <c r="T27" t="s">
        <v>552</v>
      </c>
      <c r="U27" t="s">
        <v>553</v>
      </c>
      <c r="V27" t="s">
        <v>554</v>
      </c>
      <c r="W27" t="s">
        <v>372</v>
      </c>
      <c r="X27">
        <v>0.75</v>
      </c>
      <c r="Y27" t="s">
        <v>470</v>
      </c>
      <c r="Z27">
        <v>0.75</v>
      </c>
      <c r="AA27" t="s">
        <v>544</v>
      </c>
      <c r="AB27" t="s">
        <v>544</v>
      </c>
      <c r="AC27" t="s">
        <v>544</v>
      </c>
      <c r="AD27" t="s">
        <v>544</v>
      </c>
      <c r="AE27" t="s">
        <v>544</v>
      </c>
      <c r="AG27">
        <v>1</v>
      </c>
      <c r="AH27" t="s">
        <v>544</v>
      </c>
      <c r="AI27" t="s">
        <v>544</v>
      </c>
      <c r="AJ27" t="s">
        <v>650</v>
      </c>
      <c r="AK27" t="s">
        <v>650</v>
      </c>
      <c r="AL27" t="s">
        <v>557</v>
      </c>
      <c r="AM27" t="s">
        <v>558</v>
      </c>
      <c r="AN27" t="s">
        <v>391</v>
      </c>
      <c r="AO27" t="s">
        <v>544</v>
      </c>
      <c r="AP27" t="s">
        <v>655</v>
      </c>
      <c r="AQ27" t="s">
        <v>560</v>
      </c>
      <c r="AR27" t="s">
        <v>561</v>
      </c>
      <c r="AS27" t="s">
        <v>544</v>
      </c>
      <c r="AT27" t="s">
        <v>656</v>
      </c>
      <c r="AU27" t="s">
        <v>544</v>
      </c>
      <c r="AV27" t="s">
        <v>544</v>
      </c>
      <c r="AW27" t="s">
        <v>544</v>
      </c>
      <c r="AY27" t="s">
        <v>544</v>
      </c>
      <c r="AZ27" t="s">
        <v>544</v>
      </c>
      <c r="BB27" t="s">
        <v>657</v>
      </c>
      <c r="BC27" t="s">
        <v>658</v>
      </c>
      <c r="BD27" t="s">
        <v>544</v>
      </c>
      <c r="BE27" t="s">
        <v>544</v>
      </c>
      <c r="BF27" t="s">
        <v>544</v>
      </c>
      <c r="BG27" t="s">
        <v>544</v>
      </c>
      <c r="BH27" t="s">
        <v>544</v>
      </c>
      <c r="BI27" t="s">
        <v>544</v>
      </c>
      <c r="BJ27" t="s">
        <v>544</v>
      </c>
      <c r="BK27" t="s">
        <v>544</v>
      </c>
      <c r="BL27" t="s">
        <v>544</v>
      </c>
      <c r="BM27" t="s">
        <v>544</v>
      </c>
      <c r="BN27" t="s">
        <v>544</v>
      </c>
      <c r="BO27" t="s">
        <v>544</v>
      </c>
      <c r="BP27" t="s">
        <v>544</v>
      </c>
      <c r="BQ27" t="s">
        <v>544</v>
      </c>
    </row>
    <row r="28" spans="1:69" x14ac:dyDescent="0.3">
      <c r="A28" t="s">
        <v>659</v>
      </c>
      <c r="B28" t="s">
        <v>539</v>
      </c>
      <c r="C28" t="s">
        <v>540</v>
      </c>
      <c r="D28" t="s">
        <v>541</v>
      </c>
      <c r="E28" t="s">
        <v>542</v>
      </c>
      <c r="F28" t="s">
        <v>543</v>
      </c>
      <c r="G28" t="s">
        <v>544</v>
      </c>
      <c r="H28" s="453"/>
      <c r="I28" t="s">
        <v>544</v>
      </c>
      <c r="J28">
        <v>2060</v>
      </c>
      <c r="K28" t="s">
        <v>585</v>
      </c>
      <c r="L28" t="s">
        <v>660</v>
      </c>
      <c r="M28" t="s">
        <v>547</v>
      </c>
      <c r="N28" t="s">
        <v>548</v>
      </c>
      <c r="O28" t="s">
        <v>544</v>
      </c>
      <c r="P28" t="s">
        <v>661</v>
      </c>
      <c r="Q28" t="s">
        <v>662</v>
      </c>
      <c r="R28" t="s">
        <v>544</v>
      </c>
      <c r="S28" t="s">
        <v>660</v>
      </c>
      <c r="T28" t="s">
        <v>552</v>
      </c>
      <c r="U28" t="s">
        <v>553</v>
      </c>
      <c r="V28" t="s">
        <v>554</v>
      </c>
      <c r="W28" t="s">
        <v>372</v>
      </c>
      <c r="X28">
        <v>0.75</v>
      </c>
      <c r="Y28" t="s">
        <v>470</v>
      </c>
      <c r="Z28">
        <v>0.75</v>
      </c>
      <c r="AA28" t="s">
        <v>544</v>
      </c>
      <c r="AB28" t="s">
        <v>544</v>
      </c>
      <c r="AC28" t="s">
        <v>544</v>
      </c>
      <c r="AD28" t="s">
        <v>544</v>
      </c>
      <c r="AE28" t="s">
        <v>544</v>
      </c>
      <c r="AG28">
        <v>1</v>
      </c>
      <c r="AH28" t="s">
        <v>544</v>
      </c>
      <c r="AI28" t="s">
        <v>544</v>
      </c>
      <c r="AJ28" t="s">
        <v>650</v>
      </c>
      <c r="AK28" t="s">
        <v>650</v>
      </c>
      <c r="AL28" t="s">
        <v>557</v>
      </c>
      <c r="AM28" t="s">
        <v>558</v>
      </c>
      <c r="AN28" t="s">
        <v>392</v>
      </c>
      <c r="AO28" t="s">
        <v>544</v>
      </c>
      <c r="AP28" t="s">
        <v>663</v>
      </c>
      <c r="AQ28" t="s">
        <v>560</v>
      </c>
      <c r="AR28" t="s">
        <v>561</v>
      </c>
      <c r="AS28" t="s">
        <v>544</v>
      </c>
      <c r="AT28" t="s">
        <v>664</v>
      </c>
      <c r="AU28" t="s">
        <v>544</v>
      </c>
      <c r="AV28" t="s">
        <v>544</v>
      </c>
      <c r="AW28" t="s">
        <v>544</v>
      </c>
      <c r="AY28" t="s">
        <v>544</v>
      </c>
      <c r="AZ28" t="s">
        <v>544</v>
      </c>
      <c r="BB28" t="s">
        <v>665</v>
      </c>
      <c r="BC28" t="s">
        <v>544</v>
      </c>
      <c r="BD28" t="s">
        <v>544</v>
      </c>
      <c r="BE28" t="s">
        <v>544</v>
      </c>
      <c r="BF28" t="s">
        <v>544</v>
      </c>
      <c r="BG28" t="s">
        <v>544</v>
      </c>
      <c r="BH28" t="s">
        <v>544</v>
      </c>
      <c r="BI28" t="s">
        <v>544</v>
      </c>
      <c r="BJ28" t="s">
        <v>544</v>
      </c>
      <c r="BK28" t="s">
        <v>544</v>
      </c>
      <c r="BL28" t="s">
        <v>544</v>
      </c>
      <c r="BM28" t="s">
        <v>544</v>
      </c>
      <c r="BN28" t="s">
        <v>544</v>
      </c>
      <c r="BO28" t="s">
        <v>544</v>
      </c>
      <c r="BP28" t="s">
        <v>544</v>
      </c>
      <c r="BQ28" t="s">
        <v>544</v>
      </c>
    </row>
    <row r="29" spans="1:69" x14ac:dyDescent="0.3">
      <c r="A29" t="s">
        <v>666</v>
      </c>
      <c r="B29" t="s">
        <v>539</v>
      </c>
      <c r="C29" t="s">
        <v>540</v>
      </c>
      <c r="D29" t="s">
        <v>541</v>
      </c>
      <c r="E29" t="s">
        <v>542</v>
      </c>
      <c r="F29" t="s">
        <v>543</v>
      </c>
      <c r="G29" t="s">
        <v>544</v>
      </c>
      <c r="H29" s="453"/>
      <c r="I29" t="s">
        <v>544</v>
      </c>
      <c r="J29">
        <v>2522</v>
      </c>
      <c r="K29" t="s">
        <v>585</v>
      </c>
      <c r="L29" t="s">
        <v>660</v>
      </c>
      <c r="M29" t="s">
        <v>547</v>
      </c>
      <c r="N29" t="s">
        <v>548</v>
      </c>
      <c r="O29" t="s">
        <v>544</v>
      </c>
      <c r="P29" t="s">
        <v>661</v>
      </c>
      <c r="Q29" t="s">
        <v>662</v>
      </c>
      <c r="R29" t="s">
        <v>544</v>
      </c>
      <c r="S29" t="s">
        <v>660</v>
      </c>
      <c r="T29" t="s">
        <v>552</v>
      </c>
      <c r="U29" t="s">
        <v>377</v>
      </c>
      <c r="V29" t="s">
        <v>667</v>
      </c>
      <c r="W29" t="s">
        <v>372</v>
      </c>
      <c r="X29">
        <v>0.75</v>
      </c>
      <c r="Y29" t="s">
        <v>470</v>
      </c>
      <c r="Z29">
        <v>0.75</v>
      </c>
      <c r="AA29" t="s">
        <v>544</v>
      </c>
      <c r="AB29" t="s">
        <v>544</v>
      </c>
      <c r="AC29" t="s">
        <v>544</v>
      </c>
      <c r="AD29" t="s">
        <v>544</v>
      </c>
      <c r="AE29" t="s">
        <v>544</v>
      </c>
      <c r="AG29">
        <v>1</v>
      </c>
      <c r="AH29" t="s">
        <v>544</v>
      </c>
      <c r="AI29" t="s">
        <v>544</v>
      </c>
      <c r="AJ29" t="s">
        <v>650</v>
      </c>
      <c r="AK29" t="s">
        <v>650</v>
      </c>
      <c r="AL29" t="s">
        <v>557</v>
      </c>
      <c r="AM29" t="s">
        <v>558</v>
      </c>
      <c r="AN29" t="s">
        <v>544</v>
      </c>
      <c r="AO29" t="s">
        <v>544</v>
      </c>
      <c r="AP29" t="s">
        <v>544</v>
      </c>
      <c r="AQ29" t="s">
        <v>560</v>
      </c>
      <c r="AR29" t="s">
        <v>561</v>
      </c>
      <c r="AS29" t="s">
        <v>544</v>
      </c>
      <c r="AT29" t="s">
        <v>668</v>
      </c>
      <c r="AU29" t="s">
        <v>544</v>
      </c>
      <c r="AV29" t="s">
        <v>544</v>
      </c>
      <c r="AW29" t="s">
        <v>544</v>
      </c>
      <c r="AY29" t="s">
        <v>544</v>
      </c>
      <c r="AZ29" t="s">
        <v>544</v>
      </c>
      <c r="BB29" t="s">
        <v>669</v>
      </c>
      <c r="BC29" t="s">
        <v>670</v>
      </c>
      <c r="BD29" t="s">
        <v>544</v>
      </c>
      <c r="BE29" t="s">
        <v>544</v>
      </c>
      <c r="BF29" t="s">
        <v>544</v>
      </c>
      <c r="BG29" t="s">
        <v>544</v>
      </c>
      <c r="BH29" t="s">
        <v>544</v>
      </c>
      <c r="BI29" t="s">
        <v>544</v>
      </c>
      <c r="BJ29" t="s">
        <v>544</v>
      </c>
      <c r="BK29" t="s">
        <v>544</v>
      </c>
      <c r="BL29" t="s">
        <v>544</v>
      </c>
      <c r="BM29" t="s">
        <v>544</v>
      </c>
      <c r="BN29" t="s">
        <v>544</v>
      </c>
      <c r="BO29" t="s">
        <v>544</v>
      </c>
      <c r="BP29" t="s">
        <v>544</v>
      </c>
      <c r="BQ29" t="s">
        <v>544</v>
      </c>
    </row>
    <row r="30" spans="1:69" x14ac:dyDescent="0.3">
      <c r="A30" t="s">
        <v>671</v>
      </c>
      <c r="B30" t="s">
        <v>539</v>
      </c>
      <c r="C30" t="s">
        <v>540</v>
      </c>
      <c r="D30" t="s">
        <v>541</v>
      </c>
      <c r="E30" t="s">
        <v>542</v>
      </c>
      <c r="F30" t="s">
        <v>543</v>
      </c>
      <c r="G30" t="s">
        <v>544</v>
      </c>
      <c r="H30" s="453"/>
      <c r="I30" t="s">
        <v>544</v>
      </c>
      <c r="J30">
        <v>2041</v>
      </c>
      <c r="K30" t="s">
        <v>545</v>
      </c>
      <c r="L30" t="s">
        <v>546</v>
      </c>
      <c r="M30" t="s">
        <v>547</v>
      </c>
      <c r="N30" t="s">
        <v>548</v>
      </c>
      <c r="O30" t="s">
        <v>544</v>
      </c>
      <c r="P30" t="s">
        <v>549</v>
      </c>
      <c r="Q30" t="s">
        <v>550</v>
      </c>
      <c r="R30" t="s">
        <v>544</v>
      </c>
      <c r="S30" t="s">
        <v>551</v>
      </c>
      <c r="T30" t="s">
        <v>552</v>
      </c>
      <c r="U30" t="s">
        <v>553</v>
      </c>
      <c r="V30" t="s">
        <v>554</v>
      </c>
      <c r="W30" t="s">
        <v>374</v>
      </c>
      <c r="X30">
        <v>1.5</v>
      </c>
      <c r="Y30" t="s">
        <v>472</v>
      </c>
      <c r="Z30">
        <v>1.5</v>
      </c>
      <c r="AA30" t="s">
        <v>544</v>
      </c>
      <c r="AB30" t="s">
        <v>544</v>
      </c>
      <c r="AC30" t="s">
        <v>544</v>
      </c>
      <c r="AD30" t="s">
        <v>544</v>
      </c>
      <c r="AE30" t="s">
        <v>672</v>
      </c>
      <c r="AF30">
        <v>11.264099999999999</v>
      </c>
      <c r="AG30">
        <v>1</v>
      </c>
      <c r="AH30" t="s">
        <v>544</v>
      </c>
      <c r="AI30" t="s">
        <v>544</v>
      </c>
      <c r="AJ30" t="s">
        <v>673</v>
      </c>
      <c r="AK30" t="s">
        <v>673</v>
      </c>
      <c r="AL30" t="s">
        <v>557</v>
      </c>
      <c r="AM30" t="s">
        <v>558</v>
      </c>
      <c r="AN30" t="s">
        <v>389</v>
      </c>
      <c r="AO30" t="s">
        <v>544</v>
      </c>
      <c r="AP30" t="s">
        <v>674</v>
      </c>
      <c r="AQ30" t="s">
        <v>560</v>
      </c>
      <c r="AR30" t="s">
        <v>561</v>
      </c>
      <c r="AS30" t="s">
        <v>544</v>
      </c>
      <c r="AT30" t="s">
        <v>562</v>
      </c>
      <c r="AU30" t="s">
        <v>544</v>
      </c>
      <c r="AV30" t="s">
        <v>544</v>
      </c>
      <c r="AW30" t="s">
        <v>544</v>
      </c>
      <c r="AY30" t="s">
        <v>544</v>
      </c>
      <c r="AZ30" t="s">
        <v>544</v>
      </c>
      <c r="BB30" t="s">
        <v>563</v>
      </c>
      <c r="BC30" t="s">
        <v>563</v>
      </c>
      <c r="BD30" t="s">
        <v>544</v>
      </c>
      <c r="BE30" t="s">
        <v>544</v>
      </c>
      <c r="BF30" t="s">
        <v>544</v>
      </c>
      <c r="BG30" t="s">
        <v>544</v>
      </c>
      <c r="BH30" t="s">
        <v>544</v>
      </c>
      <c r="BI30" t="s">
        <v>544</v>
      </c>
      <c r="BJ30" t="s">
        <v>544</v>
      </c>
      <c r="BK30" t="s">
        <v>544</v>
      </c>
      <c r="BL30" t="s">
        <v>544</v>
      </c>
      <c r="BM30" t="s">
        <v>544</v>
      </c>
      <c r="BN30" t="s">
        <v>544</v>
      </c>
      <c r="BO30" t="s">
        <v>544</v>
      </c>
      <c r="BP30" t="s">
        <v>544</v>
      </c>
      <c r="BQ30" t="s">
        <v>544</v>
      </c>
    </row>
    <row r="31" spans="1:69" x14ac:dyDescent="0.3">
      <c r="A31" t="s">
        <v>675</v>
      </c>
      <c r="B31" t="s">
        <v>539</v>
      </c>
      <c r="C31" t="s">
        <v>540</v>
      </c>
      <c r="D31" t="s">
        <v>541</v>
      </c>
      <c r="E31" t="s">
        <v>542</v>
      </c>
      <c r="F31" t="s">
        <v>543</v>
      </c>
      <c r="G31" t="s">
        <v>544</v>
      </c>
      <c r="H31" s="453"/>
      <c r="I31" t="s">
        <v>544</v>
      </c>
      <c r="J31">
        <v>2900</v>
      </c>
      <c r="K31" t="s">
        <v>585</v>
      </c>
      <c r="L31" t="s">
        <v>546</v>
      </c>
      <c r="M31" t="s">
        <v>547</v>
      </c>
      <c r="N31" t="s">
        <v>548</v>
      </c>
      <c r="O31" t="s">
        <v>544</v>
      </c>
      <c r="P31" t="s">
        <v>602</v>
      </c>
      <c r="Q31" t="s">
        <v>550</v>
      </c>
      <c r="R31" t="s">
        <v>603</v>
      </c>
      <c r="S31" t="s">
        <v>588</v>
      </c>
      <c r="T31" t="s">
        <v>552</v>
      </c>
      <c r="U31" t="s">
        <v>553</v>
      </c>
      <c r="V31" t="s">
        <v>554</v>
      </c>
      <c r="W31" t="s">
        <v>374</v>
      </c>
      <c r="X31">
        <v>1.5</v>
      </c>
      <c r="Y31" t="s">
        <v>472</v>
      </c>
      <c r="Z31">
        <v>1.5</v>
      </c>
      <c r="AA31" t="s">
        <v>472</v>
      </c>
      <c r="AB31" t="s">
        <v>544</v>
      </c>
      <c r="AC31" t="s">
        <v>544</v>
      </c>
      <c r="AD31" t="s">
        <v>544</v>
      </c>
      <c r="AE31" t="s">
        <v>544</v>
      </c>
      <c r="AG31">
        <v>1</v>
      </c>
      <c r="AH31" t="s">
        <v>544</v>
      </c>
      <c r="AI31" t="s">
        <v>544</v>
      </c>
      <c r="AJ31" t="s">
        <v>673</v>
      </c>
      <c r="AK31" t="s">
        <v>673</v>
      </c>
      <c r="AL31" t="s">
        <v>557</v>
      </c>
      <c r="AM31" t="s">
        <v>558</v>
      </c>
      <c r="AN31" t="s">
        <v>390</v>
      </c>
      <c r="AO31" t="s">
        <v>544</v>
      </c>
      <c r="AP31" t="s">
        <v>604</v>
      </c>
      <c r="AQ31" t="s">
        <v>560</v>
      </c>
      <c r="AR31" t="s">
        <v>561</v>
      </c>
      <c r="AS31" t="s">
        <v>544</v>
      </c>
      <c r="AT31" t="s">
        <v>605</v>
      </c>
      <c r="AU31" t="s">
        <v>544</v>
      </c>
      <c r="AV31" t="s">
        <v>544</v>
      </c>
      <c r="AW31" t="s">
        <v>544</v>
      </c>
      <c r="AY31" t="s">
        <v>544</v>
      </c>
      <c r="AZ31" t="s">
        <v>544</v>
      </c>
      <c r="BB31" t="s">
        <v>591</v>
      </c>
      <c r="BC31" t="s">
        <v>591</v>
      </c>
      <c r="BD31" t="s">
        <v>591</v>
      </c>
      <c r="BE31" t="s">
        <v>544</v>
      </c>
      <c r="BF31" t="s">
        <v>544</v>
      </c>
      <c r="BG31" t="s">
        <v>544</v>
      </c>
      <c r="BH31" t="s">
        <v>544</v>
      </c>
      <c r="BI31" t="s">
        <v>544</v>
      </c>
      <c r="BJ31" t="s">
        <v>544</v>
      </c>
      <c r="BK31" t="s">
        <v>544</v>
      </c>
      <c r="BL31" t="s">
        <v>544</v>
      </c>
      <c r="BM31" t="s">
        <v>544</v>
      </c>
      <c r="BN31" t="s">
        <v>544</v>
      </c>
      <c r="BO31" t="s">
        <v>544</v>
      </c>
      <c r="BP31" t="s">
        <v>544</v>
      </c>
      <c r="BQ31" t="s">
        <v>544</v>
      </c>
    </row>
    <row r="32" spans="1:69" x14ac:dyDescent="0.3">
      <c r="A32" t="s">
        <v>676</v>
      </c>
      <c r="B32" t="s">
        <v>539</v>
      </c>
      <c r="C32" t="s">
        <v>540</v>
      </c>
      <c r="D32" t="s">
        <v>541</v>
      </c>
      <c r="E32" t="s">
        <v>542</v>
      </c>
      <c r="F32" t="s">
        <v>543</v>
      </c>
      <c r="G32" t="s">
        <v>544</v>
      </c>
      <c r="H32" s="453"/>
      <c r="I32" t="s">
        <v>544</v>
      </c>
      <c r="J32">
        <v>2522</v>
      </c>
      <c r="K32" t="s">
        <v>585</v>
      </c>
      <c r="L32" t="s">
        <v>546</v>
      </c>
      <c r="M32" t="s">
        <v>547</v>
      </c>
      <c r="N32" t="s">
        <v>548</v>
      </c>
      <c r="O32" t="s">
        <v>544</v>
      </c>
      <c r="P32" t="s">
        <v>677</v>
      </c>
      <c r="Q32" t="s">
        <v>550</v>
      </c>
      <c r="R32" t="s">
        <v>544</v>
      </c>
      <c r="S32" t="s">
        <v>588</v>
      </c>
      <c r="T32" t="s">
        <v>552</v>
      </c>
      <c r="U32" t="s">
        <v>553</v>
      </c>
      <c r="V32" t="s">
        <v>554</v>
      </c>
      <c r="W32" t="s">
        <v>374</v>
      </c>
      <c r="X32">
        <v>1.5</v>
      </c>
      <c r="Y32" t="s">
        <v>472</v>
      </c>
      <c r="Z32">
        <v>1.5</v>
      </c>
      <c r="AA32" t="s">
        <v>544</v>
      </c>
      <c r="AB32" t="s">
        <v>544</v>
      </c>
      <c r="AC32" t="s">
        <v>544</v>
      </c>
      <c r="AD32" t="s">
        <v>544</v>
      </c>
      <c r="AE32" t="s">
        <v>544</v>
      </c>
      <c r="AG32">
        <v>1</v>
      </c>
      <c r="AH32" t="s">
        <v>544</v>
      </c>
      <c r="AI32" t="s">
        <v>544</v>
      </c>
      <c r="AJ32" t="s">
        <v>673</v>
      </c>
      <c r="AK32" t="s">
        <v>673</v>
      </c>
      <c r="AL32" t="s">
        <v>557</v>
      </c>
      <c r="AM32" t="s">
        <v>558</v>
      </c>
      <c r="AN32" t="s">
        <v>391</v>
      </c>
      <c r="AO32" t="s">
        <v>544</v>
      </c>
      <c r="AP32" t="s">
        <v>678</v>
      </c>
      <c r="AQ32" t="s">
        <v>560</v>
      </c>
      <c r="AR32" t="s">
        <v>561</v>
      </c>
      <c r="AS32" t="s">
        <v>544</v>
      </c>
      <c r="AT32" t="s">
        <v>679</v>
      </c>
      <c r="AU32" t="s">
        <v>544</v>
      </c>
      <c r="AV32" t="s">
        <v>544</v>
      </c>
      <c r="AW32" t="s">
        <v>544</v>
      </c>
      <c r="AY32" t="s">
        <v>544</v>
      </c>
      <c r="AZ32" t="s">
        <v>544</v>
      </c>
      <c r="BB32" t="s">
        <v>658</v>
      </c>
      <c r="BC32" t="s">
        <v>680</v>
      </c>
      <c r="BD32" t="s">
        <v>544</v>
      </c>
      <c r="BE32" t="s">
        <v>544</v>
      </c>
      <c r="BF32" t="s">
        <v>544</v>
      </c>
      <c r="BG32" t="s">
        <v>544</v>
      </c>
      <c r="BH32" t="s">
        <v>544</v>
      </c>
      <c r="BI32" t="s">
        <v>544</v>
      </c>
      <c r="BJ32" t="s">
        <v>544</v>
      </c>
      <c r="BK32" t="s">
        <v>544</v>
      </c>
      <c r="BL32" t="s">
        <v>544</v>
      </c>
      <c r="BM32" t="s">
        <v>544</v>
      </c>
      <c r="BN32" t="s">
        <v>544</v>
      </c>
      <c r="BO32" t="s">
        <v>544</v>
      </c>
      <c r="BP32" t="s">
        <v>544</v>
      </c>
      <c r="BQ32" t="s">
        <v>544</v>
      </c>
    </row>
    <row r="33" spans="1:69" x14ac:dyDescent="0.3">
      <c r="A33" t="s">
        <v>681</v>
      </c>
      <c r="B33" t="s">
        <v>539</v>
      </c>
      <c r="C33" t="s">
        <v>540</v>
      </c>
      <c r="D33" t="s">
        <v>541</v>
      </c>
      <c r="E33" t="s">
        <v>542</v>
      </c>
      <c r="F33" t="s">
        <v>543</v>
      </c>
      <c r="G33" t="s">
        <v>544</v>
      </c>
      <c r="H33" s="453"/>
      <c r="I33" t="s">
        <v>544</v>
      </c>
      <c r="J33">
        <v>2900</v>
      </c>
      <c r="K33" t="s">
        <v>585</v>
      </c>
      <c r="L33" t="s">
        <v>546</v>
      </c>
      <c r="M33" t="s">
        <v>547</v>
      </c>
      <c r="N33" t="s">
        <v>548</v>
      </c>
      <c r="O33" t="s">
        <v>544</v>
      </c>
      <c r="P33" t="s">
        <v>602</v>
      </c>
      <c r="Q33" t="s">
        <v>550</v>
      </c>
      <c r="R33" t="s">
        <v>603</v>
      </c>
      <c r="S33" t="s">
        <v>588</v>
      </c>
      <c r="T33" t="s">
        <v>552</v>
      </c>
      <c r="U33" t="s">
        <v>553</v>
      </c>
      <c r="V33" t="s">
        <v>554</v>
      </c>
      <c r="W33" t="s">
        <v>374</v>
      </c>
      <c r="X33">
        <v>1.5</v>
      </c>
      <c r="Y33" t="s">
        <v>472</v>
      </c>
      <c r="Z33">
        <v>1.5</v>
      </c>
      <c r="AA33" t="s">
        <v>472</v>
      </c>
      <c r="AB33" t="s">
        <v>544</v>
      </c>
      <c r="AC33" t="s">
        <v>544</v>
      </c>
      <c r="AD33" t="s">
        <v>544</v>
      </c>
      <c r="AE33" t="s">
        <v>544</v>
      </c>
      <c r="AG33">
        <v>1</v>
      </c>
      <c r="AH33" t="s">
        <v>544</v>
      </c>
      <c r="AI33" t="s">
        <v>544</v>
      </c>
      <c r="AJ33" t="s">
        <v>556</v>
      </c>
      <c r="AK33" t="s">
        <v>556</v>
      </c>
      <c r="AL33" t="s">
        <v>557</v>
      </c>
      <c r="AM33" t="s">
        <v>558</v>
      </c>
      <c r="AN33" t="s">
        <v>390</v>
      </c>
      <c r="AO33" t="s">
        <v>544</v>
      </c>
      <c r="AP33" t="s">
        <v>604</v>
      </c>
      <c r="AQ33" t="s">
        <v>560</v>
      </c>
      <c r="AR33" t="s">
        <v>561</v>
      </c>
      <c r="AS33" t="s">
        <v>544</v>
      </c>
      <c r="AT33" t="s">
        <v>605</v>
      </c>
      <c r="AU33" t="s">
        <v>544</v>
      </c>
      <c r="AV33" t="s">
        <v>544</v>
      </c>
      <c r="AW33" t="s">
        <v>544</v>
      </c>
      <c r="AY33" t="s">
        <v>544</v>
      </c>
      <c r="AZ33" t="s">
        <v>544</v>
      </c>
      <c r="BB33" t="s">
        <v>591</v>
      </c>
      <c r="BC33" t="s">
        <v>591</v>
      </c>
      <c r="BD33" t="s">
        <v>591</v>
      </c>
      <c r="BE33" t="s">
        <v>544</v>
      </c>
      <c r="BF33" t="s">
        <v>544</v>
      </c>
      <c r="BG33" t="s">
        <v>544</v>
      </c>
      <c r="BH33" t="s">
        <v>544</v>
      </c>
      <c r="BI33" t="s">
        <v>544</v>
      </c>
      <c r="BJ33" t="s">
        <v>544</v>
      </c>
      <c r="BK33" t="s">
        <v>544</v>
      </c>
      <c r="BL33" t="s">
        <v>544</v>
      </c>
      <c r="BM33" t="s">
        <v>544</v>
      </c>
      <c r="BN33" t="s">
        <v>544</v>
      </c>
      <c r="BO33" t="s">
        <v>544</v>
      </c>
      <c r="BP33" t="s">
        <v>544</v>
      </c>
      <c r="BQ33" t="s">
        <v>544</v>
      </c>
    </row>
    <row r="34" spans="1:69" x14ac:dyDescent="0.3">
      <c r="A34" t="s">
        <v>682</v>
      </c>
      <c r="B34" t="s">
        <v>539</v>
      </c>
      <c r="C34" t="s">
        <v>540</v>
      </c>
      <c r="D34" t="s">
        <v>541</v>
      </c>
      <c r="E34" t="s">
        <v>542</v>
      </c>
      <c r="F34" t="s">
        <v>543</v>
      </c>
      <c r="G34" t="s">
        <v>544</v>
      </c>
      <c r="H34" s="453"/>
      <c r="I34" t="s">
        <v>544</v>
      </c>
      <c r="J34">
        <v>2522</v>
      </c>
      <c r="K34" t="s">
        <v>585</v>
      </c>
      <c r="L34" t="s">
        <v>546</v>
      </c>
      <c r="M34" t="s">
        <v>547</v>
      </c>
      <c r="N34" t="s">
        <v>548</v>
      </c>
      <c r="O34" t="s">
        <v>544</v>
      </c>
      <c r="P34" t="s">
        <v>677</v>
      </c>
      <c r="Q34" t="s">
        <v>550</v>
      </c>
      <c r="R34" t="s">
        <v>544</v>
      </c>
      <c r="S34" t="s">
        <v>588</v>
      </c>
      <c r="T34" t="s">
        <v>552</v>
      </c>
      <c r="U34" t="s">
        <v>553</v>
      </c>
      <c r="V34" t="s">
        <v>554</v>
      </c>
      <c r="W34" t="s">
        <v>374</v>
      </c>
      <c r="X34">
        <v>1.5</v>
      </c>
      <c r="Y34" t="s">
        <v>472</v>
      </c>
      <c r="Z34">
        <v>1.5</v>
      </c>
      <c r="AA34" t="s">
        <v>544</v>
      </c>
      <c r="AB34" t="s">
        <v>544</v>
      </c>
      <c r="AC34" t="s">
        <v>544</v>
      </c>
      <c r="AD34" t="s">
        <v>544</v>
      </c>
      <c r="AE34" t="s">
        <v>544</v>
      </c>
      <c r="AG34">
        <v>1</v>
      </c>
      <c r="AH34" t="s">
        <v>544</v>
      </c>
      <c r="AI34" t="s">
        <v>544</v>
      </c>
      <c r="AJ34" t="s">
        <v>556</v>
      </c>
      <c r="AK34" t="s">
        <v>556</v>
      </c>
      <c r="AL34" t="s">
        <v>557</v>
      </c>
      <c r="AM34" t="s">
        <v>558</v>
      </c>
      <c r="AN34" t="s">
        <v>391</v>
      </c>
      <c r="AO34" t="s">
        <v>544</v>
      </c>
      <c r="AP34" t="s">
        <v>678</v>
      </c>
      <c r="AQ34" t="s">
        <v>560</v>
      </c>
      <c r="AR34" t="s">
        <v>561</v>
      </c>
      <c r="AS34" t="s">
        <v>544</v>
      </c>
      <c r="AT34" t="s">
        <v>679</v>
      </c>
      <c r="AU34" t="s">
        <v>544</v>
      </c>
      <c r="AV34" t="s">
        <v>544</v>
      </c>
      <c r="AW34" t="s">
        <v>544</v>
      </c>
      <c r="AY34" t="s">
        <v>544</v>
      </c>
      <c r="AZ34" t="s">
        <v>544</v>
      </c>
      <c r="BB34" t="s">
        <v>680</v>
      </c>
      <c r="BC34" t="s">
        <v>658</v>
      </c>
      <c r="BD34" t="s">
        <v>544</v>
      </c>
      <c r="BE34" t="s">
        <v>544</v>
      </c>
      <c r="BF34" t="s">
        <v>544</v>
      </c>
      <c r="BG34" t="s">
        <v>544</v>
      </c>
      <c r="BH34" t="s">
        <v>544</v>
      </c>
      <c r="BI34" t="s">
        <v>544</v>
      </c>
      <c r="BJ34" t="s">
        <v>544</v>
      </c>
      <c r="BK34" t="s">
        <v>544</v>
      </c>
      <c r="BL34" t="s">
        <v>544</v>
      </c>
      <c r="BM34" t="s">
        <v>544</v>
      </c>
      <c r="BN34" t="s">
        <v>544</v>
      </c>
      <c r="BO34" t="s">
        <v>544</v>
      </c>
      <c r="BP34" t="s">
        <v>544</v>
      </c>
      <c r="BQ34" t="s">
        <v>544</v>
      </c>
    </row>
    <row r="35" spans="1:69" x14ac:dyDescent="0.3">
      <c r="A35" t="s">
        <v>683</v>
      </c>
      <c r="B35" t="s">
        <v>539</v>
      </c>
      <c r="C35" t="s">
        <v>540</v>
      </c>
      <c r="D35" t="s">
        <v>541</v>
      </c>
      <c r="E35" t="s">
        <v>542</v>
      </c>
      <c r="F35" t="s">
        <v>543</v>
      </c>
      <c r="G35" t="s">
        <v>544</v>
      </c>
      <c r="H35" s="453"/>
      <c r="I35" t="s">
        <v>544</v>
      </c>
      <c r="J35">
        <v>2900</v>
      </c>
      <c r="K35" t="s">
        <v>585</v>
      </c>
      <c r="L35" t="s">
        <v>546</v>
      </c>
      <c r="M35" t="s">
        <v>547</v>
      </c>
      <c r="N35" t="s">
        <v>548</v>
      </c>
      <c r="O35" t="s">
        <v>544</v>
      </c>
      <c r="P35" t="s">
        <v>602</v>
      </c>
      <c r="Q35" t="s">
        <v>550</v>
      </c>
      <c r="R35" t="s">
        <v>603</v>
      </c>
      <c r="S35" t="s">
        <v>588</v>
      </c>
      <c r="T35" t="s">
        <v>552</v>
      </c>
      <c r="U35" t="s">
        <v>553</v>
      </c>
      <c r="V35" t="s">
        <v>554</v>
      </c>
      <c r="W35" t="s">
        <v>374</v>
      </c>
      <c r="X35">
        <v>1.5</v>
      </c>
      <c r="Y35" t="s">
        <v>472</v>
      </c>
      <c r="Z35">
        <v>1.5</v>
      </c>
      <c r="AA35" t="s">
        <v>472</v>
      </c>
      <c r="AB35" t="s">
        <v>544</v>
      </c>
      <c r="AC35" t="s">
        <v>544</v>
      </c>
      <c r="AD35" t="s">
        <v>544</v>
      </c>
      <c r="AE35" t="s">
        <v>544</v>
      </c>
      <c r="AG35">
        <v>1</v>
      </c>
      <c r="AH35" t="s">
        <v>544</v>
      </c>
      <c r="AI35" t="s">
        <v>544</v>
      </c>
      <c r="AJ35" t="s">
        <v>566</v>
      </c>
      <c r="AK35" t="s">
        <v>566</v>
      </c>
      <c r="AL35" t="s">
        <v>557</v>
      </c>
      <c r="AM35" t="s">
        <v>558</v>
      </c>
      <c r="AN35" t="s">
        <v>392</v>
      </c>
      <c r="AO35" t="s">
        <v>544</v>
      </c>
      <c r="AP35" t="s">
        <v>604</v>
      </c>
      <c r="AQ35" t="s">
        <v>560</v>
      </c>
      <c r="AR35" t="s">
        <v>561</v>
      </c>
      <c r="AS35" t="s">
        <v>544</v>
      </c>
      <c r="AT35" t="s">
        <v>605</v>
      </c>
      <c r="AU35" t="s">
        <v>544</v>
      </c>
      <c r="AV35" t="s">
        <v>544</v>
      </c>
      <c r="AW35" t="s">
        <v>544</v>
      </c>
      <c r="AY35" t="s">
        <v>544</v>
      </c>
      <c r="AZ35" t="s">
        <v>544</v>
      </c>
      <c r="BB35" t="s">
        <v>591</v>
      </c>
      <c r="BC35" t="s">
        <v>591</v>
      </c>
      <c r="BD35" t="s">
        <v>591</v>
      </c>
      <c r="BE35" t="s">
        <v>544</v>
      </c>
      <c r="BF35" t="s">
        <v>544</v>
      </c>
      <c r="BG35" t="s">
        <v>544</v>
      </c>
      <c r="BH35" t="s">
        <v>544</v>
      </c>
      <c r="BI35" t="s">
        <v>544</v>
      </c>
      <c r="BJ35" t="s">
        <v>544</v>
      </c>
      <c r="BK35" t="s">
        <v>544</v>
      </c>
      <c r="BL35" t="s">
        <v>544</v>
      </c>
      <c r="BM35" t="s">
        <v>544</v>
      </c>
      <c r="BN35" t="s">
        <v>544</v>
      </c>
      <c r="BO35" t="s">
        <v>544</v>
      </c>
      <c r="BP35" t="s">
        <v>544</v>
      </c>
      <c r="BQ35" t="s">
        <v>544</v>
      </c>
    </row>
    <row r="36" spans="1:69" x14ac:dyDescent="0.3">
      <c r="A36" t="s">
        <v>684</v>
      </c>
      <c r="B36" t="s">
        <v>539</v>
      </c>
      <c r="C36" t="s">
        <v>540</v>
      </c>
      <c r="D36" t="s">
        <v>541</v>
      </c>
      <c r="E36" t="s">
        <v>542</v>
      </c>
      <c r="F36" t="s">
        <v>543</v>
      </c>
      <c r="G36" t="s">
        <v>544</v>
      </c>
      <c r="H36" s="453"/>
      <c r="I36" t="s">
        <v>544</v>
      </c>
      <c r="J36">
        <v>2522</v>
      </c>
      <c r="K36" t="s">
        <v>585</v>
      </c>
      <c r="L36" t="s">
        <v>546</v>
      </c>
      <c r="M36" t="s">
        <v>547</v>
      </c>
      <c r="N36" t="s">
        <v>548</v>
      </c>
      <c r="O36" t="s">
        <v>544</v>
      </c>
      <c r="P36" t="s">
        <v>677</v>
      </c>
      <c r="Q36" t="s">
        <v>550</v>
      </c>
      <c r="R36" t="s">
        <v>544</v>
      </c>
      <c r="S36" t="s">
        <v>588</v>
      </c>
      <c r="T36" t="s">
        <v>552</v>
      </c>
      <c r="U36" t="s">
        <v>553</v>
      </c>
      <c r="V36" t="s">
        <v>554</v>
      </c>
      <c r="W36" t="s">
        <v>374</v>
      </c>
      <c r="X36">
        <v>1.5</v>
      </c>
      <c r="Y36" t="s">
        <v>472</v>
      </c>
      <c r="Z36">
        <v>1.5</v>
      </c>
      <c r="AA36" t="s">
        <v>544</v>
      </c>
      <c r="AB36" t="s">
        <v>544</v>
      </c>
      <c r="AC36" t="s">
        <v>544</v>
      </c>
      <c r="AD36" t="s">
        <v>544</v>
      </c>
      <c r="AE36" t="s">
        <v>544</v>
      </c>
      <c r="AG36">
        <v>1</v>
      </c>
      <c r="AH36" t="s">
        <v>544</v>
      </c>
      <c r="AI36" t="s">
        <v>544</v>
      </c>
      <c r="AJ36" t="s">
        <v>566</v>
      </c>
      <c r="AK36" t="s">
        <v>566</v>
      </c>
      <c r="AL36" t="s">
        <v>557</v>
      </c>
      <c r="AM36" t="s">
        <v>558</v>
      </c>
      <c r="AN36" t="s">
        <v>394</v>
      </c>
      <c r="AO36" t="s">
        <v>544</v>
      </c>
      <c r="AP36" t="s">
        <v>678</v>
      </c>
      <c r="AQ36" t="s">
        <v>560</v>
      </c>
      <c r="AR36" t="s">
        <v>561</v>
      </c>
      <c r="AS36" t="s">
        <v>544</v>
      </c>
      <c r="AT36" t="s">
        <v>679</v>
      </c>
      <c r="AU36" t="s">
        <v>544</v>
      </c>
      <c r="AV36" t="s">
        <v>544</v>
      </c>
      <c r="AW36" t="s">
        <v>544</v>
      </c>
      <c r="AY36" t="s">
        <v>544</v>
      </c>
      <c r="AZ36" t="s">
        <v>544</v>
      </c>
      <c r="BB36" t="s">
        <v>658</v>
      </c>
      <c r="BC36" t="s">
        <v>680</v>
      </c>
      <c r="BD36" t="s">
        <v>544</v>
      </c>
      <c r="BE36" t="s">
        <v>544</v>
      </c>
      <c r="BF36" t="s">
        <v>544</v>
      </c>
      <c r="BG36" t="s">
        <v>544</v>
      </c>
      <c r="BH36" t="s">
        <v>544</v>
      </c>
      <c r="BI36" t="s">
        <v>544</v>
      </c>
      <c r="BJ36" t="s">
        <v>544</v>
      </c>
      <c r="BK36" t="s">
        <v>544</v>
      </c>
      <c r="BL36" t="s">
        <v>544</v>
      </c>
      <c r="BM36" t="s">
        <v>544</v>
      </c>
      <c r="BN36" t="s">
        <v>544</v>
      </c>
      <c r="BO36" t="s">
        <v>544</v>
      </c>
      <c r="BP36" t="s">
        <v>544</v>
      </c>
      <c r="BQ36" t="s">
        <v>544</v>
      </c>
    </row>
    <row r="37" spans="1:69" x14ac:dyDescent="0.3">
      <c r="A37" t="s">
        <v>685</v>
      </c>
      <c r="B37" t="s">
        <v>539</v>
      </c>
      <c r="C37" t="s">
        <v>540</v>
      </c>
      <c r="D37" t="s">
        <v>541</v>
      </c>
      <c r="E37" t="s">
        <v>542</v>
      </c>
      <c r="F37" t="s">
        <v>543</v>
      </c>
      <c r="G37" t="s">
        <v>544</v>
      </c>
      <c r="H37" s="453"/>
      <c r="I37" t="s">
        <v>544</v>
      </c>
      <c r="J37">
        <v>2041</v>
      </c>
      <c r="K37" t="s">
        <v>545</v>
      </c>
      <c r="L37" t="s">
        <v>593</v>
      </c>
      <c r="M37" t="s">
        <v>547</v>
      </c>
      <c r="N37" t="s">
        <v>548</v>
      </c>
      <c r="O37" t="s">
        <v>544</v>
      </c>
      <c r="P37" t="s">
        <v>623</v>
      </c>
      <c r="Q37" t="s">
        <v>624</v>
      </c>
      <c r="R37" t="s">
        <v>544</v>
      </c>
      <c r="S37" t="s">
        <v>625</v>
      </c>
      <c r="T37" t="s">
        <v>552</v>
      </c>
      <c r="U37" t="s">
        <v>553</v>
      </c>
      <c r="V37" t="s">
        <v>554</v>
      </c>
      <c r="W37" t="s">
        <v>372</v>
      </c>
      <c r="X37">
        <v>0.75</v>
      </c>
      <c r="Y37" t="s">
        <v>470</v>
      </c>
      <c r="Z37">
        <v>0.75</v>
      </c>
      <c r="AA37" t="s">
        <v>544</v>
      </c>
      <c r="AB37" t="s">
        <v>544</v>
      </c>
      <c r="AC37" t="s">
        <v>544</v>
      </c>
      <c r="AD37" t="s">
        <v>544</v>
      </c>
      <c r="AE37" t="s">
        <v>686</v>
      </c>
      <c r="AF37">
        <v>7.1208999999999998</v>
      </c>
      <c r="AG37">
        <v>1</v>
      </c>
      <c r="AH37" t="s">
        <v>544</v>
      </c>
      <c r="AI37" t="s">
        <v>544</v>
      </c>
      <c r="AJ37" t="s">
        <v>597</v>
      </c>
      <c r="AK37" t="s">
        <v>597</v>
      </c>
      <c r="AL37" t="s">
        <v>557</v>
      </c>
      <c r="AM37" t="s">
        <v>558</v>
      </c>
      <c r="AN37" t="s">
        <v>389</v>
      </c>
      <c r="AO37" t="s">
        <v>544</v>
      </c>
      <c r="AP37" t="s">
        <v>687</v>
      </c>
      <c r="AQ37" t="s">
        <v>560</v>
      </c>
      <c r="AR37" t="s">
        <v>561</v>
      </c>
      <c r="AS37" t="s">
        <v>544</v>
      </c>
      <c r="AT37" t="s">
        <v>688</v>
      </c>
      <c r="AU37" t="s">
        <v>544</v>
      </c>
      <c r="AV37" t="s">
        <v>544</v>
      </c>
      <c r="AW37" t="s">
        <v>544</v>
      </c>
      <c r="AY37" t="s">
        <v>544</v>
      </c>
      <c r="AZ37" t="s">
        <v>544</v>
      </c>
      <c r="BB37" t="s">
        <v>629</v>
      </c>
      <c r="BC37" t="s">
        <v>629</v>
      </c>
      <c r="BD37" t="s">
        <v>544</v>
      </c>
      <c r="BE37" t="s">
        <v>544</v>
      </c>
      <c r="BF37" t="s">
        <v>544</v>
      </c>
      <c r="BG37" t="s">
        <v>544</v>
      </c>
      <c r="BH37" t="s">
        <v>544</v>
      </c>
      <c r="BI37" t="s">
        <v>544</v>
      </c>
      <c r="BJ37" t="s">
        <v>544</v>
      </c>
      <c r="BK37" t="s">
        <v>544</v>
      </c>
      <c r="BL37" t="s">
        <v>544</v>
      </c>
      <c r="BM37" t="s">
        <v>544</v>
      </c>
      <c r="BN37" t="s">
        <v>544</v>
      </c>
      <c r="BO37" t="s">
        <v>544</v>
      </c>
      <c r="BP37" t="s">
        <v>544</v>
      </c>
      <c r="BQ37" t="s">
        <v>544</v>
      </c>
    </row>
    <row r="38" spans="1:69" x14ac:dyDescent="0.3">
      <c r="A38" t="s">
        <v>689</v>
      </c>
      <c r="B38" t="s">
        <v>539</v>
      </c>
      <c r="C38" t="s">
        <v>540</v>
      </c>
      <c r="D38" t="s">
        <v>541</v>
      </c>
      <c r="E38" t="s">
        <v>542</v>
      </c>
      <c r="F38" t="s">
        <v>543</v>
      </c>
      <c r="G38" t="s">
        <v>544</v>
      </c>
      <c r="H38" s="453"/>
      <c r="I38" t="s">
        <v>544</v>
      </c>
      <c r="J38">
        <v>2522</v>
      </c>
      <c r="K38" t="s">
        <v>585</v>
      </c>
      <c r="L38" t="s">
        <v>660</v>
      </c>
      <c r="M38" t="s">
        <v>547</v>
      </c>
      <c r="N38" t="s">
        <v>548</v>
      </c>
      <c r="O38" t="s">
        <v>544</v>
      </c>
      <c r="P38" t="s">
        <v>690</v>
      </c>
      <c r="Q38" t="s">
        <v>595</v>
      </c>
      <c r="R38" t="s">
        <v>544</v>
      </c>
      <c r="S38" t="s">
        <v>660</v>
      </c>
      <c r="T38" t="s">
        <v>552</v>
      </c>
      <c r="U38" t="s">
        <v>553</v>
      </c>
      <c r="V38" t="s">
        <v>554</v>
      </c>
      <c r="W38" t="s">
        <v>372</v>
      </c>
      <c r="X38">
        <v>0.75</v>
      </c>
      <c r="Y38" t="s">
        <v>470</v>
      </c>
      <c r="Z38">
        <v>0.75</v>
      </c>
      <c r="AA38" t="s">
        <v>544</v>
      </c>
      <c r="AB38" t="s">
        <v>544</v>
      </c>
      <c r="AC38" t="s">
        <v>544</v>
      </c>
      <c r="AD38" t="s">
        <v>544</v>
      </c>
      <c r="AE38" t="s">
        <v>544</v>
      </c>
      <c r="AG38">
        <v>1</v>
      </c>
      <c r="AH38" t="s">
        <v>544</v>
      </c>
      <c r="AI38" t="s">
        <v>544</v>
      </c>
      <c r="AJ38" t="s">
        <v>597</v>
      </c>
      <c r="AK38" t="s">
        <v>597</v>
      </c>
      <c r="AL38" t="s">
        <v>557</v>
      </c>
      <c r="AM38" t="s">
        <v>558</v>
      </c>
      <c r="AN38" t="s">
        <v>544</v>
      </c>
      <c r="AO38" t="s">
        <v>544</v>
      </c>
      <c r="AP38" t="s">
        <v>544</v>
      </c>
      <c r="AQ38" t="s">
        <v>560</v>
      </c>
      <c r="AR38" t="s">
        <v>561</v>
      </c>
      <c r="AS38" t="s">
        <v>544</v>
      </c>
      <c r="AT38" t="s">
        <v>691</v>
      </c>
      <c r="AU38" t="s">
        <v>544</v>
      </c>
      <c r="AV38" t="s">
        <v>544</v>
      </c>
      <c r="AW38" t="s">
        <v>544</v>
      </c>
      <c r="AY38" t="s">
        <v>544</v>
      </c>
      <c r="AZ38" t="s">
        <v>544</v>
      </c>
      <c r="BB38" t="s">
        <v>692</v>
      </c>
      <c r="BC38" t="s">
        <v>693</v>
      </c>
      <c r="BD38" t="s">
        <v>544</v>
      </c>
      <c r="BE38" t="s">
        <v>544</v>
      </c>
      <c r="BF38" t="s">
        <v>544</v>
      </c>
      <c r="BG38" t="s">
        <v>544</v>
      </c>
      <c r="BH38" t="s">
        <v>544</v>
      </c>
      <c r="BI38" t="s">
        <v>544</v>
      </c>
      <c r="BJ38" t="s">
        <v>544</v>
      </c>
      <c r="BK38" t="s">
        <v>544</v>
      </c>
      <c r="BL38" t="s">
        <v>544</v>
      </c>
      <c r="BM38" t="s">
        <v>544</v>
      </c>
      <c r="BN38" t="s">
        <v>544</v>
      </c>
      <c r="BO38" t="s">
        <v>544</v>
      </c>
      <c r="BP38" t="s">
        <v>544</v>
      </c>
      <c r="BQ38" t="s">
        <v>544</v>
      </c>
    </row>
    <row r="39" spans="1:69" x14ac:dyDescent="0.3">
      <c r="A39" t="s">
        <v>694</v>
      </c>
      <c r="B39" t="s">
        <v>539</v>
      </c>
      <c r="C39" t="s">
        <v>540</v>
      </c>
      <c r="D39" t="s">
        <v>541</v>
      </c>
      <c r="E39" t="s">
        <v>542</v>
      </c>
      <c r="F39" t="s">
        <v>543</v>
      </c>
      <c r="G39" t="s">
        <v>544</v>
      </c>
      <c r="H39" s="453"/>
      <c r="I39" t="s">
        <v>544</v>
      </c>
      <c r="J39">
        <v>2041</v>
      </c>
      <c r="K39" t="s">
        <v>545</v>
      </c>
      <c r="L39" t="s">
        <v>593</v>
      </c>
      <c r="M39" t="s">
        <v>547</v>
      </c>
      <c r="N39" t="s">
        <v>548</v>
      </c>
      <c r="O39" t="s">
        <v>544</v>
      </c>
      <c r="P39" t="s">
        <v>623</v>
      </c>
      <c r="Q39" t="s">
        <v>624</v>
      </c>
      <c r="R39" t="s">
        <v>544</v>
      </c>
      <c r="S39" t="s">
        <v>625</v>
      </c>
      <c r="T39" t="s">
        <v>552</v>
      </c>
      <c r="U39" t="s">
        <v>553</v>
      </c>
      <c r="V39" t="s">
        <v>554</v>
      </c>
      <c r="W39" t="s">
        <v>372</v>
      </c>
      <c r="X39">
        <v>0.75</v>
      </c>
      <c r="Y39" t="s">
        <v>470</v>
      </c>
      <c r="Z39">
        <v>0.75</v>
      </c>
      <c r="AA39" t="s">
        <v>544</v>
      </c>
      <c r="AB39" t="s">
        <v>544</v>
      </c>
      <c r="AC39" t="s">
        <v>544</v>
      </c>
      <c r="AD39" t="s">
        <v>544</v>
      </c>
      <c r="AE39" t="s">
        <v>695</v>
      </c>
      <c r="AF39">
        <v>0.89370000000000005</v>
      </c>
      <c r="AG39">
        <v>1</v>
      </c>
      <c r="AH39" t="s">
        <v>544</v>
      </c>
      <c r="AI39" t="s">
        <v>544</v>
      </c>
      <c r="AJ39" t="s">
        <v>597</v>
      </c>
      <c r="AK39" t="s">
        <v>597</v>
      </c>
      <c r="AL39" t="s">
        <v>557</v>
      </c>
      <c r="AM39" t="s">
        <v>558</v>
      </c>
      <c r="AN39" t="s">
        <v>390</v>
      </c>
      <c r="AO39" t="s">
        <v>544</v>
      </c>
      <c r="AP39" t="s">
        <v>696</v>
      </c>
      <c r="AQ39" t="s">
        <v>560</v>
      </c>
      <c r="AR39" t="s">
        <v>561</v>
      </c>
      <c r="AS39" t="s">
        <v>544</v>
      </c>
      <c r="AT39" t="s">
        <v>688</v>
      </c>
      <c r="AU39" t="s">
        <v>544</v>
      </c>
      <c r="AV39" t="s">
        <v>544</v>
      </c>
      <c r="AW39" t="s">
        <v>544</v>
      </c>
      <c r="AY39" t="s">
        <v>544</v>
      </c>
      <c r="AZ39" t="s">
        <v>544</v>
      </c>
      <c r="BB39" t="s">
        <v>629</v>
      </c>
      <c r="BC39" t="s">
        <v>629</v>
      </c>
      <c r="BD39" t="s">
        <v>544</v>
      </c>
      <c r="BE39" t="s">
        <v>544</v>
      </c>
      <c r="BF39" t="s">
        <v>544</v>
      </c>
      <c r="BG39" t="s">
        <v>544</v>
      </c>
      <c r="BH39" t="s">
        <v>544</v>
      </c>
      <c r="BI39" t="s">
        <v>544</v>
      </c>
      <c r="BJ39" t="s">
        <v>544</v>
      </c>
      <c r="BK39" t="s">
        <v>544</v>
      </c>
      <c r="BL39" t="s">
        <v>544</v>
      </c>
      <c r="BM39" t="s">
        <v>544</v>
      </c>
      <c r="BN39" t="s">
        <v>544</v>
      </c>
      <c r="BO39" t="s">
        <v>544</v>
      </c>
      <c r="BP39" t="s">
        <v>544</v>
      </c>
      <c r="BQ39" t="s">
        <v>544</v>
      </c>
    </row>
    <row r="40" spans="1:69" x14ac:dyDescent="0.3">
      <c r="A40" t="s">
        <v>697</v>
      </c>
      <c r="B40" t="s">
        <v>539</v>
      </c>
      <c r="C40" t="s">
        <v>540</v>
      </c>
      <c r="D40" t="s">
        <v>541</v>
      </c>
      <c r="E40" t="s">
        <v>542</v>
      </c>
      <c r="F40" t="s">
        <v>543</v>
      </c>
      <c r="G40" t="s">
        <v>544</v>
      </c>
      <c r="H40" s="453"/>
      <c r="I40" t="s">
        <v>544</v>
      </c>
      <c r="J40">
        <v>2522</v>
      </c>
      <c r="K40" t="s">
        <v>585</v>
      </c>
      <c r="L40" t="s">
        <v>660</v>
      </c>
      <c r="M40" t="s">
        <v>547</v>
      </c>
      <c r="N40" t="s">
        <v>548</v>
      </c>
      <c r="O40" t="s">
        <v>544</v>
      </c>
      <c r="P40" t="s">
        <v>690</v>
      </c>
      <c r="Q40" t="s">
        <v>595</v>
      </c>
      <c r="R40" t="s">
        <v>544</v>
      </c>
      <c r="S40" t="s">
        <v>660</v>
      </c>
      <c r="T40" t="s">
        <v>552</v>
      </c>
      <c r="U40" t="s">
        <v>553</v>
      </c>
      <c r="V40" t="s">
        <v>554</v>
      </c>
      <c r="W40" t="s">
        <v>372</v>
      </c>
      <c r="X40">
        <v>0.75</v>
      </c>
      <c r="Y40" t="s">
        <v>470</v>
      </c>
      <c r="Z40">
        <v>0.75</v>
      </c>
      <c r="AA40" t="s">
        <v>544</v>
      </c>
      <c r="AB40" t="s">
        <v>544</v>
      </c>
      <c r="AC40" t="s">
        <v>544</v>
      </c>
      <c r="AD40" t="s">
        <v>544</v>
      </c>
      <c r="AE40" t="s">
        <v>544</v>
      </c>
      <c r="AG40">
        <v>1</v>
      </c>
      <c r="AH40" t="s">
        <v>544</v>
      </c>
      <c r="AI40" t="s">
        <v>544</v>
      </c>
      <c r="AJ40" t="s">
        <v>597</v>
      </c>
      <c r="AK40" t="s">
        <v>597</v>
      </c>
      <c r="AL40" t="s">
        <v>557</v>
      </c>
      <c r="AM40" t="s">
        <v>558</v>
      </c>
      <c r="AN40" t="s">
        <v>544</v>
      </c>
      <c r="AO40" t="s">
        <v>544</v>
      </c>
      <c r="AP40" t="s">
        <v>544</v>
      </c>
      <c r="AQ40" t="s">
        <v>560</v>
      </c>
      <c r="AR40" t="s">
        <v>561</v>
      </c>
      <c r="AS40" t="s">
        <v>544</v>
      </c>
      <c r="AT40" t="s">
        <v>691</v>
      </c>
      <c r="AU40" t="s">
        <v>544</v>
      </c>
      <c r="AV40" t="s">
        <v>544</v>
      </c>
      <c r="AW40" t="s">
        <v>544</v>
      </c>
      <c r="AY40" t="s">
        <v>544</v>
      </c>
      <c r="AZ40" t="s">
        <v>544</v>
      </c>
      <c r="BB40" t="s">
        <v>692</v>
      </c>
      <c r="BC40" t="s">
        <v>693</v>
      </c>
      <c r="BD40" t="s">
        <v>544</v>
      </c>
      <c r="BE40" t="s">
        <v>544</v>
      </c>
      <c r="BF40" t="s">
        <v>544</v>
      </c>
      <c r="BG40" t="s">
        <v>544</v>
      </c>
      <c r="BH40" t="s">
        <v>544</v>
      </c>
      <c r="BI40" t="s">
        <v>544</v>
      </c>
      <c r="BJ40" t="s">
        <v>544</v>
      </c>
      <c r="BK40" t="s">
        <v>544</v>
      </c>
      <c r="BL40" t="s">
        <v>544</v>
      </c>
      <c r="BM40" t="s">
        <v>544</v>
      </c>
      <c r="BN40" t="s">
        <v>544</v>
      </c>
      <c r="BO40" t="s">
        <v>544</v>
      </c>
      <c r="BP40" t="s">
        <v>544</v>
      </c>
      <c r="BQ40" t="s">
        <v>544</v>
      </c>
    </row>
    <row r="41" spans="1:69" x14ac:dyDescent="0.3">
      <c r="A41" t="s">
        <v>698</v>
      </c>
      <c r="B41" t="s">
        <v>539</v>
      </c>
      <c r="C41" t="s">
        <v>540</v>
      </c>
      <c r="D41" t="s">
        <v>541</v>
      </c>
      <c r="E41" t="s">
        <v>542</v>
      </c>
      <c r="F41" t="s">
        <v>543</v>
      </c>
      <c r="G41" t="s">
        <v>544</v>
      </c>
      <c r="H41" s="453"/>
      <c r="I41" t="s">
        <v>544</v>
      </c>
      <c r="J41">
        <v>2041</v>
      </c>
      <c r="K41" t="s">
        <v>545</v>
      </c>
      <c r="L41" t="s">
        <v>593</v>
      </c>
      <c r="M41" t="s">
        <v>547</v>
      </c>
      <c r="N41" t="s">
        <v>548</v>
      </c>
      <c r="O41" t="s">
        <v>544</v>
      </c>
      <c r="P41" t="s">
        <v>623</v>
      </c>
      <c r="Q41" t="s">
        <v>624</v>
      </c>
      <c r="R41" t="s">
        <v>544</v>
      </c>
      <c r="S41" t="s">
        <v>625</v>
      </c>
      <c r="T41" t="s">
        <v>552</v>
      </c>
      <c r="U41" t="s">
        <v>553</v>
      </c>
      <c r="V41" t="s">
        <v>554</v>
      </c>
      <c r="W41" t="s">
        <v>372</v>
      </c>
      <c r="X41">
        <v>0.75</v>
      </c>
      <c r="Y41" t="s">
        <v>470</v>
      </c>
      <c r="Z41">
        <v>0.75</v>
      </c>
      <c r="AA41" t="s">
        <v>544</v>
      </c>
      <c r="AB41" t="s">
        <v>544</v>
      </c>
      <c r="AC41" t="s">
        <v>544</v>
      </c>
      <c r="AD41" t="s">
        <v>544</v>
      </c>
      <c r="AE41" t="s">
        <v>699</v>
      </c>
      <c r="AF41">
        <v>0.94030000000000002</v>
      </c>
      <c r="AG41">
        <v>1</v>
      </c>
      <c r="AH41" t="s">
        <v>544</v>
      </c>
      <c r="AI41" t="s">
        <v>544</v>
      </c>
      <c r="AJ41" t="s">
        <v>650</v>
      </c>
      <c r="AK41" t="s">
        <v>650</v>
      </c>
      <c r="AL41" t="s">
        <v>557</v>
      </c>
      <c r="AM41" t="s">
        <v>558</v>
      </c>
      <c r="AN41" t="s">
        <v>389</v>
      </c>
      <c r="AO41" t="s">
        <v>544</v>
      </c>
      <c r="AP41" t="s">
        <v>700</v>
      </c>
      <c r="AQ41" t="s">
        <v>560</v>
      </c>
      <c r="AR41" t="s">
        <v>561</v>
      </c>
      <c r="AS41" t="s">
        <v>544</v>
      </c>
      <c r="AT41" t="s">
        <v>688</v>
      </c>
      <c r="AU41" t="s">
        <v>544</v>
      </c>
      <c r="AV41" t="s">
        <v>544</v>
      </c>
      <c r="AW41" t="s">
        <v>544</v>
      </c>
      <c r="AY41" t="s">
        <v>544</v>
      </c>
      <c r="AZ41" t="s">
        <v>544</v>
      </c>
      <c r="BB41" t="s">
        <v>629</v>
      </c>
      <c r="BC41" t="s">
        <v>629</v>
      </c>
      <c r="BD41" t="s">
        <v>544</v>
      </c>
      <c r="BE41" t="s">
        <v>544</v>
      </c>
      <c r="BF41" t="s">
        <v>544</v>
      </c>
      <c r="BG41" t="s">
        <v>544</v>
      </c>
      <c r="BH41" t="s">
        <v>544</v>
      </c>
      <c r="BI41" t="s">
        <v>544</v>
      </c>
      <c r="BJ41" t="s">
        <v>544</v>
      </c>
      <c r="BK41" t="s">
        <v>544</v>
      </c>
      <c r="BL41" t="s">
        <v>544</v>
      </c>
      <c r="BM41" t="s">
        <v>544</v>
      </c>
      <c r="BN41" t="s">
        <v>544</v>
      </c>
      <c r="BO41" t="s">
        <v>544</v>
      </c>
      <c r="BP41" t="s">
        <v>544</v>
      </c>
      <c r="BQ41" t="s">
        <v>544</v>
      </c>
    </row>
    <row r="42" spans="1:69" x14ac:dyDescent="0.3">
      <c r="A42" t="s">
        <v>701</v>
      </c>
      <c r="B42" t="s">
        <v>539</v>
      </c>
      <c r="C42" t="s">
        <v>540</v>
      </c>
      <c r="D42" t="s">
        <v>541</v>
      </c>
      <c r="E42" t="s">
        <v>542</v>
      </c>
      <c r="F42" t="s">
        <v>543</v>
      </c>
      <c r="G42" t="s">
        <v>544</v>
      </c>
      <c r="H42" s="453"/>
      <c r="I42" t="s">
        <v>544</v>
      </c>
      <c r="J42">
        <v>2041</v>
      </c>
      <c r="K42" t="s">
        <v>545</v>
      </c>
      <c r="L42" t="s">
        <v>593</v>
      </c>
      <c r="M42" t="s">
        <v>547</v>
      </c>
      <c r="N42" t="s">
        <v>548</v>
      </c>
      <c r="O42" t="s">
        <v>544</v>
      </c>
      <c r="P42" t="s">
        <v>623</v>
      </c>
      <c r="Q42" t="s">
        <v>624</v>
      </c>
      <c r="R42" t="s">
        <v>544</v>
      </c>
      <c r="S42" t="s">
        <v>625</v>
      </c>
      <c r="T42" t="s">
        <v>552</v>
      </c>
      <c r="U42" t="s">
        <v>553</v>
      </c>
      <c r="V42" t="s">
        <v>554</v>
      </c>
      <c r="W42" t="s">
        <v>372</v>
      </c>
      <c r="X42">
        <v>0.75</v>
      </c>
      <c r="Y42" t="s">
        <v>470</v>
      </c>
      <c r="Z42">
        <v>0.75</v>
      </c>
      <c r="AA42" t="s">
        <v>544</v>
      </c>
      <c r="AB42" t="s">
        <v>544</v>
      </c>
      <c r="AC42" t="s">
        <v>544</v>
      </c>
      <c r="AD42" t="s">
        <v>544</v>
      </c>
      <c r="AE42" t="s">
        <v>702</v>
      </c>
      <c r="AF42">
        <v>8.9167000000000005</v>
      </c>
      <c r="AG42">
        <v>1</v>
      </c>
      <c r="AH42" t="s">
        <v>544</v>
      </c>
      <c r="AI42" t="s">
        <v>544</v>
      </c>
      <c r="AJ42" t="s">
        <v>703</v>
      </c>
      <c r="AK42" t="s">
        <v>703</v>
      </c>
      <c r="AL42" t="s">
        <v>557</v>
      </c>
      <c r="AM42" t="s">
        <v>558</v>
      </c>
      <c r="AN42" t="s">
        <v>389</v>
      </c>
      <c r="AO42" t="s">
        <v>544</v>
      </c>
      <c r="AP42" t="s">
        <v>704</v>
      </c>
      <c r="AQ42" t="s">
        <v>560</v>
      </c>
      <c r="AR42" t="s">
        <v>561</v>
      </c>
      <c r="AS42" t="s">
        <v>544</v>
      </c>
      <c r="AT42" t="s">
        <v>688</v>
      </c>
      <c r="AU42" t="s">
        <v>544</v>
      </c>
      <c r="AV42" t="s">
        <v>544</v>
      </c>
      <c r="AW42" t="s">
        <v>544</v>
      </c>
      <c r="AY42" t="s">
        <v>544</v>
      </c>
      <c r="AZ42" t="s">
        <v>544</v>
      </c>
      <c r="BB42" t="s">
        <v>629</v>
      </c>
      <c r="BC42" t="s">
        <v>629</v>
      </c>
      <c r="BD42" t="s">
        <v>544</v>
      </c>
      <c r="BE42" t="s">
        <v>544</v>
      </c>
      <c r="BF42" t="s">
        <v>544</v>
      </c>
      <c r="BG42" t="s">
        <v>544</v>
      </c>
      <c r="BH42" t="s">
        <v>544</v>
      </c>
      <c r="BI42" t="s">
        <v>544</v>
      </c>
      <c r="BJ42" t="s">
        <v>544</v>
      </c>
      <c r="BK42" t="s">
        <v>544</v>
      </c>
      <c r="BL42" t="s">
        <v>544</v>
      </c>
      <c r="BM42" t="s">
        <v>544</v>
      </c>
      <c r="BN42" t="s">
        <v>544</v>
      </c>
      <c r="BO42" t="s">
        <v>544</v>
      </c>
      <c r="BP42" t="s">
        <v>544</v>
      </c>
      <c r="BQ42" t="s">
        <v>544</v>
      </c>
    </row>
    <row r="43" spans="1:69" x14ac:dyDescent="0.3">
      <c r="A43" t="s">
        <v>705</v>
      </c>
      <c r="B43" t="s">
        <v>539</v>
      </c>
      <c r="C43" t="s">
        <v>540</v>
      </c>
      <c r="D43" t="s">
        <v>541</v>
      </c>
      <c r="E43" t="s">
        <v>542</v>
      </c>
      <c r="F43" t="s">
        <v>543</v>
      </c>
      <c r="G43" t="s">
        <v>544</v>
      </c>
      <c r="H43" s="453"/>
      <c r="I43" t="s">
        <v>544</v>
      </c>
      <c r="J43">
        <v>2160</v>
      </c>
      <c r="K43" t="s">
        <v>585</v>
      </c>
      <c r="L43" t="s">
        <v>593</v>
      </c>
      <c r="M43" t="s">
        <v>547</v>
      </c>
      <c r="N43" t="s">
        <v>548</v>
      </c>
      <c r="O43" t="s">
        <v>544</v>
      </c>
      <c r="P43" t="s">
        <v>649</v>
      </c>
      <c r="Q43" t="s">
        <v>595</v>
      </c>
      <c r="R43" t="s">
        <v>603</v>
      </c>
      <c r="S43" t="s">
        <v>588</v>
      </c>
      <c r="T43" t="s">
        <v>552</v>
      </c>
      <c r="U43" t="s">
        <v>553</v>
      </c>
      <c r="V43" t="s">
        <v>554</v>
      </c>
      <c r="W43" t="s">
        <v>372</v>
      </c>
      <c r="X43">
        <v>0.75</v>
      </c>
      <c r="Y43" t="s">
        <v>470</v>
      </c>
      <c r="Z43">
        <v>0.75</v>
      </c>
      <c r="AA43" t="s">
        <v>470</v>
      </c>
      <c r="AB43" t="s">
        <v>544</v>
      </c>
      <c r="AC43" t="s">
        <v>544</v>
      </c>
      <c r="AD43" t="s">
        <v>544</v>
      </c>
      <c r="AE43" t="s">
        <v>544</v>
      </c>
      <c r="AG43">
        <v>1</v>
      </c>
      <c r="AH43" t="s">
        <v>544</v>
      </c>
      <c r="AI43" t="s">
        <v>544</v>
      </c>
      <c r="AJ43" t="s">
        <v>650</v>
      </c>
      <c r="AK43" t="s">
        <v>650</v>
      </c>
      <c r="AL43" t="s">
        <v>557</v>
      </c>
      <c r="AM43" t="s">
        <v>558</v>
      </c>
      <c r="AN43" t="s">
        <v>390</v>
      </c>
      <c r="AO43" t="s">
        <v>544</v>
      </c>
      <c r="AP43" t="s">
        <v>651</v>
      </c>
      <c r="AQ43" t="s">
        <v>560</v>
      </c>
      <c r="AR43" t="s">
        <v>561</v>
      </c>
      <c r="AS43" t="s">
        <v>544</v>
      </c>
      <c r="AT43" t="s">
        <v>652</v>
      </c>
      <c r="AU43" t="s">
        <v>544</v>
      </c>
      <c r="AV43" t="s">
        <v>544</v>
      </c>
      <c r="AW43" t="s">
        <v>544</v>
      </c>
      <c r="AY43" t="s">
        <v>544</v>
      </c>
      <c r="AZ43" t="s">
        <v>544</v>
      </c>
      <c r="BB43" t="s">
        <v>600</v>
      </c>
      <c r="BC43" t="s">
        <v>600</v>
      </c>
      <c r="BD43" t="s">
        <v>600</v>
      </c>
      <c r="BE43" t="s">
        <v>544</v>
      </c>
      <c r="BF43" t="s">
        <v>544</v>
      </c>
      <c r="BG43" t="s">
        <v>544</v>
      </c>
      <c r="BH43" t="s">
        <v>544</v>
      </c>
      <c r="BI43" t="s">
        <v>544</v>
      </c>
      <c r="BJ43" t="s">
        <v>544</v>
      </c>
      <c r="BK43" t="s">
        <v>544</v>
      </c>
      <c r="BL43" t="s">
        <v>544</v>
      </c>
      <c r="BM43" t="s">
        <v>544</v>
      </c>
      <c r="BN43" t="s">
        <v>544</v>
      </c>
      <c r="BO43" t="s">
        <v>544</v>
      </c>
      <c r="BP43" t="s">
        <v>544</v>
      </c>
      <c r="BQ43" t="s">
        <v>544</v>
      </c>
    </row>
    <row r="44" spans="1:69" x14ac:dyDescent="0.3">
      <c r="A44" t="s">
        <v>706</v>
      </c>
      <c r="B44" t="s">
        <v>539</v>
      </c>
      <c r="C44" t="s">
        <v>540</v>
      </c>
      <c r="D44" t="s">
        <v>541</v>
      </c>
      <c r="E44" t="s">
        <v>542</v>
      </c>
      <c r="F44" t="s">
        <v>543</v>
      </c>
      <c r="G44" t="s">
        <v>544</v>
      </c>
      <c r="H44" s="453"/>
      <c r="I44" t="s">
        <v>544</v>
      </c>
      <c r="J44">
        <v>2522</v>
      </c>
      <c r="K44" t="s">
        <v>585</v>
      </c>
      <c r="L44" t="s">
        <v>660</v>
      </c>
      <c r="M44" t="s">
        <v>547</v>
      </c>
      <c r="N44" t="s">
        <v>548</v>
      </c>
      <c r="O44" t="s">
        <v>544</v>
      </c>
      <c r="P44" t="s">
        <v>690</v>
      </c>
      <c r="Q44" t="s">
        <v>595</v>
      </c>
      <c r="R44" t="s">
        <v>544</v>
      </c>
      <c r="S44" t="s">
        <v>660</v>
      </c>
      <c r="T44" t="s">
        <v>552</v>
      </c>
      <c r="U44" t="s">
        <v>553</v>
      </c>
      <c r="V44" t="s">
        <v>554</v>
      </c>
      <c r="W44" t="s">
        <v>372</v>
      </c>
      <c r="X44">
        <v>0.75</v>
      </c>
      <c r="Y44" t="s">
        <v>470</v>
      </c>
      <c r="Z44">
        <v>0.75</v>
      </c>
      <c r="AA44" t="s">
        <v>544</v>
      </c>
      <c r="AB44" t="s">
        <v>544</v>
      </c>
      <c r="AC44" t="s">
        <v>544</v>
      </c>
      <c r="AD44" t="s">
        <v>544</v>
      </c>
      <c r="AE44" t="s">
        <v>544</v>
      </c>
      <c r="AG44">
        <v>1</v>
      </c>
      <c r="AH44" t="s">
        <v>544</v>
      </c>
      <c r="AI44" t="s">
        <v>544</v>
      </c>
      <c r="AJ44" t="s">
        <v>650</v>
      </c>
      <c r="AK44" t="s">
        <v>650</v>
      </c>
      <c r="AL44" t="s">
        <v>557</v>
      </c>
      <c r="AM44" t="s">
        <v>558</v>
      </c>
      <c r="AN44" t="s">
        <v>544</v>
      </c>
      <c r="AO44" t="s">
        <v>544</v>
      </c>
      <c r="AP44" t="s">
        <v>544</v>
      </c>
      <c r="AQ44" t="s">
        <v>560</v>
      </c>
      <c r="AR44" t="s">
        <v>561</v>
      </c>
      <c r="AS44" t="s">
        <v>544</v>
      </c>
      <c r="AT44" t="s">
        <v>691</v>
      </c>
      <c r="AU44" t="s">
        <v>544</v>
      </c>
      <c r="AV44" t="s">
        <v>544</v>
      </c>
      <c r="AW44" t="s">
        <v>544</v>
      </c>
      <c r="AY44" t="s">
        <v>544</v>
      </c>
      <c r="AZ44" t="s">
        <v>544</v>
      </c>
      <c r="BB44" t="s">
        <v>693</v>
      </c>
      <c r="BC44" t="s">
        <v>692</v>
      </c>
      <c r="BD44" t="s">
        <v>544</v>
      </c>
      <c r="BE44" t="s">
        <v>544</v>
      </c>
      <c r="BF44" t="s">
        <v>544</v>
      </c>
      <c r="BG44" t="s">
        <v>544</v>
      </c>
      <c r="BH44" t="s">
        <v>544</v>
      </c>
      <c r="BI44" t="s">
        <v>544</v>
      </c>
      <c r="BJ44" t="s">
        <v>544</v>
      </c>
      <c r="BK44" t="s">
        <v>544</v>
      </c>
      <c r="BL44" t="s">
        <v>544</v>
      </c>
      <c r="BM44" t="s">
        <v>544</v>
      </c>
      <c r="BN44" t="s">
        <v>544</v>
      </c>
      <c r="BO44" t="s">
        <v>544</v>
      </c>
      <c r="BP44" t="s">
        <v>544</v>
      </c>
      <c r="BQ44" t="s">
        <v>544</v>
      </c>
    </row>
    <row r="45" spans="1:69" x14ac:dyDescent="0.3">
      <c r="A45" t="s">
        <v>707</v>
      </c>
      <c r="B45" t="s">
        <v>539</v>
      </c>
      <c r="C45" t="s">
        <v>540</v>
      </c>
      <c r="D45" t="s">
        <v>541</v>
      </c>
      <c r="E45" t="s">
        <v>542</v>
      </c>
      <c r="F45" t="s">
        <v>543</v>
      </c>
      <c r="G45" t="s">
        <v>544</v>
      </c>
      <c r="H45" s="453"/>
      <c r="I45" t="s">
        <v>544</v>
      </c>
      <c r="J45">
        <v>2522</v>
      </c>
      <c r="K45" t="s">
        <v>585</v>
      </c>
      <c r="L45" t="s">
        <v>660</v>
      </c>
      <c r="M45" t="s">
        <v>547</v>
      </c>
      <c r="N45" t="s">
        <v>548</v>
      </c>
      <c r="O45" t="s">
        <v>544</v>
      </c>
      <c r="P45" t="s">
        <v>690</v>
      </c>
      <c r="Q45" t="s">
        <v>595</v>
      </c>
      <c r="R45" t="s">
        <v>544</v>
      </c>
      <c r="S45" t="s">
        <v>660</v>
      </c>
      <c r="T45" t="s">
        <v>552</v>
      </c>
      <c r="U45" t="s">
        <v>553</v>
      </c>
      <c r="V45" t="s">
        <v>554</v>
      </c>
      <c r="W45" t="s">
        <v>372</v>
      </c>
      <c r="X45">
        <v>0.75</v>
      </c>
      <c r="Y45" t="s">
        <v>470</v>
      </c>
      <c r="Z45">
        <v>0.75</v>
      </c>
      <c r="AA45" t="s">
        <v>544</v>
      </c>
      <c r="AB45" t="s">
        <v>544</v>
      </c>
      <c r="AC45" t="s">
        <v>544</v>
      </c>
      <c r="AD45" t="s">
        <v>544</v>
      </c>
      <c r="AE45" t="s">
        <v>544</v>
      </c>
      <c r="AG45">
        <v>1</v>
      </c>
      <c r="AH45" t="s">
        <v>544</v>
      </c>
      <c r="AI45" t="s">
        <v>544</v>
      </c>
      <c r="AJ45" t="s">
        <v>544</v>
      </c>
      <c r="AK45" t="s">
        <v>544</v>
      </c>
      <c r="AL45" t="s">
        <v>557</v>
      </c>
      <c r="AM45" t="s">
        <v>558</v>
      </c>
      <c r="AN45" t="s">
        <v>544</v>
      </c>
      <c r="AO45" t="s">
        <v>544</v>
      </c>
      <c r="AP45" t="s">
        <v>544</v>
      </c>
      <c r="AQ45" t="s">
        <v>560</v>
      </c>
      <c r="AR45" t="s">
        <v>561</v>
      </c>
      <c r="AS45" t="s">
        <v>544</v>
      </c>
      <c r="AT45" t="s">
        <v>691</v>
      </c>
      <c r="AU45" t="s">
        <v>544</v>
      </c>
      <c r="AV45" t="s">
        <v>544</v>
      </c>
      <c r="AW45" t="s">
        <v>544</v>
      </c>
      <c r="AY45" t="s">
        <v>544</v>
      </c>
      <c r="AZ45" t="s">
        <v>544</v>
      </c>
      <c r="BB45" t="s">
        <v>693</v>
      </c>
      <c r="BC45" t="s">
        <v>692</v>
      </c>
      <c r="BD45" t="s">
        <v>544</v>
      </c>
      <c r="BE45" t="s">
        <v>544</v>
      </c>
      <c r="BF45" t="s">
        <v>544</v>
      </c>
      <c r="BG45" t="s">
        <v>544</v>
      </c>
      <c r="BH45" t="s">
        <v>544</v>
      </c>
      <c r="BI45" t="s">
        <v>544</v>
      </c>
      <c r="BJ45" t="s">
        <v>544</v>
      </c>
      <c r="BK45" t="s">
        <v>544</v>
      </c>
      <c r="BL45" t="s">
        <v>544</v>
      </c>
      <c r="BM45" t="s">
        <v>544</v>
      </c>
      <c r="BN45" t="s">
        <v>544</v>
      </c>
      <c r="BO45" t="s">
        <v>544</v>
      </c>
      <c r="BP45" t="s">
        <v>544</v>
      </c>
      <c r="BQ45" t="s">
        <v>544</v>
      </c>
    </row>
    <row r="46" spans="1:69" x14ac:dyDescent="0.3">
      <c r="A46" t="s">
        <v>708</v>
      </c>
      <c r="B46" t="s">
        <v>539</v>
      </c>
      <c r="C46" t="s">
        <v>540</v>
      </c>
      <c r="D46" t="s">
        <v>541</v>
      </c>
      <c r="E46" t="s">
        <v>542</v>
      </c>
      <c r="F46" t="s">
        <v>543</v>
      </c>
      <c r="G46" t="s">
        <v>544</v>
      </c>
      <c r="H46" s="453"/>
      <c r="I46" t="s">
        <v>544</v>
      </c>
      <c r="J46">
        <v>2041</v>
      </c>
      <c r="K46" t="s">
        <v>545</v>
      </c>
      <c r="L46" t="s">
        <v>593</v>
      </c>
      <c r="M46" t="s">
        <v>547</v>
      </c>
      <c r="N46" t="s">
        <v>548</v>
      </c>
      <c r="O46" t="s">
        <v>544</v>
      </c>
      <c r="P46" t="s">
        <v>623</v>
      </c>
      <c r="Q46" t="s">
        <v>624</v>
      </c>
      <c r="R46" t="s">
        <v>544</v>
      </c>
      <c r="S46" t="s">
        <v>625</v>
      </c>
      <c r="T46" t="s">
        <v>552</v>
      </c>
      <c r="U46" t="s">
        <v>553</v>
      </c>
      <c r="V46" t="s">
        <v>554</v>
      </c>
      <c r="W46" t="s">
        <v>372</v>
      </c>
      <c r="X46">
        <v>0.75</v>
      </c>
      <c r="Y46" t="s">
        <v>470</v>
      </c>
      <c r="Z46">
        <v>0.75</v>
      </c>
      <c r="AA46" t="s">
        <v>544</v>
      </c>
      <c r="AB46" t="s">
        <v>544</v>
      </c>
      <c r="AC46" t="s">
        <v>544</v>
      </c>
      <c r="AD46" t="s">
        <v>544</v>
      </c>
      <c r="AE46" t="s">
        <v>709</v>
      </c>
      <c r="AF46">
        <v>20</v>
      </c>
      <c r="AG46">
        <v>1</v>
      </c>
      <c r="AH46" t="s">
        <v>544</v>
      </c>
      <c r="AI46" t="s">
        <v>544</v>
      </c>
      <c r="AJ46" t="s">
        <v>710</v>
      </c>
      <c r="AK46" t="s">
        <v>710</v>
      </c>
      <c r="AL46" t="s">
        <v>557</v>
      </c>
      <c r="AM46" t="s">
        <v>558</v>
      </c>
      <c r="AN46" t="s">
        <v>389</v>
      </c>
      <c r="AO46" t="s">
        <v>544</v>
      </c>
      <c r="AP46" t="s">
        <v>711</v>
      </c>
      <c r="AQ46" t="s">
        <v>560</v>
      </c>
      <c r="AR46" t="s">
        <v>561</v>
      </c>
      <c r="AS46" t="s">
        <v>544</v>
      </c>
      <c r="AT46" t="s">
        <v>688</v>
      </c>
      <c r="AU46" t="s">
        <v>544</v>
      </c>
      <c r="AV46" t="s">
        <v>544</v>
      </c>
      <c r="AW46" t="s">
        <v>544</v>
      </c>
      <c r="AY46" t="s">
        <v>544</v>
      </c>
      <c r="AZ46" t="s">
        <v>544</v>
      </c>
      <c r="BB46" t="s">
        <v>629</v>
      </c>
      <c r="BC46" t="s">
        <v>629</v>
      </c>
      <c r="BD46" t="s">
        <v>544</v>
      </c>
      <c r="BE46" t="s">
        <v>544</v>
      </c>
      <c r="BF46" t="s">
        <v>544</v>
      </c>
      <c r="BG46" t="s">
        <v>544</v>
      </c>
      <c r="BH46" t="s">
        <v>544</v>
      </c>
      <c r="BI46" t="s">
        <v>544</v>
      </c>
      <c r="BJ46" t="s">
        <v>544</v>
      </c>
      <c r="BK46" t="s">
        <v>544</v>
      </c>
      <c r="BL46" t="s">
        <v>544</v>
      </c>
      <c r="BM46" t="s">
        <v>544</v>
      </c>
      <c r="BN46" t="s">
        <v>544</v>
      </c>
      <c r="BO46" t="s">
        <v>544</v>
      </c>
      <c r="BP46" t="s">
        <v>544</v>
      </c>
      <c r="BQ46" t="s">
        <v>544</v>
      </c>
    </row>
    <row r="47" spans="1:69" x14ac:dyDescent="0.3">
      <c r="A47" t="s">
        <v>712</v>
      </c>
      <c r="B47" t="s">
        <v>539</v>
      </c>
      <c r="C47" t="s">
        <v>540</v>
      </c>
      <c r="D47" t="s">
        <v>541</v>
      </c>
      <c r="E47" t="s">
        <v>542</v>
      </c>
      <c r="F47" t="s">
        <v>543</v>
      </c>
      <c r="G47" t="s">
        <v>544</v>
      </c>
      <c r="H47" s="453"/>
      <c r="I47" t="s">
        <v>544</v>
      </c>
      <c r="J47">
        <v>2522</v>
      </c>
      <c r="K47" t="s">
        <v>585</v>
      </c>
      <c r="L47" t="s">
        <v>660</v>
      </c>
      <c r="M47" t="s">
        <v>547</v>
      </c>
      <c r="N47" t="s">
        <v>548</v>
      </c>
      <c r="O47" t="s">
        <v>544</v>
      </c>
      <c r="P47" t="s">
        <v>690</v>
      </c>
      <c r="Q47" t="s">
        <v>595</v>
      </c>
      <c r="R47" t="s">
        <v>544</v>
      </c>
      <c r="S47" t="s">
        <v>660</v>
      </c>
      <c r="T47" t="s">
        <v>552</v>
      </c>
      <c r="U47" t="s">
        <v>553</v>
      </c>
      <c r="V47" t="s">
        <v>554</v>
      </c>
      <c r="W47" t="s">
        <v>372</v>
      </c>
      <c r="X47">
        <v>0.75</v>
      </c>
      <c r="Y47" t="s">
        <v>470</v>
      </c>
      <c r="Z47">
        <v>0.75</v>
      </c>
      <c r="AA47" t="s">
        <v>544</v>
      </c>
      <c r="AB47" t="s">
        <v>544</v>
      </c>
      <c r="AC47" t="s">
        <v>544</v>
      </c>
      <c r="AD47" t="s">
        <v>544</v>
      </c>
      <c r="AE47" t="s">
        <v>544</v>
      </c>
      <c r="AG47">
        <v>1</v>
      </c>
      <c r="AH47" t="s">
        <v>544</v>
      </c>
      <c r="AI47" t="s">
        <v>544</v>
      </c>
      <c r="AJ47" t="s">
        <v>544</v>
      </c>
      <c r="AK47" t="s">
        <v>544</v>
      </c>
      <c r="AL47" t="s">
        <v>557</v>
      </c>
      <c r="AM47" t="s">
        <v>558</v>
      </c>
      <c r="AN47" t="s">
        <v>544</v>
      </c>
      <c r="AO47" t="s">
        <v>544</v>
      </c>
      <c r="AP47" t="s">
        <v>544</v>
      </c>
      <c r="AQ47" t="s">
        <v>560</v>
      </c>
      <c r="AR47" t="s">
        <v>561</v>
      </c>
      <c r="AS47" t="s">
        <v>544</v>
      </c>
      <c r="AT47" t="s">
        <v>691</v>
      </c>
      <c r="AU47" t="s">
        <v>544</v>
      </c>
      <c r="AV47" t="s">
        <v>544</v>
      </c>
      <c r="AW47" t="s">
        <v>544</v>
      </c>
      <c r="AY47" t="s">
        <v>544</v>
      </c>
      <c r="AZ47" t="s">
        <v>544</v>
      </c>
      <c r="BB47" t="s">
        <v>693</v>
      </c>
      <c r="BC47" t="s">
        <v>692</v>
      </c>
      <c r="BD47" t="s">
        <v>544</v>
      </c>
      <c r="BE47" t="s">
        <v>544</v>
      </c>
      <c r="BF47" t="s">
        <v>544</v>
      </c>
      <c r="BG47" t="s">
        <v>544</v>
      </c>
      <c r="BH47" t="s">
        <v>544</v>
      </c>
      <c r="BI47" t="s">
        <v>544</v>
      </c>
      <c r="BJ47" t="s">
        <v>544</v>
      </c>
      <c r="BK47" t="s">
        <v>544</v>
      </c>
      <c r="BL47" t="s">
        <v>544</v>
      </c>
      <c r="BM47" t="s">
        <v>544</v>
      </c>
      <c r="BN47" t="s">
        <v>544</v>
      </c>
      <c r="BO47" t="s">
        <v>544</v>
      </c>
      <c r="BP47" t="s">
        <v>544</v>
      </c>
      <c r="BQ47" t="s">
        <v>544</v>
      </c>
    </row>
    <row r="48" spans="1:69" x14ac:dyDescent="0.3">
      <c r="A48" t="s">
        <v>713</v>
      </c>
      <c r="B48" t="s">
        <v>539</v>
      </c>
      <c r="C48" t="s">
        <v>540</v>
      </c>
      <c r="D48" t="s">
        <v>541</v>
      </c>
      <c r="E48" t="s">
        <v>542</v>
      </c>
      <c r="F48" t="s">
        <v>543</v>
      </c>
      <c r="G48" t="s">
        <v>544</v>
      </c>
      <c r="H48" s="453"/>
      <c r="I48" t="s">
        <v>544</v>
      </c>
      <c r="J48">
        <v>2041</v>
      </c>
      <c r="K48" t="s">
        <v>545</v>
      </c>
      <c r="L48" t="s">
        <v>546</v>
      </c>
      <c r="M48" t="s">
        <v>547</v>
      </c>
      <c r="N48" t="s">
        <v>548</v>
      </c>
      <c r="O48" t="s">
        <v>544</v>
      </c>
      <c r="P48" t="s">
        <v>549</v>
      </c>
      <c r="Q48" t="s">
        <v>550</v>
      </c>
      <c r="R48" t="s">
        <v>544</v>
      </c>
      <c r="S48" t="s">
        <v>551</v>
      </c>
      <c r="T48" t="s">
        <v>552</v>
      </c>
      <c r="U48" t="s">
        <v>553</v>
      </c>
      <c r="V48" t="s">
        <v>554</v>
      </c>
      <c r="W48" t="s">
        <v>373</v>
      </c>
      <c r="X48">
        <v>1.25</v>
      </c>
      <c r="Y48" t="s">
        <v>469</v>
      </c>
      <c r="Z48">
        <v>1.25</v>
      </c>
      <c r="AA48" t="s">
        <v>544</v>
      </c>
      <c r="AB48" t="s">
        <v>544</v>
      </c>
      <c r="AC48" t="s">
        <v>544</v>
      </c>
      <c r="AD48" t="s">
        <v>544</v>
      </c>
      <c r="AE48" t="s">
        <v>714</v>
      </c>
      <c r="AF48">
        <v>2.6086999999999998</v>
      </c>
      <c r="AG48">
        <v>1</v>
      </c>
      <c r="AH48" t="s">
        <v>544</v>
      </c>
      <c r="AI48" t="s">
        <v>544</v>
      </c>
      <c r="AJ48" t="s">
        <v>715</v>
      </c>
      <c r="AK48" t="s">
        <v>715</v>
      </c>
      <c r="AL48" t="s">
        <v>557</v>
      </c>
      <c r="AM48" t="s">
        <v>558</v>
      </c>
      <c r="AN48" t="s">
        <v>389</v>
      </c>
      <c r="AO48" t="s">
        <v>544</v>
      </c>
      <c r="AP48" t="s">
        <v>716</v>
      </c>
      <c r="AQ48" t="s">
        <v>560</v>
      </c>
      <c r="AR48" t="s">
        <v>561</v>
      </c>
      <c r="AS48" t="s">
        <v>544</v>
      </c>
      <c r="AT48" t="s">
        <v>717</v>
      </c>
      <c r="AU48" t="s">
        <v>544</v>
      </c>
      <c r="AV48" t="s">
        <v>544</v>
      </c>
      <c r="AW48" t="s">
        <v>544</v>
      </c>
      <c r="AY48" t="s">
        <v>544</v>
      </c>
      <c r="AZ48" t="s">
        <v>544</v>
      </c>
      <c r="BB48" t="s">
        <v>563</v>
      </c>
      <c r="BC48" t="s">
        <v>563</v>
      </c>
      <c r="BD48" t="s">
        <v>544</v>
      </c>
      <c r="BE48" t="s">
        <v>544</v>
      </c>
      <c r="BF48" t="s">
        <v>544</v>
      </c>
      <c r="BG48" t="s">
        <v>544</v>
      </c>
      <c r="BH48" t="s">
        <v>544</v>
      </c>
      <c r="BI48" t="s">
        <v>544</v>
      </c>
      <c r="BJ48" t="s">
        <v>544</v>
      </c>
      <c r="BK48" t="s">
        <v>544</v>
      </c>
      <c r="BL48" t="s">
        <v>544</v>
      </c>
      <c r="BM48" t="s">
        <v>544</v>
      </c>
      <c r="BN48" t="s">
        <v>544</v>
      </c>
      <c r="BO48" t="s">
        <v>544</v>
      </c>
      <c r="BP48" t="s">
        <v>544</v>
      </c>
      <c r="BQ48" t="s">
        <v>544</v>
      </c>
    </row>
    <row r="49" spans="1:69" x14ac:dyDescent="0.3">
      <c r="A49" t="s">
        <v>718</v>
      </c>
      <c r="B49" t="s">
        <v>539</v>
      </c>
      <c r="C49" t="s">
        <v>540</v>
      </c>
      <c r="D49" t="s">
        <v>541</v>
      </c>
      <c r="E49" t="s">
        <v>542</v>
      </c>
      <c r="F49" t="s">
        <v>543</v>
      </c>
      <c r="G49" t="s">
        <v>544</v>
      </c>
      <c r="H49" s="453"/>
      <c r="I49" t="s">
        <v>544</v>
      </c>
      <c r="J49">
        <v>2522</v>
      </c>
      <c r="K49" t="s">
        <v>585</v>
      </c>
      <c r="L49" t="s">
        <v>660</v>
      </c>
      <c r="M49" t="s">
        <v>547</v>
      </c>
      <c r="N49" t="s">
        <v>548</v>
      </c>
      <c r="O49" t="s">
        <v>544</v>
      </c>
      <c r="P49" t="s">
        <v>690</v>
      </c>
      <c r="Q49" t="s">
        <v>595</v>
      </c>
      <c r="R49" t="s">
        <v>544</v>
      </c>
      <c r="S49" t="s">
        <v>660</v>
      </c>
      <c r="T49" t="s">
        <v>552</v>
      </c>
      <c r="U49" t="s">
        <v>553</v>
      </c>
      <c r="V49" t="s">
        <v>554</v>
      </c>
      <c r="W49" t="s">
        <v>374</v>
      </c>
      <c r="X49">
        <v>1.5</v>
      </c>
      <c r="Y49" t="s">
        <v>472</v>
      </c>
      <c r="Z49">
        <v>1.5</v>
      </c>
      <c r="AA49" t="s">
        <v>544</v>
      </c>
      <c r="AB49" t="s">
        <v>544</v>
      </c>
      <c r="AC49" t="s">
        <v>544</v>
      </c>
      <c r="AD49" t="s">
        <v>544</v>
      </c>
      <c r="AE49" t="s">
        <v>544</v>
      </c>
      <c r="AG49">
        <v>1</v>
      </c>
      <c r="AH49" t="s">
        <v>544</v>
      </c>
      <c r="AI49" t="s">
        <v>544</v>
      </c>
      <c r="AJ49" t="s">
        <v>636</v>
      </c>
      <c r="AK49" t="s">
        <v>636</v>
      </c>
      <c r="AL49" t="s">
        <v>557</v>
      </c>
      <c r="AM49" t="s">
        <v>558</v>
      </c>
      <c r="AN49" t="s">
        <v>544</v>
      </c>
      <c r="AO49" t="s">
        <v>544</v>
      </c>
      <c r="AP49" t="s">
        <v>544</v>
      </c>
      <c r="AQ49" t="s">
        <v>560</v>
      </c>
      <c r="AR49" t="s">
        <v>561</v>
      </c>
      <c r="AS49" t="s">
        <v>544</v>
      </c>
      <c r="AT49" t="s">
        <v>719</v>
      </c>
      <c r="AU49" t="s">
        <v>544</v>
      </c>
      <c r="AV49" t="s">
        <v>544</v>
      </c>
      <c r="AW49" t="s">
        <v>544</v>
      </c>
      <c r="AY49" t="s">
        <v>544</v>
      </c>
      <c r="AZ49" t="s">
        <v>544</v>
      </c>
      <c r="BB49" t="s">
        <v>692</v>
      </c>
      <c r="BC49" t="s">
        <v>693</v>
      </c>
      <c r="BD49" t="s">
        <v>544</v>
      </c>
      <c r="BE49" t="s">
        <v>544</v>
      </c>
      <c r="BF49" t="s">
        <v>544</v>
      </c>
      <c r="BG49" t="s">
        <v>544</v>
      </c>
      <c r="BH49" t="s">
        <v>544</v>
      </c>
      <c r="BI49" t="s">
        <v>544</v>
      </c>
      <c r="BJ49" t="s">
        <v>544</v>
      </c>
      <c r="BK49" t="s">
        <v>544</v>
      </c>
      <c r="BL49" t="s">
        <v>544</v>
      </c>
      <c r="BM49" t="s">
        <v>544</v>
      </c>
      <c r="BN49" t="s">
        <v>544</v>
      </c>
      <c r="BO49" t="s">
        <v>544</v>
      </c>
      <c r="BP49" t="s">
        <v>544</v>
      </c>
      <c r="BQ49" t="s">
        <v>544</v>
      </c>
    </row>
    <row r="50" spans="1:69" x14ac:dyDescent="0.3">
      <c r="A50" t="s">
        <v>720</v>
      </c>
      <c r="B50" t="s">
        <v>539</v>
      </c>
      <c r="C50" t="s">
        <v>540</v>
      </c>
      <c r="D50" t="s">
        <v>541</v>
      </c>
      <c r="E50" t="s">
        <v>542</v>
      </c>
      <c r="F50" t="s">
        <v>543</v>
      </c>
      <c r="G50" t="s">
        <v>544</v>
      </c>
      <c r="H50" s="453"/>
      <c r="I50" t="s">
        <v>544</v>
      </c>
      <c r="J50">
        <v>2522</v>
      </c>
      <c r="K50" t="s">
        <v>585</v>
      </c>
      <c r="L50" t="s">
        <v>660</v>
      </c>
      <c r="M50" t="s">
        <v>547</v>
      </c>
      <c r="N50" t="s">
        <v>548</v>
      </c>
      <c r="O50" t="s">
        <v>544</v>
      </c>
      <c r="P50" t="s">
        <v>690</v>
      </c>
      <c r="Q50" t="s">
        <v>595</v>
      </c>
      <c r="R50" t="s">
        <v>544</v>
      </c>
      <c r="S50" t="s">
        <v>660</v>
      </c>
      <c r="T50" t="s">
        <v>552</v>
      </c>
      <c r="U50" t="s">
        <v>553</v>
      </c>
      <c r="V50" t="s">
        <v>554</v>
      </c>
      <c r="W50" t="s">
        <v>374</v>
      </c>
      <c r="X50">
        <v>1.5</v>
      </c>
      <c r="Y50" t="s">
        <v>472</v>
      </c>
      <c r="Z50">
        <v>1.5</v>
      </c>
      <c r="AA50" t="s">
        <v>544</v>
      </c>
      <c r="AB50" t="s">
        <v>544</v>
      </c>
      <c r="AC50" t="s">
        <v>544</v>
      </c>
      <c r="AD50" t="s">
        <v>544</v>
      </c>
      <c r="AE50" t="s">
        <v>544</v>
      </c>
      <c r="AG50">
        <v>1</v>
      </c>
      <c r="AH50" t="s">
        <v>544</v>
      </c>
      <c r="AI50" t="s">
        <v>544</v>
      </c>
      <c r="AJ50" t="s">
        <v>544</v>
      </c>
      <c r="AK50" t="s">
        <v>544</v>
      </c>
      <c r="AL50" t="s">
        <v>557</v>
      </c>
      <c r="AM50" t="s">
        <v>558</v>
      </c>
      <c r="AN50" t="s">
        <v>544</v>
      </c>
      <c r="AO50" t="s">
        <v>544</v>
      </c>
      <c r="AP50" t="s">
        <v>544</v>
      </c>
      <c r="AQ50" t="s">
        <v>560</v>
      </c>
      <c r="AR50" t="s">
        <v>561</v>
      </c>
      <c r="AS50" t="s">
        <v>544</v>
      </c>
      <c r="AT50" t="s">
        <v>719</v>
      </c>
      <c r="AU50" t="s">
        <v>544</v>
      </c>
      <c r="AV50" t="s">
        <v>544</v>
      </c>
      <c r="AW50" t="s">
        <v>544</v>
      </c>
      <c r="AY50" t="s">
        <v>544</v>
      </c>
      <c r="AZ50" t="s">
        <v>544</v>
      </c>
      <c r="BB50" t="s">
        <v>692</v>
      </c>
      <c r="BC50" t="s">
        <v>693</v>
      </c>
      <c r="BD50" t="s">
        <v>544</v>
      </c>
      <c r="BE50" t="s">
        <v>544</v>
      </c>
      <c r="BF50" t="s">
        <v>544</v>
      </c>
      <c r="BG50" t="s">
        <v>544</v>
      </c>
      <c r="BH50" t="s">
        <v>544</v>
      </c>
      <c r="BI50" t="s">
        <v>544</v>
      </c>
      <c r="BJ50" t="s">
        <v>544</v>
      </c>
      <c r="BK50" t="s">
        <v>544</v>
      </c>
      <c r="BL50" t="s">
        <v>544</v>
      </c>
      <c r="BM50" t="s">
        <v>544</v>
      </c>
      <c r="BN50" t="s">
        <v>544</v>
      </c>
      <c r="BO50" t="s">
        <v>544</v>
      </c>
      <c r="BP50" t="s">
        <v>544</v>
      </c>
      <c r="BQ50" t="s">
        <v>544</v>
      </c>
    </row>
    <row r="51" spans="1:69" x14ac:dyDescent="0.3">
      <c r="A51" t="s">
        <v>721</v>
      </c>
      <c r="B51" t="s">
        <v>539</v>
      </c>
      <c r="C51" t="s">
        <v>540</v>
      </c>
      <c r="D51" t="s">
        <v>541</v>
      </c>
      <c r="E51" t="s">
        <v>542</v>
      </c>
      <c r="F51" t="s">
        <v>543</v>
      </c>
      <c r="G51" t="s">
        <v>544</v>
      </c>
      <c r="H51" s="453"/>
      <c r="I51" t="s">
        <v>544</v>
      </c>
      <c r="J51">
        <v>2522</v>
      </c>
      <c r="K51" t="s">
        <v>585</v>
      </c>
      <c r="L51" t="s">
        <v>660</v>
      </c>
      <c r="M51" t="s">
        <v>547</v>
      </c>
      <c r="N51" t="s">
        <v>548</v>
      </c>
      <c r="O51" t="s">
        <v>544</v>
      </c>
      <c r="P51" t="s">
        <v>690</v>
      </c>
      <c r="Q51" t="s">
        <v>595</v>
      </c>
      <c r="R51" t="s">
        <v>544</v>
      </c>
      <c r="S51" t="s">
        <v>660</v>
      </c>
      <c r="T51" t="s">
        <v>552</v>
      </c>
      <c r="U51" t="s">
        <v>553</v>
      </c>
      <c r="V51" t="s">
        <v>554</v>
      </c>
      <c r="W51" t="s">
        <v>374</v>
      </c>
      <c r="X51">
        <v>1.5</v>
      </c>
      <c r="Y51" t="s">
        <v>472</v>
      </c>
      <c r="Z51">
        <v>1.5</v>
      </c>
      <c r="AA51" t="s">
        <v>544</v>
      </c>
      <c r="AB51" t="s">
        <v>544</v>
      </c>
      <c r="AC51" t="s">
        <v>544</v>
      </c>
      <c r="AD51" t="s">
        <v>544</v>
      </c>
      <c r="AE51" t="s">
        <v>544</v>
      </c>
      <c r="AG51">
        <v>1</v>
      </c>
      <c r="AH51" t="s">
        <v>544</v>
      </c>
      <c r="AI51" t="s">
        <v>544</v>
      </c>
      <c r="AJ51" t="s">
        <v>639</v>
      </c>
      <c r="AK51" t="s">
        <v>639</v>
      </c>
      <c r="AL51" t="s">
        <v>557</v>
      </c>
      <c r="AM51" t="s">
        <v>558</v>
      </c>
      <c r="AN51" t="s">
        <v>544</v>
      </c>
      <c r="AO51" t="s">
        <v>544</v>
      </c>
      <c r="AP51" t="s">
        <v>544</v>
      </c>
      <c r="AQ51" t="s">
        <v>560</v>
      </c>
      <c r="AR51" t="s">
        <v>561</v>
      </c>
      <c r="AS51" t="s">
        <v>544</v>
      </c>
      <c r="AT51" t="s">
        <v>719</v>
      </c>
      <c r="AU51" t="s">
        <v>544</v>
      </c>
      <c r="AV51" t="s">
        <v>544</v>
      </c>
      <c r="AW51" t="s">
        <v>544</v>
      </c>
      <c r="AY51" t="s">
        <v>544</v>
      </c>
      <c r="AZ51" t="s">
        <v>544</v>
      </c>
      <c r="BB51" t="s">
        <v>692</v>
      </c>
      <c r="BC51" t="s">
        <v>693</v>
      </c>
      <c r="BD51" t="s">
        <v>544</v>
      </c>
      <c r="BE51" t="s">
        <v>544</v>
      </c>
      <c r="BF51" t="s">
        <v>544</v>
      </c>
      <c r="BG51" t="s">
        <v>544</v>
      </c>
      <c r="BH51" t="s">
        <v>544</v>
      </c>
      <c r="BI51" t="s">
        <v>544</v>
      </c>
      <c r="BJ51" t="s">
        <v>544</v>
      </c>
      <c r="BK51" t="s">
        <v>544</v>
      </c>
      <c r="BL51" t="s">
        <v>544</v>
      </c>
      <c r="BM51" t="s">
        <v>544</v>
      </c>
      <c r="BN51" t="s">
        <v>544</v>
      </c>
      <c r="BO51" t="s">
        <v>544</v>
      </c>
      <c r="BP51" t="s">
        <v>544</v>
      </c>
      <c r="BQ51" t="s">
        <v>544</v>
      </c>
    </row>
    <row r="52" spans="1:69" x14ac:dyDescent="0.3">
      <c r="A52" t="s">
        <v>722</v>
      </c>
      <c r="B52" t="s">
        <v>539</v>
      </c>
      <c r="C52" t="s">
        <v>540</v>
      </c>
      <c r="D52" t="s">
        <v>541</v>
      </c>
      <c r="E52" t="s">
        <v>542</v>
      </c>
      <c r="F52" t="s">
        <v>543</v>
      </c>
      <c r="G52" t="s">
        <v>544</v>
      </c>
      <c r="H52" s="453"/>
      <c r="I52" t="s">
        <v>544</v>
      </c>
      <c r="J52">
        <v>2522</v>
      </c>
      <c r="K52" t="s">
        <v>585</v>
      </c>
      <c r="L52" t="s">
        <v>660</v>
      </c>
      <c r="M52" t="s">
        <v>547</v>
      </c>
      <c r="N52" t="s">
        <v>548</v>
      </c>
      <c r="O52" t="s">
        <v>544</v>
      </c>
      <c r="P52" t="s">
        <v>690</v>
      </c>
      <c r="Q52" t="s">
        <v>595</v>
      </c>
      <c r="R52" t="s">
        <v>544</v>
      </c>
      <c r="S52" t="s">
        <v>660</v>
      </c>
      <c r="T52" t="s">
        <v>552</v>
      </c>
      <c r="U52" t="s">
        <v>553</v>
      </c>
      <c r="V52" t="s">
        <v>554</v>
      </c>
      <c r="W52" t="s">
        <v>374</v>
      </c>
      <c r="X52">
        <v>1.5</v>
      </c>
      <c r="Y52" t="s">
        <v>472</v>
      </c>
      <c r="Z52">
        <v>1.5</v>
      </c>
      <c r="AA52" t="s">
        <v>544</v>
      </c>
      <c r="AB52" t="s">
        <v>544</v>
      </c>
      <c r="AC52" t="s">
        <v>544</v>
      </c>
      <c r="AD52" t="s">
        <v>544</v>
      </c>
      <c r="AE52" t="s">
        <v>544</v>
      </c>
      <c r="AG52">
        <v>1</v>
      </c>
      <c r="AH52" t="s">
        <v>544</v>
      </c>
      <c r="AI52" t="s">
        <v>544</v>
      </c>
      <c r="AJ52" t="s">
        <v>544</v>
      </c>
      <c r="AK52" t="s">
        <v>544</v>
      </c>
      <c r="AL52" t="s">
        <v>557</v>
      </c>
      <c r="AM52" t="s">
        <v>558</v>
      </c>
      <c r="AN52" t="s">
        <v>544</v>
      </c>
      <c r="AO52" t="s">
        <v>544</v>
      </c>
      <c r="AP52" t="s">
        <v>544</v>
      </c>
      <c r="AQ52" t="s">
        <v>560</v>
      </c>
      <c r="AR52" t="s">
        <v>561</v>
      </c>
      <c r="AS52" t="s">
        <v>544</v>
      </c>
      <c r="AT52" t="s">
        <v>719</v>
      </c>
      <c r="AU52" t="s">
        <v>544</v>
      </c>
      <c r="AV52" t="s">
        <v>544</v>
      </c>
      <c r="AW52" t="s">
        <v>544</v>
      </c>
      <c r="AY52" t="s">
        <v>544</v>
      </c>
      <c r="AZ52" t="s">
        <v>544</v>
      </c>
      <c r="BB52" t="s">
        <v>693</v>
      </c>
      <c r="BC52" t="s">
        <v>692</v>
      </c>
      <c r="BD52" t="s">
        <v>544</v>
      </c>
      <c r="BE52" t="s">
        <v>544</v>
      </c>
      <c r="BF52" t="s">
        <v>544</v>
      </c>
      <c r="BG52" t="s">
        <v>544</v>
      </c>
      <c r="BH52" t="s">
        <v>544</v>
      </c>
      <c r="BI52" t="s">
        <v>544</v>
      </c>
      <c r="BJ52" t="s">
        <v>544</v>
      </c>
      <c r="BK52" t="s">
        <v>544</v>
      </c>
      <c r="BL52" t="s">
        <v>544</v>
      </c>
      <c r="BM52" t="s">
        <v>544</v>
      </c>
      <c r="BN52" t="s">
        <v>544</v>
      </c>
      <c r="BO52" t="s">
        <v>544</v>
      </c>
      <c r="BP52" t="s">
        <v>544</v>
      </c>
      <c r="BQ52" t="s">
        <v>544</v>
      </c>
    </row>
    <row r="53" spans="1:69" x14ac:dyDescent="0.3">
      <c r="A53" t="s">
        <v>723</v>
      </c>
      <c r="B53" t="s">
        <v>539</v>
      </c>
      <c r="C53" t="s">
        <v>540</v>
      </c>
      <c r="D53" t="s">
        <v>541</v>
      </c>
      <c r="E53" t="s">
        <v>542</v>
      </c>
      <c r="F53" t="s">
        <v>543</v>
      </c>
      <c r="G53" t="s">
        <v>544</v>
      </c>
      <c r="H53" s="453"/>
      <c r="I53" t="s">
        <v>544</v>
      </c>
      <c r="J53">
        <v>2522</v>
      </c>
      <c r="K53" t="s">
        <v>585</v>
      </c>
      <c r="L53" t="s">
        <v>660</v>
      </c>
      <c r="M53" t="s">
        <v>547</v>
      </c>
      <c r="N53" t="s">
        <v>548</v>
      </c>
      <c r="O53" t="s">
        <v>544</v>
      </c>
      <c r="P53" t="s">
        <v>690</v>
      </c>
      <c r="Q53" t="s">
        <v>595</v>
      </c>
      <c r="R53" t="s">
        <v>544</v>
      </c>
      <c r="S53" t="s">
        <v>660</v>
      </c>
      <c r="T53" t="s">
        <v>552</v>
      </c>
      <c r="U53" t="s">
        <v>553</v>
      </c>
      <c r="V53" t="s">
        <v>554</v>
      </c>
      <c r="W53" t="s">
        <v>374</v>
      </c>
      <c r="X53">
        <v>1.5</v>
      </c>
      <c r="Y53" t="s">
        <v>472</v>
      </c>
      <c r="Z53">
        <v>1.5</v>
      </c>
      <c r="AA53" t="s">
        <v>544</v>
      </c>
      <c r="AB53" t="s">
        <v>544</v>
      </c>
      <c r="AC53" t="s">
        <v>544</v>
      </c>
      <c r="AD53" t="s">
        <v>544</v>
      </c>
      <c r="AE53" t="s">
        <v>544</v>
      </c>
      <c r="AG53">
        <v>1</v>
      </c>
      <c r="AH53" t="s">
        <v>544</v>
      </c>
      <c r="AI53" t="s">
        <v>544</v>
      </c>
      <c r="AJ53" t="s">
        <v>544</v>
      </c>
      <c r="AK53" t="s">
        <v>544</v>
      </c>
      <c r="AL53" t="s">
        <v>557</v>
      </c>
      <c r="AM53" t="s">
        <v>558</v>
      </c>
      <c r="AN53" t="s">
        <v>544</v>
      </c>
      <c r="AO53" t="s">
        <v>544</v>
      </c>
      <c r="AP53" t="s">
        <v>544</v>
      </c>
      <c r="AQ53" t="s">
        <v>560</v>
      </c>
      <c r="AR53" t="s">
        <v>561</v>
      </c>
      <c r="AS53" t="s">
        <v>544</v>
      </c>
      <c r="AT53" t="s">
        <v>719</v>
      </c>
      <c r="AU53" t="s">
        <v>544</v>
      </c>
      <c r="AV53" t="s">
        <v>544</v>
      </c>
      <c r="AW53" t="s">
        <v>544</v>
      </c>
      <c r="AY53" t="s">
        <v>544</v>
      </c>
      <c r="AZ53" t="s">
        <v>544</v>
      </c>
      <c r="BB53" t="s">
        <v>693</v>
      </c>
      <c r="BC53" t="s">
        <v>692</v>
      </c>
      <c r="BD53" t="s">
        <v>544</v>
      </c>
      <c r="BE53" t="s">
        <v>544</v>
      </c>
      <c r="BF53" t="s">
        <v>544</v>
      </c>
      <c r="BG53" t="s">
        <v>544</v>
      </c>
      <c r="BH53" t="s">
        <v>544</v>
      </c>
      <c r="BI53" t="s">
        <v>544</v>
      </c>
      <c r="BJ53" t="s">
        <v>544</v>
      </c>
      <c r="BK53" t="s">
        <v>544</v>
      </c>
      <c r="BL53" t="s">
        <v>544</v>
      </c>
      <c r="BM53" t="s">
        <v>544</v>
      </c>
      <c r="BN53" t="s">
        <v>544</v>
      </c>
      <c r="BO53" t="s">
        <v>544</v>
      </c>
      <c r="BP53" t="s">
        <v>544</v>
      </c>
      <c r="BQ53" t="s">
        <v>544</v>
      </c>
    </row>
    <row r="54" spans="1:69" x14ac:dyDescent="0.3">
      <c r="A54" t="s">
        <v>724</v>
      </c>
      <c r="B54" t="s">
        <v>539</v>
      </c>
      <c r="C54" t="s">
        <v>540</v>
      </c>
      <c r="D54" t="s">
        <v>541</v>
      </c>
      <c r="E54" t="s">
        <v>542</v>
      </c>
      <c r="F54" t="s">
        <v>543</v>
      </c>
      <c r="G54" t="s">
        <v>544</v>
      </c>
      <c r="H54" s="453"/>
      <c r="I54" t="s">
        <v>544</v>
      </c>
      <c r="J54">
        <v>2522</v>
      </c>
      <c r="K54" t="s">
        <v>585</v>
      </c>
      <c r="L54" t="s">
        <v>660</v>
      </c>
      <c r="M54" t="s">
        <v>547</v>
      </c>
      <c r="N54" t="s">
        <v>548</v>
      </c>
      <c r="O54" t="s">
        <v>544</v>
      </c>
      <c r="P54" t="s">
        <v>690</v>
      </c>
      <c r="Q54" t="s">
        <v>595</v>
      </c>
      <c r="R54" t="s">
        <v>544</v>
      </c>
      <c r="S54" t="s">
        <v>660</v>
      </c>
      <c r="T54" t="s">
        <v>552</v>
      </c>
      <c r="U54" t="s">
        <v>553</v>
      </c>
      <c r="V54" t="s">
        <v>554</v>
      </c>
      <c r="W54" t="s">
        <v>374</v>
      </c>
      <c r="X54">
        <v>1.5</v>
      </c>
      <c r="Y54" t="s">
        <v>472</v>
      </c>
      <c r="Z54">
        <v>1.5</v>
      </c>
      <c r="AA54" t="s">
        <v>544</v>
      </c>
      <c r="AB54" t="s">
        <v>544</v>
      </c>
      <c r="AC54" t="s">
        <v>544</v>
      </c>
      <c r="AD54" t="s">
        <v>544</v>
      </c>
      <c r="AE54" t="s">
        <v>544</v>
      </c>
      <c r="AG54">
        <v>1</v>
      </c>
      <c r="AH54" t="s">
        <v>544</v>
      </c>
      <c r="AI54" t="s">
        <v>544</v>
      </c>
      <c r="AJ54" t="s">
        <v>574</v>
      </c>
      <c r="AK54" t="s">
        <v>574</v>
      </c>
      <c r="AL54" t="s">
        <v>557</v>
      </c>
      <c r="AM54" t="s">
        <v>558</v>
      </c>
      <c r="AN54" t="s">
        <v>544</v>
      </c>
      <c r="AO54" t="s">
        <v>544</v>
      </c>
      <c r="AP54" t="s">
        <v>544</v>
      </c>
      <c r="AQ54" t="s">
        <v>560</v>
      </c>
      <c r="AR54" t="s">
        <v>561</v>
      </c>
      <c r="AS54" t="s">
        <v>544</v>
      </c>
      <c r="AT54" t="s">
        <v>719</v>
      </c>
      <c r="AU54" t="s">
        <v>544</v>
      </c>
      <c r="AV54" t="s">
        <v>544</v>
      </c>
      <c r="AW54" t="s">
        <v>544</v>
      </c>
      <c r="AY54" t="s">
        <v>544</v>
      </c>
      <c r="AZ54" t="s">
        <v>544</v>
      </c>
      <c r="BB54" t="s">
        <v>692</v>
      </c>
      <c r="BC54" t="s">
        <v>693</v>
      </c>
      <c r="BD54" t="s">
        <v>544</v>
      </c>
      <c r="BE54" t="s">
        <v>544</v>
      </c>
      <c r="BF54" t="s">
        <v>544</v>
      </c>
      <c r="BG54" t="s">
        <v>544</v>
      </c>
      <c r="BH54" t="s">
        <v>544</v>
      </c>
      <c r="BI54" t="s">
        <v>544</v>
      </c>
      <c r="BJ54" t="s">
        <v>544</v>
      </c>
      <c r="BK54" t="s">
        <v>544</v>
      </c>
      <c r="BL54" t="s">
        <v>544</v>
      </c>
      <c r="BM54" t="s">
        <v>544</v>
      </c>
      <c r="BN54" t="s">
        <v>544</v>
      </c>
      <c r="BO54" t="s">
        <v>544</v>
      </c>
      <c r="BP54" t="s">
        <v>544</v>
      </c>
      <c r="BQ54" t="s">
        <v>544</v>
      </c>
    </row>
    <row r="55" spans="1:69" x14ac:dyDescent="0.3">
      <c r="A55" t="s">
        <v>725</v>
      </c>
      <c r="B55" t="s">
        <v>539</v>
      </c>
      <c r="C55" t="s">
        <v>540</v>
      </c>
      <c r="D55" t="s">
        <v>541</v>
      </c>
      <c r="E55" t="s">
        <v>542</v>
      </c>
      <c r="F55" t="s">
        <v>543</v>
      </c>
      <c r="G55" t="s">
        <v>544</v>
      </c>
      <c r="H55" s="453"/>
      <c r="I55" t="s">
        <v>544</v>
      </c>
      <c r="J55">
        <v>2522</v>
      </c>
      <c r="K55" t="s">
        <v>585</v>
      </c>
      <c r="L55" t="s">
        <v>660</v>
      </c>
      <c r="M55" t="s">
        <v>547</v>
      </c>
      <c r="N55" t="s">
        <v>548</v>
      </c>
      <c r="O55" t="s">
        <v>544</v>
      </c>
      <c r="P55" t="s">
        <v>690</v>
      </c>
      <c r="Q55" t="s">
        <v>595</v>
      </c>
      <c r="R55" t="s">
        <v>544</v>
      </c>
      <c r="S55" t="s">
        <v>660</v>
      </c>
      <c r="T55" t="s">
        <v>552</v>
      </c>
      <c r="U55" t="s">
        <v>553</v>
      </c>
      <c r="V55" t="s">
        <v>554</v>
      </c>
      <c r="W55" t="s">
        <v>374</v>
      </c>
      <c r="X55">
        <v>1.5</v>
      </c>
      <c r="Y55" t="s">
        <v>472</v>
      </c>
      <c r="Z55">
        <v>1.5</v>
      </c>
      <c r="AA55" t="s">
        <v>544</v>
      </c>
      <c r="AB55" t="s">
        <v>544</v>
      </c>
      <c r="AC55" t="s">
        <v>544</v>
      </c>
      <c r="AD55" t="s">
        <v>544</v>
      </c>
      <c r="AE55" t="s">
        <v>544</v>
      </c>
      <c r="AG55">
        <v>1</v>
      </c>
      <c r="AH55" t="s">
        <v>544</v>
      </c>
      <c r="AI55" t="s">
        <v>544</v>
      </c>
      <c r="AJ55" t="s">
        <v>570</v>
      </c>
      <c r="AK55" t="s">
        <v>570</v>
      </c>
      <c r="AL55" t="s">
        <v>557</v>
      </c>
      <c r="AM55" t="s">
        <v>558</v>
      </c>
      <c r="AN55" t="s">
        <v>544</v>
      </c>
      <c r="AO55" t="s">
        <v>544</v>
      </c>
      <c r="AP55" t="s">
        <v>544</v>
      </c>
      <c r="AQ55" t="s">
        <v>560</v>
      </c>
      <c r="AR55" t="s">
        <v>561</v>
      </c>
      <c r="AS55" t="s">
        <v>544</v>
      </c>
      <c r="AT55" t="s">
        <v>719</v>
      </c>
      <c r="AU55" t="s">
        <v>544</v>
      </c>
      <c r="AV55" t="s">
        <v>544</v>
      </c>
      <c r="AW55" t="s">
        <v>544</v>
      </c>
      <c r="AY55" t="s">
        <v>544</v>
      </c>
      <c r="AZ55" t="s">
        <v>544</v>
      </c>
      <c r="BB55" t="s">
        <v>693</v>
      </c>
      <c r="BC55" t="s">
        <v>692</v>
      </c>
      <c r="BD55" t="s">
        <v>544</v>
      </c>
      <c r="BE55" t="s">
        <v>544</v>
      </c>
      <c r="BF55" t="s">
        <v>544</v>
      </c>
      <c r="BG55" t="s">
        <v>544</v>
      </c>
      <c r="BH55" t="s">
        <v>544</v>
      </c>
      <c r="BI55" t="s">
        <v>544</v>
      </c>
      <c r="BJ55" t="s">
        <v>544</v>
      </c>
      <c r="BK55" t="s">
        <v>544</v>
      </c>
      <c r="BL55" t="s">
        <v>544</v>
      </c>
      <c r="BM55" t="s">
        <v>544</v>
      </c>
      <c r="BN55" t="s">
        <v>544</v>
      </c>
      <c r="BO55" t="s">
        <v>544</v>
      </c>
      <c r="BP55" t="s">
        <v>544</v>
      </c>
      <c r="BQ55" t="s">
        <v>544</v>
      </c>
    </row>
    <row r="56" spans="1:69" x14ac:dyDescent="0.3">
      <c r="A56" t="s">
        <v>726</v>
      </c>
      <c r="B56" t="s">
        <v>539</v>
      </c>
      <c r="C56" t="s">
        <v>540</v>
      </c>
      <c r="D56" t="s">
        <v>541</v>
      </c>
      <c r="E56" t="s">
        <v>542</v>
      </c>
      <c r="F56" t="s">
        <v>543</v>
      </c>
      <c r="G56" t="s">
        <v>544</v>
      </c>
      <c r="H56" s="453"/>
      <c r="I56" t="s">
        <v>544</v>
      </c>
      <c r="J56">
        <v>2522</v>
      </c>
      <c r="K56" t="s">
        <v>585</v>
      </c>
      <c r="L56" t="s">
        <v>660</v>
      </c>
      <c r="M56" t="s">
        <v>547</v>
      </c>
      <c r="N56" t="s">
        <v>548</v>
      </c>
      <c r="O56" t="s">
        <v>544</v>
      </c>
      <c r="P56" t="s">
        <v>690</v>
      </c>
      <c r="Q56" t="s">
        <v>595</v>
      </c>
      <c r="R56" t="s">
        <v>544</v>
      </c>
      <c r="S56" t="s">
        <v>660</v>
      </c>
      <c r="T56" t="s">
        <v>552</v>
      </c>
      <c r="U56" t="s">
        <v>553</v>
      </c>
      <c r="V56" t="s">
        <v>554</v>
      </c>
      <c r="W56" t="s">
        <v>374</v>
      </c>
      <c r="X56">
        <v>1.5</v>
      </c>
      <c r="Y56" t="s">
        <v>472</v>
      </c>
      <c r="Z56">
        <v>1.5</v>
      </c>
      <c r="AA56" t="s">
        <v>544</v>
      </c>
      <c r="AB56" t="s">
        <v>544</v>
      </c>
      <c r="AC56" t="s">
        <v>544</v>
      </c>
      <c r="AD56" t="s">
        <v>544</v>
      </c>
      <c r="AE56" t="s">
        <v>544</v>
      </c>
      <c r="AG56">
        <v>1</v>
      </c>
      <c r="AH56" t="s">
        <v>544</v>
      </c>
      <c r="AI56" t="s">
        <v>544</v>
      </c>
      <c r="AJ56" t="s">
        <v>570</v>
      </c>
      <c r="AK56" t="s">
        <v>570</v>
      </c>
      <c r="AL56" t="s">
        <v>557</v>
      </c>
      <c r="AM56" t="s">
        <v>558</v>
      </c>
      <c r="AN56" t="s">
        <v>544</v>
      </c>
      <c r="AO56" t="s">
        <v>544</v>
      </c>
      <c r="AP56" t="s">
        <v>544</v>
      </c>
      <c r="AQ56" t="s">
        <v>560</v>
      </c>
      <c r="AR56" t="s">
        <v>561</v>
      </c>
      <c r="AS56" t="s">
        <v>544</v>
      </c>
      <c r="AT56" t="s">
        <v>719</v>
      </c>
      <c r="AU56" t="s">
        <v>544</v>
      </c>
      <c r="AV56" t="s">
        <v>544</v>
      </c>
      <c r="AW56" t="s">
        <v>544</v>
      </c>
      <c r="AY56" t="s">
        <v>544</v>
      </c>
      <c r="AZ56" t="s">
        <v>544</v>
      </c>
      <c r="BB56" t="s">
        <v>693</v>
      </c>
      <c r="BC56" t="s">
        <v>692</v>
      </c>
      <c r="BD56" t="s">
        <v>544</v>
      </c>
      <c r="BE56" t="s">
        <v>544</v>
      </c>
      <c r="BF56" t="s">
        <v>544</v>
      </c>
      <c r="BG56" t="s">
        <v>544</v>
      </c>
      <c r="BH56" t="s">
        <v>544</v>
      </c>
      <c r="BI56" t="s">
        <v>544</v>
      </c>
      <c r="BJ56" t="s">
        <v>544</v>
      </c>
      <c r="BK56" t="s">
        <v>544</v>
      </c>
      <c r="BL56" t="s">
        <v>544</v>
      </c>
      <c r="BM56" t="s">
        <v>544</v>
      </c>
      <c r="BN56" t="s">
        <v>544</v>
      </c>
      <c r="BO56" t="s">
        <v>544</v>
      </c>
      <c r="BP56" t="s">
        <v>544</v>
      </c>
      <c r="BQ56" t="s">
        <v>544</v>
      </c>
    </row>
    <row r="57" spans="1:69" x14ac:dyDescent="0.3">
      <c r="A57" t="s">
        <v>727</v>
      </c>
      <c r="B57" t="s">
        <v>539</v>
      </c>
      <c r="C57" t="s">
        <v>540</v>
      </c>
      <c r="D57" t="s">
        <v>541</v>
      </c>
      <c r="E57" t="s">
        <v>542</v>
      </c>
      <c r="F57" t="s">
        <v>543</v>
      </c>
      <c r="G57" t="s">
        <v>544</v>
      </c>
      <c r="H57" s="453"/>
      <c r="I57" t="s">
        <v>544</v>
      </c>
      <c r="J57">
        <v>2522</v>
      </c>
      <c r="K57" t="s">
        <v>585</v>
      </c>
      <c r="L57" t="s">
        <v>660</v>
      </c>
      <c r="M57" t="s">
        <v>547</v>
      </c>
      <c r="N57" t="s">
        <v>548</v>
      </c>
      <c r="O57" t="s">
        <v>544</v>
      </c>
      <c r="P57" t="s">
        <v>690</v>
      </c>
      <c r="Q57" t="s">
        <v>595</v>
      </c>
      <c r="R57" t="s">
        <v>544</v>
      </c>
      <c r="S57" t="s">
        <v>660</v>
      </c>
      <c r="T57" t="s">
        <v>552</v>
      </c>
      <c r="U57" t="s">
        <v>553</v>
      </c>
      <c r="V57" t="s">
        <v>554</v>
      </c>
      <c r="W57" t="s">
        <v>374</v>
      </c>
      <c r="X57">
        <v>1.5</v>
      </c>
      <c r="Y57" t="s">
        <v>472</v>
      </c>
      <c r="Z57">
        <v>1.5</v>
      </c>
      <c r="AA57" t="s">
        <v>544</v>
      </c>
      <c r="AB57" t="s">
        <v>544</v>
      </c>
      <c r="AC57" t="s">
        <v>544</v>
      </c>
      <c r="AD57" t="s">
        <v>544</v>
      </c>
      <c r="AE57" t="s">
        <v>544</v>
      </c>
      <c r="AG57">
        <v>1</v>
      </c>
      <c r="AH57" t="s">
        <v>544</v>
      </c>
      <c r="AI57" t="s">
        <v>544</v>
      </c>
      <c r="AJ57" t="s">
        <v>544</v>
      </c>
      <c r="AK57" t="s">
        <v>544</v>
      </c>
      <c r="AL57" t="s">
        <v>557</v>
      </c>
      <c r="AM57" t="s">
        <v>558</v>
      </c>
      <c r="AN57" t="s">
        <v>544</v>
      </c>
      <c r="AO57" t="s">
        <v>544</v>
      </c>
      <c r="AP57" t="s">
        <v>544</v>
      </c>
      <c r="AQ57" t="s">
        <v>560</v>
      </c>
      <c r="AR57" t="s">
        <v>561</v>
      </c>
      <c r="AS57" t="s">
        <v>544</v>
      </c>
      <c r="AT57" t="s">
        <v>719</v>
      </c>
      <c r="AU57" t="s">
        <v>544</v>
      </c>
      <c r="AV57" t="s">
        <v>544</v>
      </c>
      <c r="AW57" t="s">
        <v>544</v>
      </c>
      <c r="AY57" t="s">
        <v>544</v>
      </c>
      <c r="AZ57" t="s">
        <v>544</v>
      </c>
      <c r="BB57" t="s">
        <v>692</v>
      </c>
      <c r="BC57" t="s">
        <v>693</v>
      </c>
      <c r="BD57" t="s">
        <v>544</v>
      </c>
      <c r="BE57" t="s">
        <v>544</v>
      </c>
      <c r="BF57" t="s">
        <v>544</v>
      </c>
      <c r="BG57" t="s">
        <v>544</v>
      </c>
      <c r="BH57" t="s">
        <v>544</v>
      </c>
      <c r="BI57" t="s">
        <v>544</v>
      </c>
      <c r="BJ57" t="s">
        <v>544</v>
      </c>
      <c r="BK57" t="s">
        <v>544</v>
      </c>
      <c r="BL57" t="s">
        <v>544</v>
      </c>
      <c r="BM57" t="s">
        <v>544</v>
      </c>
      <c r="BN57" t="s">
        <v>544</v>
      </c>
      <c r="BO57" t="s">
        <v>544</v>
      </c>
      <c r="BP57" t="s">
        <v>544</v>
      </c>
      <c r="BQ57" t="s">
        <v>544</v>
      </c>
    </row>
    <row r="58" spans="1:69" x14ac:dyDescent="0.3">
      <c r="A58" t="s">
        <v>728</v>
      </c>
      <c r="B58" t="s">
        <v>539</v>
      </c>
      <c r="C58" t="s">
        <v>540</v>
      </c>
      <c r="D58" t="s">
        <v>541</v>
      </c>
      <c r="E58" t="s">
        <v>542</v>
      </c>
      <c r="F58" t="s">
        <v>543</v>
      </c>
      <c r="G58" t="s">
        <v>544</v>
      </c>
      <c r="H58" s="453"/>
      <c r="I58" t="s">
        <v>544</v>
      </c>
      <c r="J58">
        <v>2522</v>
      </c>
      <c r="K58" t="s">
        <v>585</v>
      </c>
      <c r="L58" t="s">
        <v>593</v>
      </c>
      <c r="M58" t="s">
        <v>547</v>
      </c>
      <c r="N58" t="s">
        <v>548</v>
      </c>
      <c r="O58" t="s">
        <v>544</v>
      </c>
      <c r="P58" t="s">
        <v>729</v>
      </c>
      <c r="Q58" t="s">
        <v>595</v>
      </c>
      <c r="R58" t="s">
        <v>544</v>
      </c>
      <c r="S58" t="s">
        <v>588</v>
      </c>
      <c r="T58" t="s">
        <v>552</v>
      </c>
      <c r="U58" t="s">
        <v>553</v>
      </c>
      <c r="V58" t="s">
        <v>554</v>
      </c>
      <c r="W58" t="s">
        <v>374</v>
      </c>
      <c r="X58">
        <v>1.5</v>
      </c>
      <c r="Y58" t="s">
        <v>472</v>
      </c>
      <c r="Z58">
        <v>1.5</v>
      </c>
      <c r="AA58" t="s">
        <v>544</v>
      </c>
      <c r="AB58" t="s">
        <v>544</v>
      </c>
      <c r="AC58" t="s">
        <v>544</v>
      </c>
      <c r="AD58" t="s">
        <v>544</v>
      </c>
      <c r="AE58" t="s">
        <v>544</v>
      </c>
      <c r="AG58">
        <v>1</v>
      </c>
      <c r="AH58" t="s">
        <v>544</v>
      </c>
      <c r="AI58" t="s">
        <v>544</v>
      </c>
      <c r="AJ58" t="s">
        <v>673</v>
      </c>
      <c r="AK58" t="s">
        <v>673</v>
      </c>
      <c r="AL58" t="s">
        <v>557</v>
      </c>
      <c r="AM58" t="s">
        <v>558</v>
      </c>
      <c r="AN58" t="s">
        <v>392</v>
      </c>
      <c r="AO58" t="s">
        <v>544</v>
      </c>
      <c r="AP58" t="s">
        <v>730</v>
      </c>
      <c r="AQ58" t="s">
        <v>560</v>
      </c>
      <c r="AR58" t="s">
        <v>561</v>
      </c>
      <c r="AS58" t="s">
        <v>544</v>
      </c>
      <c r="AT58" t="s">
        <v>731</v>
      </c>
      <c r="AU58" t="s">
        <v>544</v>
      </c>
      <c r="AV58" t="s">
        <v>544</v>
      </c>
      <c r="AW58" t="s">
        <v>544</v>
      </c>
      <c r="AY58" t="s">
        <v>544</v>
      </c>
      <c r="AZ58" t="s">
        <v>544</v>
      </c>
      <c r="BB58" t="s">
        <v>732</v>
      </c>
      <c r="BC58" t="s">
        <v>732</v>
      </c>
      <c r="BD58" t="s">
        <v>544</v>
      </c>
      <c r="BE58" t="s">
        <v>544</v>
      </c>
      <c r="BF58" t="s">
        <v>544</v>
      </c>
      <c r="BG58" t="s">
        <v>544</v>
      </c>
      <c r="BH58" t="s">
        <v>544</v>
      </c>
      <c r="BI58" t="s">
        <v>544</v>
      </c>
      <c r="BJ58" t="s">
        <v>544</v>
      </c>
      <c r="BK58" t="s">
        <v>544</v>
      </c>
      <c r="BL58" t="s">
        <v>544</v>
      </c>
      <c r="BM58" t="s">
        <v>544</v>
      </c>
      <c r="BN58" t="s">
        <v>544</v>
      </c>
      <c r="BO58" t="s">
        <v>544</v>
      </c>
      <c r="BP58" t="s">
        <v>544</v>
      </c>
      <c r="BQ58" t="s">
        <v>544</v>
      </c>
    </row>
    <row r="59" spans="1:69" x14ac:dyDescent="0.3">
      <c r="A59" t="s">
        <v>733</v>
      </c>
      <c r="B59" t="s">
        <v>539</v>
      </c>
      <c r="C59" t="s">
        <v>540</v>
      </c>
      <c r="D59" t="s">
        <v>541</v>
      </c>
      <c r="E59" t="s">
        <v>542</v>
      </c>
      <c r="F59" t="s">
        <v>543</v>
      </c>
      <c r="G59" t="s">
        <v>544</v>
      </c>
      <c r="H59" s="453"/>
      <c r="I59" t="s">
        <v>544</v>
      </c>
      <c r="J59">
        <v>2522</v>
      </c>
      <c r="K59" t="s">
        <v>585</v>
      </c>
      <c r="L59" t="s">
        <v>660</v>
      </c>
      <c r="M59" t="s">
        <v>547</v>
      </c>
      <c r="N59" t="s">
        <v>548</v>
      </c>
      <c r="O59" t="s">
        <v>544</v>
      </c>
      <c r="P59" t="s">
        <v>690</v>
      </c>
      <c r="Q59" t="s">
        <v>595</v>
      </c>
      <c r="R59" t="s">
        <v>544</v>
      </c>
      <c r="S59" t="s">
        <v>660</v>
      </c>
      <c r="T59" t="s">
        <v>552</v>
      </c>
      <c r="U59" t="s">
        <v>553</v>
      </c>
      <c r="V59" t="s">
        <v>554</v>
      </c>
      <c r="W59" t="s">
        <v>374</v>
      </c>
      <c r="X59">
        <v>1.5</v>
      </c>
      <c r="Y59" t="s">
        <v>472</v>
      </c>
      <c r="Z59">
        <v>1.5</v>
      </c>
      <c r="AA59" t="s">
        <v>544</v>
      </c>
      <c r="AB59" t="s">
        <v>544</v>
      </c>
      <c r="AC59" t="s">
        <v>544</v>
      </c>
      <c r="AD59" t="s">
        <v>544</v>
      </c>
      <c r="AE59" t="s">
        <v>544</v>
      </c>
      <c r="AG59">
        <v>1</v>
      </c>
      <c r="AH59" t="s">
        <v>544</v>
      </c>
      <c r="AI59" t="s">
        <v>544</v>
      </c>
      <c r="AJ59" t="s">
        <v>673</v>
      </c>
      <c r="AK59" t="s">
        <v>673</v>
      </c>
      <c r="AL59" t="s">
        <v>557</v>
      </c>
      <c r="AM59" t="s">
        <v>558</v>
      </c>
      <c r="AN59" t="s">
        <v>544</v>
      </c>
      <c r="AO59" t="s">
        <v>544</v>
      </c>
      <c r="AP59" t="s">
        <v>544</v>
      </c>
      <c r="AQ59" t="s">
        <v>560</v>
      </c>
      <c r="AR59" t="s">
        <v>561</v>
      </c>
      <c r="AS59" t="s">
        <v>544</v>
      </c>
      <c r="AT59" t="s">
        <v>719</v>
      </c>
      <c r="AU59" t="s">
        <v>544</v>
      </c>
      <c r="AV59" t="s">
        <v>544</v>
      </c>
      <c r="AW59" t="s">
        <v>544</v>
      </c>
      <c r="AY59" t="s">
        <v>544</v>
      </c>
      <c r="AZ59" t="s">
        <v>544</v>
      </c>
      <c r="BB59" t="s">
        <v>693</v>
      </c>
      <c r="BC59" t="s">
        <v>692</v>
      </c>
      <c r="BD59" t="s">
        <v>544</v>
      </c>
      <c r="BE59" t="s">
        <v>544</v>
      </c>
      <c r="BF59" t="s">
        <v>544</v>
      </c>
      <c r="BG59" t="s">
        <v>544</v>
      </c>
      <c r="BH59" t="s">
        <v>544</v>
      </c>
      <c r="BI59" t="s">
        <v>544</v>
      </c>
      <c r="BJ59" t="s">
        <v>544</v>
      </c>
      <c r="BK59" t="s">
        <v>544</v>
      </c>
      <c r="BL59" t="s">
        <v>544</v>
      </c>
      <c r="BM59" t="s">
        <v>544</v>
      </c>
      <c r="BN59" t="s">
        <v>544</v>
      </c>
      <c r="BO59" t="s">
        <v>544</v>
      </c>
      <c r="BP59" t="s">
        <v>544</v>
      </c>
      <c r="BQ59" t="s">
        <v>544</v>
      </c>
    </row>
    <row r="60" spans="1:69" x14ac:dyDescent="0.3">
      <c r="A60" t="s">
        <v>734</v>
      </c>
      <c r="B60" t="s">
        <v>539</v>
      </c>
      <c r="C60" t="s">
        <v>540</v>
      </c>
      <c r="D60" t="s">
        <v>541</v>
      </c>
      <c r="E60" t="s">
        <v>542</v>
      </c>
      <c r="F60" t="s">
        <v>543</v>
      </c>
      <c r="G60" t="s">
        <v>544</v>
      </c>
      <c r="H60" s="453"/>
      <c r="I60" t="s">
        <v>544</v>
      </c>
      <c r="J60">
        <v>2522</v>
      </c>
      <c r="K60" t="s">
        <v>585</v>
      </c>
      <c r="L60" t="s">
        <v>660</v>
      </c>
      <c r="M60" t="s">
        <v>547</v>
      </c>
      <c r="N60" t="s">
        <v>548</v>
      </c>
      <c r="O60" t="s">
        <v>544</v>
      </c>
      <c r="P60" t="s">
        <v>690</v>
      </c>
      <c r="Q60" t="s">
        <v>595</v>
      </c>
      <c r="R60" t="s">
        <v>544</v>
      </c>
      <c r="S60" t="s">
        <v>660</v>
      </c>
      <c r="T60" t="s">
        <v>552</v>
      </c>
      <c r="U60" t="s">
        <v>553</v>
      </c>
      <c r="V60" t="s">
        <v>554</v>
      </c>
      <c r="W60" t="s">
        <v>374</v>
      </c>
      <c r="X60">
        <v>1.5</v>
      </c>
      <c r="Y60" t="s">
        <v>472</v>
      </c>
      <c r="Z60">
        <v>1.5</v>
      </c>
      <c r="AA60" t="s">
        <v>544</v>
      </c>
      <c r="AB60" t="s">
        <v>544</v>
      </c>
      <c r="AC60" t="s">
        <v>544</v>
      </c>
      <c r="AD60" t="s">
        <v>544</v>
      </c>
      <c r="AE60" t="s">
        <v>544</v>
      </c>
      <c r="AG60">
        <v>1</v>
      </c>
      <c r="AH60" t="s">
        <v>544</v>
      </c>
      <c r="AI60" t="s">
        <v>544</v>
      </c>
      <c r="AJ60" t="s">
        <v>673</v>
      </c>
      <c r="AK60" t="s">
        <v>673</v>
      </c>
      <c r="AL60" t="s">
        <v>557</v>
      </c>
      <c r="AM60" t="s">
        <v>558</v>
      </c>
      <c r="AN60" t="s">
        <v>544</v>
      </c>
      <c r="AO60" t="s">
        <v>544</v>
      </c>
      <c r="AP60" t="s">
        <v>544</v>
      </c>
      <c r="AQ60" t="s">
        <v>560</v>
      </c>
      <c r="AR60" t="s">
        <v>561</v>
      </c>
      <c r="AS60" t="s">
        <v>544</v>
      </c>
      <c r="AT60" t="s">
        <v>719</v>
      </c>
      <c r="AU60" t="s">
        <v>544</v>
      </c>
      <c r="AV60" t="s">
        <v>544</v>
      </c>
      <c r="AW60" t="s">
        <v>544</v>
      </c>
      <c r="AY60" t="s">
        <v>544</v>
      </c>
      <c r="AZ60" t="s">
        <v>544</v>
      </c>
      <c r="BB60" t="s">
        <v>693</v>
      </c>
      <c r="BC60" t="s">
        <v>692</v>
      </c>
      <c r="BD60" t="s">
        <v>544</v>
      </c>
      <c r="BE60" t="s">
        <v>544</v>
      </c>
      <c r="BF60" t="s">
        <v>544</v>
      </c>
      <c r="BG60" t="s">
        <v>544</v>
      </c>
      <c r="BH60" t="s">
        <v>544</v>
      </c>
      <c r="BI60" t="s">
        <v>544</v>
      </c>
      <c r="BJ60" t="s">
        <v>544</v>
      </c>
      <c r="BK60" t="s">
        <v>544</v>
      </c>
      <c r="BL60" t="s">
        <v>544</v>
      </c>
      <c r="BM60" t="s">
        <v>544</v>
      </c>
      <c r="BN60" t="s">
        <v>544</v>
      </c>
      <c r="BO60" t="s">
        <v>544</v>
      </c>
      <c r="BP60" t="s">
        <v>544</v>
      </c>
      <c r="BQ60" t="s">
        <v>544</v>
      </c>
    </row>
    <row r="61" spans="1:69" x14ac:dyDescent="0.3">
      <c r="A61" t="s">
        <v>735</v>
      </c>
      <c r="B61" t="s">
        <v>539</v>
      </c>
      <c r="C61" t="s">
        <v>540</v>
      </c>
      <c r="D61" t="s">
        <v>541</v>
      </c>
      <c r="E61" t="s">
        <v>542</v>
      </c>
      <c r="F61" t="s">
        <v>543</v>
      </c>
      <c r="G61" t="s">
        <v>544</v>
      </c>
      <c r="H61" s="453"/>
      <c r="I61" t="s">
        <v>544</v>
      </c>
      <c r="J61">
        <v>2522</v>
      </c>
      <c r="K61" t="s">
        <v>585</v>
      </c>
      <c r="L61" t="s">
        <v>660</v>
      </c>
      <c r="M61" t="s">
        <v>547</v>
      </c>
      <c r="N61" t="s">
        <v>548</v>
      </c>
      <c r="O61" t="s">
        <v>544</v>
      </c>
      <c r="P61" t="s">
        <v>690</v>
      </c>
      <c r="Q61" t="s">
        <v>595</v>
      </c>
      <c r="R61" t="s">
        <v>544</v>
      </c>
      <c r="S61" t="s">
        <v>660</v>
      </c>
      <c r="T61" t="s">
        <v>552</v>
      </c>
      <c r="U61" t="s">
        <v>553</v>
      </c>
      <c r="V61" t="s">
        <v>554</v>
      </c>
      <c r="W61" t="s">
        <v>374</v>
      </c>
      <c r="X61">
        <v>1.5</v>
      </c>
      <c r="Y61" t="s">
        <v>472</v>
      </c>
      <c r="Z61">
        <v>1.5</v>
      </c>
      <c r="AA61" t="s">
        <v>544</v>
      </c>
      <c r="AB61" t="s">
        <v>544</v>
      </c>
      <c r="AC61" t="s">
        <v>544</v>
      </c>
      <c r="AD61" t="s">
        <v>544</v>
      </c>
      <c r="AE61" t="s">
        <v>544</v>
      </c>
      <c r="AG61">
        <v>1</v>
      </c>
      <c r="AH61" t="s">
        <v>544</v>
      </c>
      <c r="AI61" t="s">
        <v>544</v>
      </c>
      <c r="AJ61" t="s">
        <v>544</v>
      </c>
      <c r="AK61" t="s">
        <v>544</v>
      </c>
      <c r="AL61" t="s">
        <v>557</v>
      </c>
      <c r="AM61" t="s">
        <v>558</v>
      </c>
      <c r="AN61" t="s">
        <v>544</v>
      </c>
      <c r="AO61" t="s">
        <v>544</v>
      </c>
      <c r="AP61" t="s">
        <v>544</v>
      </c>
      <c r="AQ61" t="s">
        <v>560</v>
      </c>
      <c r="AR61" t="s">
        <v>561</v>
      </c>
      <c r="AS61" t="s">
        <v>544</v>
      </c>
      <c r="AT61" t="s">
        <v>719</v>
      </c>
      <c r="AU61" t="s">
        <v>544</v>
      </c>
      <c r="AV61" t="s">
        <v>544</v>
      </c>
      <c r="AW61" t="s">
        <v>544</v>
      </c>
      <c r="AY61" t="s">
        <v>544</v>
      </c>
      <c r="AZ61" t="s">
        <v>544</v>
      </c>
      <c r="BB61" t="s">
        <v>692</v>
      </c>
      <c r="BC61" t="s">
        <v>693</v>
      </c>
      <c r="BD61" t="s">
        <v>544</v>
      </c>
      <c r="BE61" t="s">
        <v>544</v>
      </c>
      <c r="BF61" t="s">
        <v>544</v>
      </c>
      <c r="BG61" t="s">
        <v>544</v>
      </c>
      <c r="BH61" t="s">
        <v>544</v>
      </c>
      <c r="BI61" t="s">
        <v>544</v>
      </c>
      <c r="BJ61" t="s">
        <v>544</v>
      </c>
      <c r="BK61" t="s">
        <v>544</v>
      </c>
      <c r="BL61" t="s">
        <v>544</v>
      </c>
      <c r="BM61" t="s">
        <v>544</v>
      </c>
      <c r="BN61" t="s">
        <v>544</v>
      </c>
      <c r="BO61" t="s">
        <v>544</v>
      </c>
      <c r="BP61" t="s">
        <v>544</v>
      </c>
      <c r="BQ61" t="s">
        <v>544</v>
      </c>
    </row>
    <row r="62" spans="1:69" x14ac:dyDescent="0.3">
      <c r="A62" t="s">
        <v>736</v>
      </c>
      <c r="B62" t="s">
        <v>539</v>
      </c>
      <c r="C62" t="s">
        <v>540</v>
      </c>
      <c r="D62" t="s">
        <v>541</v>
      </c>
      <c r="E62" t="s">
        <v>542</v>
      </c>
      <c r="F62" t="s">
        <v>543</v>
      </c>
      <c r="G62" t="s">
        <v>544</v>
      </c>
      <c r="H62" s="453"/>
      <c r="I62" t="s">
        <v>544</v>
      </c>
      <c r="J62">
        <v>2522</v>
      </c>
      <c r="K62" t="s">
        <v>585</v>
      </c>
      <c r="L62" t="s">
        <v>660</v>
      </c>
      <c r="M62" t="s">
        <v>547</v>
      </c>
      <c r="N62" t="s">
        <v>548</v>
      </c>
      <c r="O62" t="s">
        <v>544</v>
      </c>
      <c r="P62" t="s">
        <v>690</v>
      </c>
      <c r="Q62" t="s">
        <v>595</v>
      </c>
      <c r="R62" t="s">
        <v>544</v>
      </c>
      <c r="S62" t="s">
        <v>660</v>
      </c>
      <c r="T62" t="s">
        <v>552</v>
      </c>
      <c r="U62" t="s">
        <v>553</v>
      </c>
      <c r="V62" t="s">
        <v>554</v>
      </c>
      <c r="W62" t="s">
        <v>374</v>
      </c>
      <c r="X62">
        <v>1.5</v>
      </c>
      <c r="Y62" t="s">
        <v>472</v>
      </c>
      <c r="Z62">
        <v>1.5</v>
      </c>
      <c r="AA62" t="s">
        <v>544</v>
      </c>
      <c r="AB62" t="s">
        <v>544</v>
      </c>
      <c r="AC62" t="s">
        <v>544</v>
      </c>
      <c r="AD62" t="s">
        <v>544</v>
      </c>
      <c r="AE62" t="s">
        <v>544</v>
      </c>
      <c r="AG62">
        <v>1</v>
      </c>
      <c r="AH62" t="s">
        <v>544</v>
      </c>
      <c r="AI62" t="s">
        <v>544</v>
      </c>
      <c r="AJ62" t="s">
        <v>582</v>
      </c>
      <c r="AK62" t="s">
        <v>582</v>
      </c>
      <c r="AL62" t="s">
        <v>557</v>
      </c>
      <c r="AM62" t="s">
        <v>558</v>
      </c>
      <c r="AN62" t="s">
        <v>544</v>
      </c>
      <c r="AO62" t="s">
        <v>544</v>
      </c>
      <c r="AP62" t="s">
        <v>544</v>
      </c>
      <c r="AQ62" t="s">
        <v>560</v>
      </c>
      <c r="AR62" t="s">
        <v>561</v>
      </c>
      <c r="AS62" t="s">
        <v>544</v>
      </c>
      <c r="AT62" t="s">
        <v>719</v>
      </c>
      <c r="AU62" t="s">
        <v>544</v>
      </c>
      <c r="AV62" t="s">
        <v>544</v>
      </c>
      <c r="AW62" t="s">
        <v>544</v>
      </c>
      <c r="AY62" t="s">
        <v>544</v>
      </c>
      <c r="AZ62" t="s">
        <v>544</v>
      </c>
      <c r="BB62" t="s">
        <v>692</v>
      </c>
      <c r="BC62" t="s">
        <v>693</v>
      </c>
      <c r="BD62" t="s">
        <v>544</v>
      </c>
      <c r="BE62" t="s">
        <v>544</v>
      </c>
      <c r="BF62" t="s">
        <v>544</v>
      </c>
      <c r="BG62" t="s">
        <v>544</v>
      </c>
      <c r="BH62" t="s">
        <v>544</v>
      </c>
      <c r="BI62" t="s">
        <v>544</v>
      </c>
      <c r="BJ62" t="s">
        <v>544</v>
      </c>
      <c r="BK62" t="s">
        <v>544</v>
      </c>
      <c r="BL62" t="s">
        <v>544</v>
      </c>
      <c r="BM62" t="s">
        <v>544</v>
      </c>
      <c r="BN62" t="s">
        <v>544</v>
      </c>
      <c r="BO62" t="s">
        <v>544</v>
      </c>
      <c r="BP62" t="s">
        <v>544</v>
      </c>
      <c r="BQ62" t="s">
        <v>544</v>
      </c>
    </row>
    <row r="63" spans="1:69" x14ac:dyDescent="0.3">
      <c r="A63" t="s">
        <v>737</v>
      </c>
      <c r="B63" t="s">
        <v>539</v>
      </c>
      <c r="C63" t="s">
        <v>540</v>
      </c>
      <c r="D63" t="s">
        <v>541</v>
      </c>
      <c r="E63" t="s">
        <v>542</v>
      </c>
      <c r="F63" t="s">
        <v>543</v>
      </c>
      <c r="G63" t="s">
        <v>544</v>
      </c>
      <c r="H63" s="453"/>
      <c r="I63" t="s">
        <v>544</v>
      </c>
      <c r="J63">
        <v>2522</v>
      </c>
      <c r="K63" t="s">
        <v>585</v>
      </c>
      <c r="L63" t="s">
        <v>660</v>
      </c>
      <c r="M63" t="s">
        <v>547</v>
      </c>
      <c r="N63" t="s">
        <v>548</v>
      </c>
      <c r="O63" t="s">
        <v>544</v>
      </c>
      <c r="P63" t="s">
        <v>690</v>
      </c>
      <c r="Q63" t="s">
        <v>595</v>
      </c>
      <c r="R63" t="s">
        <v>544</v>
      </c>
      <c r="S63" t="s">
        <v>660</v>
      </c>
      <c r="T63" t="s">
        <v>552</v>
      </c>
      <c r="U63" t="s">
        <v>553</v>
      </c>
      <c r="V63" t="s">
        <v>554</v>
      </c>
      <c r="W63" t="s">
        <v>374</v>
      </c>
      <c r="X63">
        <v>1.5</v>
      </c>
      <c r="Y63" t="s">
        <v>472</v>
      </c>
      <c r="Z63">
        <v>1.5</v>
      </c>
      <c r="AA63" t="s">
        <v>544</v>
      </c>
      <c r="AB63" t="s">
        <v>544</v>
      </c>
      <c r="AC63" t="s">
        <v>544</v>
      </c>
      <c r="AD63" t="s">
        <v>544</v>
      </c>
      <c r="AE63" t="s">
        <v>544</v>
      </c>
      <c r="AG63">
        <v>1</v>
      </c>
      <c r="AH63" t="s">
        <v>544</v>
      </c>
      <c r="AI63" t="s">
        <v>544</v>
      </c>
      <c r="AJ63" t="s">
        <v>544</v>
      </c>
      <c r="AK63" t="s">
        <v>544</v>
      </c>
      <c r="AL63" t="s">
        <v>557</v>
      </c>
      <c r="AM63" t="s">
        <v>558</v>
      </c>
      <c r="AN63" t="s">
        <v>544</v>
      </c>
      <c r="AO63" t="s">
        <v>544</v>
      </c>
      <c r="AP63" t="s">
        <v>544</v>
      </c>
      <c r="AQ63" t="s">
        <v>560</v>
      </c>
      <c r="AR63" t="s">
        <v>561</v>
      </c>
      <c r="AS63" t="s">
        <v>544</v>
      </c>
      <c r="AT63" t="s">
        <v>719</v>
      </c>
      <c r="AU63" t="s">
        <v>544</v>
      </c>
      <c r="AV63" t="s">
        <v>544</v>
      </c>
      <c r="AW63" t="s">
        <v>544</v>
      </c>
      <c r="AY63" t="s">
        <v>544</v>
      </c>
      <c r="AZ63" t="s">
        <v>544</v>
      </c>
      <c r="BB63" t="s">
        <v>692</v>
      </c>
      <c r="BC63" t="s">
        <v>693</v>
      </c>
      <c r="BD63" t="s">
        <v>544</v>
      </c>
      <c r="BE63" t="s">
        <v>544</v>
      </c>
      <c r="BF63" t="s">
        <v>544</v>
      </c>
      <c r="BG63" t="s">
        <v>544</v>
      </c>
      <c r="BH63" t="s">
        <v>544</v>
      </c>
      <c r="BI63" t="s">
        <v>544</v>
      </c>
      <c r="BJ63" t="s">
        <v>544</v>
      </c>
      <c r="BK63" t="s">
        <v>544</v>
      </c>
      <c r="BL63" t="s">
        <v>544</v>
      </c>
      <c r="BM63" t="s">
        <v>544</v>
      </c>
      <c r="BN63" t="s">
        <v>544</v>
      </c>
      <c r="BO63" t="s">
        <v>544</v>
      </c>
      <c r="BP63" t="s">
        <v>544</v>
      </c>
      <c r="BQ63" t="s">
        <v>544</v>
      </c>
    </row>
    <row r="64" spans="1:69" x14ac:dyDescent="0.3">
      <c r="A64" t="s">
        <v>738</v>
      </c>
      <c r="B64" t="s">
        <v>539</v>
      </c>
      <c r="C64" t="s">
        <v>540</v>
      </c>
      <c r="D64" t="s">
        <v>541</v>
      </c>
      <c r="E64" t="s">
        <v>542</v>
      </c>
      <c r="F64" t="s">
        <v>543</v>
      </c>
      <c r="G64" t="s">
        <v>544</v>
      </c>
      <c r="H64" s="453"/>
      <c r="I64" t="s">
        <v>544</v>
      </c>
      <c r="J64">
        <v>2522</v>
      </c>
      <c r="K64" t="s">
        <v>585</v>
      </c>
      <c r="L64" t="s">
        <v>660</v>
      </c>
      <c r="M64" t="s">
        <v>547</v>
      </c>
      <c r="N64" t="s">
        <v>548</v>
      </c>
      <c r="O64" t="s">
        <v>544</v>
      </c>
      <c r="P64" t="s">
        <v>690</v>
      </c>
      <c r="Q64" t="s">
        <v>595</v>
      </c>
      <c r="R64" t="s">
        <v>544</v>
      </c>
      <c r="S64" t="s">
        <v>660</v>
      </c>
      <c r="T64" t="s">
        <v>552</v>
      </c>
      <c r="U64" t="s">
        <v>553</v>
      </c>
      <c r="V64" t="s">
        <v>554</v>
      </c>
      <c r="W64" t="s">
        <v>374</v>
      </c>
      <c r="X64">
        <v>1.5</v>
      </c>
      <c r="Y64" t="s">
        <v>472</v>
      </c>
      <c r="Z64">
        <v>1.5</v>
      </c>
      <c r="AA64" t="s">
        <v>544</v>
      </c>
      <c r="AB64" t="s">
        <v>544</v>
      </c>
      <c r="AC64" t="s">
        <v>544</v>
      </c>
      <c r="AD64" t="s">
        <v>544</v>
      </c>
      <c r="AE64" t="s">
        <v>544</v>
      </c>
      <c r="AG64">
        <v>1</v>
      </c>
      <c r="AH64" t="s">
        <v>544</v>
      </c>
      <c r="AI64" t="s">
        <v>544</v>
      </c>
      <c r="AJ64" t="s">
        <v>544</v>
      </c>
      <c r="AK64" t="s">
        <v>544</v>
      </c>
      <c r="AL64" t="s">
        <v>557</v>
      </c>
      <c r="AM64" t="s">
        <v>558</v>
      </c>
      <c r="AN64" t="s">
        <v>544</v>
      </c>
      <c r="AO64" t="s">
        <v>544</v>
      </c>
      <c r="AP64" t="s">
        <v>544</v>
      </c>
      <c r="AQ64" t="s">
        <v>560</v>
      </c>
      <c r="AR64" t="s">
        <v>561</v>
      </c>
      <c r="AS64" t="s">
        <v>544</v>
      </c>
      <c r="AT64" t="s">
        <v>719</v>
      </c>
      <c r="AU64" t="s">
        <v>544</v>
      </c>
      <c r="AV64" t="s">
        <v>544</v>
      </c>
      <c r="AW64" t="s">
        <v>544</v>
      </c>
      <c r="AY64" t="s">
        <v>544</v>
      </c>
      <c r="AZ64" t="s">
        <v>544</v>
      </c>
      <c r="BB64" t="s">
        <v>693</v>
      </c>
      <c r="BC64" t="s">
        <v>692</v>
      </c>
      <c r="BD64" t="s">
        <v>544</v>
      </c>
      <c r="BE64" t="s">
        <v>544</v>
      </c>
      <c r="BF64" t="s">
        <v>544</v>
      </c>
      <c r="BG64" t="s">
        <v>544</v>
      </c>
      <c r="BH64" t="s">
        <v>544</v>
      </c>
      <c r="BI64" t="s">
        <v>544</v>
      </c>
      <c r="BJ64" t="s">
        <v>544</v>
      </c>
      <c r="BK64" t="s">
        <v>544</v>
      </c>
      <c r="BL64" t="s">
        <v>544</v>
      </c>
      <c r="BM64" t="s">
        <v>544</v>
      </c>
      <c r="BN64" t="s">
        <v>544</v>
      </c>
      <c r="BO64" t="s">
        <v>544</v>
      </c>
      <c r="BP64" t="s">
        <v>544</v>
      </c>
      <c r="BQ64" t="s">
        <v>544</v>
      </c>
    </row>
    <row r="65" spans="1:69" x14ac:dyDescent="0.3">
      <c r="A65" t="s">
        <v>739</v>
      </c>
      <c r="B65" t="s">
        <v>539</v>
      </c>
      <c r="C65" t="s">
        <v>540</v>
      </c>
      <c r="D65" t="s">
        <v>541</v>
      </c>
      <c r="E65" t="s">
        <v>542</v>
      </c>
      <c r="F65" t="s">
        <v>543</v>
      </c>
      <c r="G65" t="s">
        <v>544</v>
      </c>
      <c r="H65" s="453"/>
      <c r="I65" t="s">
        <v>544</v>
      </c>
      <c r="J65">
        <v>2522</v>
      </c>
      <c r="K65" t="s">
        <v>585</v>
      </c>
      <c r="L65" t="s">
        <v>660</v>
      </c>
      <c r="M65" t="s">
        <v>547</v>
      </c>
      <c r="N65" t="s">
        <v>548</v>
      </c>
      <c r="O65" t="s">
        <v>544</v>
      </c>
      <c r="P65" t="s">
        <v>690</v>
      </c>
      <c r="Q65" t="s">
        <v>595</v>
      </c>
      <c r="R65" t="s">
        <v>544</v>
      </c>
      <c r="S65" t="s">
        <v>660</v>
      </c>
      <c r="T65" t="s">
        <v>552</v>
      </c>
      <c r="U65" t="s">
        <v>553</v>
      </c>
      <c r="V65" t="s">
        <v>554</v>
      </c>
      <c r="W65" t="s">
        <v>374</v>
      </c>
      <c r="X65">
        <v>1.5</v>
      </c>
      <c r="Y65" t="s">
        <v>472</v>
      </c>
      <c r="Z65">
        <v>1.5</v>
      </c>
      <c r="AA65" t="s">
        <v>544</v>
      </c>
      <c r="AB65" t="s">
        <v>544</v>
      </c>
      <c r="AC65" t="s">
        <v>544</v>
      </c>
      <c r="AD65" t="s">
        <v>544</v>
      </c>
      <c r="AE65" t="s">
        <v>544</v>
      </c>
      <c r="AG65">
        <v>1</v>
      </c>
      <c r="AH65" t="s">
        <v>544</v>
      </c>
      <c r="AI65" t="s">
        <v>544</v>
      </c>
      <c r="AJ65" t="s">
        <v>544</v>
      </c>
      <c r="AK65" t="s">
        <v>544</v>
      </c>
      <c r="AL65" t="s">
        <v>557</v>
      </c>
      <c r="AM65" t="s">
        <v>558</v>
      </c>
      <c r="AN65" t="s">
        <v>544</v>
      </c>
      <c r="AO65" t="s">
        <v>544</v>
      </c>
      <c r="AP65" t="s">
        <v>544</v>
      </c>
      <c r="AQ65" t="s">
        <v>560</v>
      </c>
      <c r="AR65" t="s">
        <v>561</v>
      </c>
      <c r="AS65" t="s">
        <v>544</v>
      </c>
      <c r="AT65" t="s">
        <v>719</v>
      </c>
      <c r="AU65" t="s">
        <v>544</v>
      </c>
      <c r="AV65" t="s">
        <v>544</v>
      </c>
      <c r="AW65" t="s">
        <v>544</v>
      </c>
      <c r="AY65" t="s">
        <v>544</v>
      </c>
      <c r="AZ65" t="s">
        <v>544</v>
      </c>
      <c r="BB65" t="s">
        <v>693</v>
      </c>
      <c r="BC65" t="s">
        <v>692</v>
      </c>
      <c r="BD65" t="s">
        <v>544</v>
      </c>
      <c r="BE65" t="s">
        <v>544</v>
      </c>
      <c r="BF65" t="s">
        <v>544</v>
      </c>
      <c r="BG65" t="s">
        <v>544</v>
      </c>
      <c r="BH65" t="s">
        <v>544</v>
      </c>
      <c r="BI65" t="s">
        <v>544</v>
      </c>
      <c r="BJ65" t="s">
        <v>544</v>
      </c>
      <c r="BK65" t="s">
        <v>544</v>
      </c>
      <c r="BL65" t="s">
        <v>544</v>
      </c>
      <c r="BM65" t="s">
        <v>544</v>
      </c>
      <c r="BN65" t="s">
        <v>544</v>
      </c>
      <c r="BO65" t="s">
        <v>544</v>
      </c>
      <c r="BP65" t="s">
        <v>544</v>
      </c>
      <c r="BQ65" t="s">
        <v>544</v>
      </c>
    </row>
    <row r="66" spans="1:69" x14ac:dyDescent="0.3">
      <c r="A66" t="s">
        <v>740</v>
      </c>
      <c r="B66" t="s">
        <v>539</v>
      </c>
      <c r="C66" t="s">
        <v>540</v>
      </c>
      <c r="D66" t="s">
        <v>541</v>
      </c>
      <c r="E66" t="s">
        <v>542</v>
      </c>
      <c r="F66" t="s">
        <v>543</v>
      </c>
      <c r="G66" t="s">
        <v>544</v>
      </c>
      <c r="H66" s="453"/>
      <c r="I66" t="s">
        <v>544</v>
      </c>
      <c r="J66">
        <v>2522</v>
      </c>
      <c r="K66" t="s">
        <v>585</v>
      </c>
      <c r="L66" t="s">
        <v>660</v>
      </c>
      <c r="M66" t="s">
        <v>547</v>
      </c>
      <c r="N66" t="s">
        <v>548</v>
      </c>
      <c r="O66" t="s">
        <v>544</v>
      </c>
      <c r="P66" t="s">
        <v>690</v>
      </c>
      <c r="Q66" t="s">
        <v>595</v>
      </c>
      <c r="R66" t="s">
        <v>544</v>
      </c>
      <c r="S66" t="s">
        <v>660</v>
      </c>
      <c r="T66" t="s">
        <v>552</v>
      </c>
      <c r="U66" t="s">
        <v>553</v>
      </c>
      <c r="V66" t="s">
        <v>554</v>
      </c>
      <c r="W66" t="s">
        <v>374</v>
      </c>
      <c r="X66">
        <v>1.5</v>
      </c>
      <c r="Y66" t="s">
        <v>472</v>
      </c>
      <c r="Z66">
        <v>1.5</v>
      </c>
      <c r="AA66" t="s">
        <v>544</v>
      </c>
      <c r="AB66" t="s">
        <v>544</v>
      </c>
      <c r="AC66" t="s">
        <v>544</v>
      </c>
      <c r="AD66" t="s">
        <v>544</v>
      </c>
      <c r="AE66" t="s">
        <v>544</v>
      </c>
      <c r="AG66">
        <v>1</v>
      </c>
      <c r="AH66" t="s">
        <v>544</v>
      </c>
      <c r="AI66" t="s">
        <v>544</v>
      </c>
      <c r="AJ66" t="s">
        <v>566</v>
      </c>
      <c r="AK66" t="s">
        <v>566</v>
      </c>
      <c r="AL66" t="s">
        <v>557</v>
      </c>
      <c r="AM66" t="s">
        <v>558</v>
      </c>
      <c r="AN66" t="s">
        <v>544</v>
      </c>
      <c r="AO66" t="s">
        <v>544</v>
      </c>
      <c r="AP66" t="s">
        <v>544</v>
      </c>
      <c r="AQ66" t="s">
        <v>560</v>
      </c>
      <c r="AR66" t="s">
        <v>561</v>
      </c>
      <c r="AS66" t="s">
        <v>544</v>
      </c>
      <c r="AT66" t="s">
        <v>719</v>
      </c>
      <c r="AU66" t="s">
        <v>544</v>
      </c>
      <c r="AV66" t="s">
        <v>544</v>
      </c>
      <c r="AW66" t="s">
        <v>544</v>
      </c>
      <c r="AY66" t="s">
        <v>544</v>
      </c>
      <c r="AZ66" t="s">
        <v>544</v>
      </c>
      <c r="BB66" t="s">
        <v>693</v>
      </c>
      <c r="BC66" t="s">
        <v>692</v>
      </c>
      <c r="BD66" t="s">
        <v>544</v>
      </c>
      <c r="BE66" t="s">
        <v>544</v>
      </c>
      <c r="BF66" t="s">
        <v>544</v>
      </c>
      <c r="BG66" t="s">
        <v>544</v>
      </c>
      <c r="BH66" t="s">
        <v>544</v>
      </c>
      <c r="BI66" t="s">
        <v>544</v>
      </c>
      <c r="BJ66" t="s">
        <v>544</v>
      </c>
      <c r="BK66" t="s">
        <v>544</v>
      </c>
      <c r="BL66" t="s">
        <v>544</v>
      </c>
      <c r="BM66" t="s">
        <v>544</v>
      </c>
      <c r="BN66" t="s">
        <v>544</v>
      </c>
      <c r="BO66" t="s">
        <v>544</v>
      </c>
      <c r="BP66" t="s">
        <v>544</v>
      </c>
      <c r="BQ66" t="s">
        <v>544</v>
      </c>
    </row>
    <row r="67" spans="1:69" x14ac:dyDescent="0.3">
      <c r="A67" t="s">
        <v>741</v>
      </c>
      <c r="B67" t="s">
        <v>539</v>
      </c>
      <c r="C67" t="s">
        <v>540</v>
      </c>
      <c r="D67" t="s">
        <v>541</v>
      </c>
      <c r="E67" t="s">
        <v>542</v>
      </c>
      <c r="F67" t="s">
        <v>543</v>
      </c>
      <c r="G67" t="s">
        <v>544</v>
      </c>
      <c r="H67" s="453"/>
      <c r="I67" t="s">
        <v>544</v>
      </c>
      <c r="J67">
        <v>2522</v>
      </c>
      <c r="K67" t="s">
        <v>585</v>
      </c>
      <c r="L67" t="s">
        <v>660</v>
      </c>
      <c r="M67" t="s">
        <v>547</v>
      </c>
      <c r="N67" t="s">
        <v>548</v>
      </c>
      <c r="O67" t="s">
        <v>544</v>
      </c>
      <c r="P67" t="s">
        <v>690</v>
      </c>
      <c r="Q67" t="s">
        <v>595</v>
      </c>
      <c r="R67" t="s">
        <v>544</v>
      </c>
      <c r="S67" t="s">
        <v>660</v>
      </c>
      <c r="T67" t="s">
        <v>552</v>
      </c>
      <c r="U67" t="s">
        <v>553</v>
      </c>
      <c r="V67" t="s">
        <v>554</v>
      </c>
      <c r="W67" t="s">
        <v>374</v>
      </c>
      <c r="X67">
        <v>1.5</v>
      </c>
      <c r="Y67" t="s">
        <v>472</v>
      </c>
      <c r="Z67">
        <v>1.5</v>
      </c>
      <c r="AA67" t="s">
        <v>544</v>
      </c>
      <c r="AB67" t="s">
        <v>544</v>
      </c>
      <c r="AC67" t="s">
        <v>544</v>
      </c>
      <c r="AD67" t="s">
        <v>544</v>
      </c>
      <c r="AE67" t="s">
        <v>544</v>
      </c>
      <c r="AG67">
        <v>1</v>
      </c>
      <c r="AH67" t="s">
        <v>544</v>
      </c>
      <c r="AI67" t="s">
        <v>544</v>
      </c>
      <c r="AJ67" t="s">
        <v>566</v>
      </c>
      <c r="AK67" t="s">
        <v>566</v>
      </c>
      <c r="AL67" t="s">
        <v>557</v>
      </c>
      <c r="AM67" t="s">
        <v>558</v>
      </c>
      <c r="AN67" t="s">
        <v>544</v>
      </c>
      <c r="AO67" t="s">
        <v>544</v>
      </c>
      <c r="AP67" t="s">
        <v>544</v>
      </c>
      <c r="AQ67" t="s">
        <v>560</v>
      </c>
      <c r="AR67" t="s">
        <v>561</v>
      </c>
      <c r="AS67" t="s">
        <v>544</v>
      </c>
      <c r="AT67" t="s">
        <v>719</v>
      </c>
      <c r="AU67" t="s">
        <v>544</v>
      </c>
      <c r="AV67" t="s">
        <v>544</v>
      </c>
      <c r="AW67" t="s">
        <v>544</v>
      </c>
      <c r="AY67" t="s">
        <v>544</v>
      </c>
      <c r="AZ67" t="s">
        <v>544</v>
      </c>
      <c r="BB67" t="s">
        <v>693</v>
      </c>
      <c r="BC67" t="s">
        <v>692</v>
      </c>
      <c r="BD67" t="s">
        <v>544</v>
      </c>
      <c r="BE67" t="s">
        <v>544</v>
      </c>
      <c r="BF67" t="s">
        <v>544</v>
      </c>
      <c r="BG67" t="s">
        <v>544</v>
      </c>
      <c r="BH67" t="s">
        <v>544</v>
      </c>
      <c r="BI67" t="s">
        <v>544</v>
      </c>
      <c r="BJ67" t="s">
        <v>544</v>
      </c>
      <c r="BK67" t="s">
        <v>544</v>
      </c>
      <c r="BL67" t="s">
        <v>544</v>
      </c>
      <c r="BM67" t="s">
        <v>544</v>
      </c>
      <c r="BN67" t="s">
        <v>544</v>
      </c>
      <c r="BO67" t="s">
        <v>544</v>
      </c>
      <c r="BP67" t="s">
        <v>544</v>
      </c>
      <c r="BQ67" t="s">
        <v>544</v>
      </c>
    </row>
    <row r="68" spans="1:69" x14ac:dyDescent="0.3">
      <c r="A68" t="s">
        <v>742</v>
      </c>
      <c r="B68" t="s">
        <v>539</v>
      </c>
      <c r="C68" t="s">
        <v>540</v>
      </c>
      <c r="D68" t="s">
        <v>541</v>
      </c>
      <c r="E68" t="s">
        <v>542</v>
      </c>
      <c r="F68" t="s">
        <v>543</v>
      </c>
      <c r="G68" t="s">
        <v>544</v>
      </c>
      <c r="H68" s="453"/>
      <c r="I68" t="s">
        <v>544</v>
      </c>
      <c r="J68">
        <v>2522</v>
      </c>
      <c r="K68" t="s">
        <v>585</v>
      </c>
      <c r="L68" t="s">
        <v>660</v>
      </c>
      <c r="M68" t="s">
        <v>547</v>
      </c>
      <c r="N68" t="s">
        <v>548</v>
      </c>
      <c r="O68" t="s">
        <v>544</v>
      </c>
      <c r="P68" t="s">
        <v>690</v>
      </c>
      <c r="Q68" t="s">
        <v>595</v>
      </c>
      <c r="R68" t="s">
        <v>544</v>
      </c>
      <c r="S68" t="s">
        <v>660</v>
      </c>
      <c r="T68" t="s">
        <v>552</v>
      </c>
      <c r="U68" t="s">
        <v>553</v>
      </c>
      <c r="V68" t="s">
        <v>554</v>
      </c>
      <c r="W68" t="s">
        <v>374</v>
      </c>
      <c r="X68">
        <v>1.5</v>
      </c>
      <c r="Y68" t="s">
        <v>472</v>
      </c>
      <c r="Z68">
        <v>1.5</v>
      </c>
      <c r="AA68" t="s">
        <v>544</v>
      </c>
      <c r="AB68" t="s">
        <v>544</v>
      </c>
      <c r="AC68" t="s">
        <v>544</v>
      </c>
      <c r="AD68" t="s">
        <v>544</v>
      </c>
      <c r="AE68" t="s">
        <v>544</v>
      </c>
      <c r="AG68">
        <v>1</v>
      </c>
      <c r="AH68" t="s">
        <v>544</v>
      </c>
      <c r="AI68" t="s">
        <v>544</v>
      </c>
      <c r="AJ68" t="s">
        <v>566</v>
      </c>
      <c r="AK68" t="s">
        <v>566</v>
      </c>
      <c r="AL68" t="s">
        <v>557</v>
      </c>
      <c r="AM68" t="s">
        <v>558</v>
      </c>
      <c r="AN68" t="s">
        <v>544</v>
      </c>
      <c r="AO68" t="s">
        <v>544</v>
      </c>
      <c r="AP68" t="s">
        <v>544</v>
      </c>
      <c r="AQ68" t="s">
        <v>560</v>
      </c>
      <c r="AR68" t="s">
        <v>561</v>
      </c>
      <c r="AS68" t="s">
        <v>544</v>
      </c>
      <c r="AT68" t="s">
        <v>719</v>
      </c>
      <c r="AU68" t="s">
        <v>544</v>
      </c>
      <c r="AV68" t="s">
        <v>544</v>
      </c>
      <c r="AW68" t="s">
        <v>544</v>
      </c>
      <c r="AY68" t="s">
        <v>544</v>
      </c>
      <c r="AZ68" t="s">
        <v>544</v>
      </c>
      <c r="BB68" t="s">
        <v>693</v>
      </c>
      <c r="BC68" t="s">
        <v>692</v>
      </c>
      <c r="BD68" t="s">
        <v>544</v>
      </c>
      <c r="BE68" t="s">
        <v>544</v>
      </c>
      <c r="BF68" t="s">
        <v>544</v>
      </c>
      <c r="BG68" t="s">
        <v>544</v>
      </c>
      <c r="BH68" t="s">
        <v>544</v>
      </c>
      <c r="BI68" t="s">
        <v>544</v>
      </c>
      <c r="BJ68" t="s">
        <v>544</v>
      </c>
      <c r="BK68" t="s">
        <v>544</v>
      </c>
      <c r="BL68" t="s">
        <v>544</v>
      </c>
      <c r="BM68" t="s">
        <v>544</v>
      </c>
      <c r="BN68" t="s">
        <v>544</v>
      </c>
      <c r="BO68" t="s">
        <v>544</v>
      </c>
      <c r="BP68" t="s">
        <v>544</v>
      </c>
      <c r="BQ68" t="s">
        <v>544</v>
      </c>
    </row>
    <row r="69" spans="1:69" x14ac:dyDescent="0.3">
      <c r="A69" t="s">
        <v>743</v>
      </c>
      <c r="B69" t="s">
        <v>539</v>
      </c>
      <c r="C69" t="s">
        <v>540</v>
      </c>
      <c r="D69" t="s">
        <v>541</v>
      </c>
      <c r="E69" t="s">
        <v>542</v>
      </c>
      <c r="F69" t="s">
        <v>543</v>
      </c>
      <c r="G69" t="s">
        <v>544</v>
      </c>
      <c r="H69" s="453"/>
      <c r="I69" t="s">
        <v>544</v>
      </c>
      <c r="J69">
        <v>2522</v>
      </c>
      <c r="K69" t="s">
        <v>585</v>
      </c>
      <c r="L69" t="s">
        <v>660</v>
      </c>
      <c r="M69" t="s">
        <v>547</v>
      </c>
      <c r="N69" t="s">
        <v>548</v>
      </c>
      <c r="O69" t="s">
        <v>544</v>
      </c>
      <c r="P69" t="s">
        <v>690</v>
      </c>
      <c r="Q69" t="s">
        <v>595</v>
      </c>
      <c r="R69" t="s">
        <v>544</v>
      </c>
      <c r="S69" t="s">
        <v>660</v>
      </c>
      <c r="T69" t="s">
        <v>552</v>
      </c>
      <c r="U69" t="s">
        <v>553</v>
      </c>
      <c r="V69" t="s">
        <v>554</v>
      </c>
      <c r="W69" t="s">
        <v>374</v>
      </c>
      <c r="X69">
        <v>1.5</v>
      </c>
      <c r="Y69" t="s">
        <v>472</v>
      </c>
      <c r="Z69">
        <v>1.5</v>
      </c>
      <c r="AA69" t="s">
        <v>544</v>
      </c>
      <c r="AB69" t="s">
        <v>544</v>
      </c>
      <c r="AC69" t="s">
        <v>544</v>
      </c>
      <c r="AD69" t="s">
        <v>544</v>
      </c>
      <c r="AE69" t="s">
        <v>544</v>
      </c>
      <c r="AG69">
        <v>1</v>
      </c>
      <c r="AH69" t="s">
        <v>544</v>
      </c>
      <c r="AI69" t="s">
        <v>544</v>
      </c>
      <c r="AJ69" t="s">
        <v>544</v>
      </c>
      <c r="AK69" t="s">
        <v>544</v>
      </c>
      <c r="AL69" t="s">
        <v>557</v>
      </c>
      <c r="AM69" t="s">
        <v>558</v>
      </c>
      <c r="AN69" t="s">
        <v>544</v>
      </c>
      <c r="AO69" t="s">
        <v>544</v>
      </c>
      <c r="AP69" t="s">
        <v>544</v>
      </c>
      <c r="AQ69" t="s">
        <v>560</v>
      </c>
      <c r="AR69" t="s">
        <v>561</v>
      </c>
      <c r="AS69" t="s">
        <v>544</v>
      </c>
      <c r="AT69" t="s">
        <v>719</v>
      </c>
      <c r="AU69" t="s">
        <v>544</v>
      </c>
      <c r="AV69" t="s">
        <v>544</v>
      </c>
      <c r="AW69" t="s">
        <v>544</v>
      </c>
      <c r="AY69" t="s">
        <v>544</v>
      </c>
      <c r="AZ69" t="s">
        <v>544</v>
      </c>
      <c r="BB69" t="s">
        <v>693</v>
      </c>
      <c r="BC69" t="s">
        <v>692</v>
      </c>
      <c r="BD69" t="s">
        <v>544</v>
      </c>
      <c r="BE69" t="s">
        <v>544</v>
      </c>
      <c r="BF69" t="s">
        <v>544</v>
      </c>
      <c r="BG69" t="s">
        <v>544</v>
      </c>
      <c r="BH69" t="s">
        <v>544</v>
      </c>
      <c r="BI69" t="s">
        <v>544</v>
      </c>
      <c r="BJ69" t="s">
        <v>544</v>
      </c>
      <c r="BK69" t="s">
        <v>544</v>
      </c>
      <c r="BL69" t="s">
        <v>544</v>
      </c>
      <c r="BM69" t="s">
        <v>544</v>
      </c>
      <c r="BN69" t="s">
        <v>544</v>
      </c>
      <c r="BO69" t="s">
        <v>544</v>
      </c>
      <c r="BP69" t="s">
        <v>544</v>
      </c>
      <c r="BQ69" t="s">
        <v>544</v>
      </c>
    </row>
    <row r="70" spans="1:69" x14ac:dyDescent="0.3">
      <c r="A70" t="s">
        <v>744</v>
      </c>
      <c r="B70" t="s">
        <v>539</v>
      </c>
      <c r="C70" t="s">
        <v>540</v>
      </c>
      <c r="D70" t="s">
        <v>541</v>
      </c>
      <c r="E70" t="s">
        <v>542</v>
      </c>
      <c r="F70" t="s">
        <v>543</v>
      </c>
      <c r="G70" t="s">
        <v>544</v>
      </c>
      <c r="H70" s="453"/>
      <c r="I70" t="s">
        <v>544</v>
      </c>
      <c r="J70">
        <v>2522</v>
      </c>
      <c r="K70" t="s">
        <v>585</v>
      </c>
      <c r="L70" t="s">
        <v>660</v>
      </c>
      <c r="M70" t="s">
        <v>547</v>
      </c>
      <c r="N70" t="s">
        <v>548</v>
      </c>
      <c r="O70" t="s">
        <v>544</v>
      </c>
      <c r="P70" t="s">
        <v>690</v>
      </c>
      <c r="Q70" t="s">
        <v>595</v>
      </c>
      <c r="R70" t="s">
        <v>544</v>
      </c>
      <c r="S70" t="s">
        <v>660</v>
      </c>
      <c r="T70" t="s">
        <v>552</v>
      </c>
      <c r="U70" t="s">
        <v>553</v>
      </c>
      <c r="V70" t="s">
        <v>554</v>
      </c>
      <c r="W70" t="s">
        <v>374</v>
      </c>
      <c r="X70">
        <v>1.5</v>
      </c>
      <c r="Y70" t="s">
        <v>472</v>
      </c>
      <c r="Z70">
        <v>1.5</v>
      </c>
      <c r="AA70" t="s">
        <v>544</v>
      </c>
      <c r="AB70" t="s">
        <v>544</v>
      </c>
      <c r="AC70" t="s">
        <v>544</v>
      </c>
      <c r="AD70" t="s">
        <v>544</v>
      </c>
      <c r="AE70" t="s">
        <v>544</v>
      </c>
      <c r="AG70">
        <v>1</v>
      </c>
      <c r="AH70" t="s">
        <v>544</v>
      </c>
      <c r="AI70" t="s">
        <v>544</v>
      </c>
      <c r="AJ70" t="s">
        <v>616</v>
      </c>
      <c r="AK70" t="s">
        <v>616</v>
      </c>
      <c r="AL70" t="s">
        <v>557</v>
      </c>
      <c r="AM70" t="s">
        <v>558</v>
      </c>
      <c r="AN70" t="s">
        <v>544</v>
      </c>
      <c r="AO70" t="s">
        <v>544</v>
      </c>
      <c r="AP70" t="s">
        <v>544</v>
      </c>
      <c r="AQ70" t="s">
        <v>560</v>
      </c>
      <c r="AR70" t="s">
        <v>561</v>
      </c>
      <c r="AS70" t="s">
        <v>544</v>
      </c>
      <c r="AT70" t="s">
        <v>719</v>
      </c>
      <c r="AU70" t="s">
        <v>544</v>
      </c>
      <c r="AV70" t="s">
        <v>544</v>
      </c>
      <c r="AW70" t="s">
        <v>544</v>
      </c>
      <c r="AY70" t="s">
        <v>544</v>
      </c>
      <c r="AZ70" t="s">
        <v>544</v>
      </c>
      <c r="BB70" t="s">
        <v>692</v>
      </c>
      <c r="BC70" t="s">
        <v>693</v>
      </c>
      <c r="BD70" t="s">
        <v>544</v>
      </c>
      <c r="BE70" t="s">
        <v>544</v>
      </c>
      <c r="BF70" t="s">
        <v>544</v>
      </c>
      <c r="BG70" t="s">
        <v>544</v>
      </c>
      <c r="BH70" t="s">
        <v>544</v>
      </c>
      <c r="BI70" t="s">
        <v>544</v>
      </c>
      <c r="BJ70" t="s">
        <v>544</v>
      </c>
      <c r="BK70" t="s">
        <v>544</v>
      </c>
      <c r="BL70" t="s">
        <v>544</v>
      </c>
      <c r="BM70" t="s">
        <v>544</v>
      </c>
      <c r="BN70" t="s">
        <v>544</v>
      </c>
      <c r="BO70" t="s">
        <v>544</v>
      </c>
      <c r="BP70" t="s">
        <v>544</v>
      </c>
      <c r="BQ70" t="s">
        <v>544</v>
      </c>
    </row>
    <row r="71" spans="1:69" x14ac:dyDescent="0.3">
      <c r="A71" t="s">
        <v>745</v>
      </c>
      <c r="B71" t="s">
        <v>539</v>
      </c>
      <c r="C71" t="s">
        <v>540</v>
      </c>
      <c r="D71" t="s">
        <v>541</v>
      </c>
      <c r="E71" t="s">
        <v>542</v>
      </c>
      <c r="F71" t="s">
        <v>543</v>
      </c>
      <c r="G71" t="s">
        <v>544</v>
      </c>
      <c r="H71" s="453"/>
      <c r="I71" t="s">
        <v>544</v>
      </c>
      <c r="J71">
        <v>2522</v>
      </c>
      <c r="K71" t="s">
        <v>585</v>
      </c>
      <c r="L71" t="s">
        <v>660</v>
      </c>
      <c r="M71" t="s">
        <v>547</v>
      </c>
      <c r="N71" t="s">
        <v>548</v>
      </c>
      <c r="O71" t="s">
        <v>544</v>
      </c>
      <c r="P71" t="s">
        <v>690</v>
      </c>
      <c r="Q71" t="s">
        <v>595</v>
      </c>
      <c r="R71" t="s">
        <v>544</v>
      </c>
      <c r="S71" t="s">
        <v>660</v>
      </c>
      <c r="T71" t="s">
        <v>552</v>
      </c>
      <c r="U71" t="s">
        <v>553</v>
      </c>
      <c r="V71" t="s">
        <v>554</v>
      </c>
      <c r="W71" t="s">
        <v>374</v>
      </c>
      <c r="X71">
        <v>1.5</v>
      </c>
      <c r="Y71" t="s">
        <v>472</v>
      </c>
      <c r="Z71">
        <v>1.5</v>
      </c>
      <c r="AA71" t="s">
        <v>544</v>
      </c>
      <c r="AB71" t="s">
        <v>544</v>
      </c>
      <c r="AC71" t="s">
        <v>544</v>
      </c>
      <c r="AD71" t="s">
        <v>544</v>
      </c>
      <c r="AE71" t="s">
        <v>544</v>
      </c>
      <c r="AG71">
        <v>1</v>
      </c>
      <c r="AH71" t="s">
        <v>544</v>
      </c>
      <c r="AI71" t="s">
        <v>544</v>
      </c>
      <c r="AJ71" t="s">
        <v>616</v>
      </c>
      <c r="AK71" t="s">
        <v>616</v>
      </c>
      <c r="AL71" t="s">
        <v>557</v>
      </c>
      <c r="AM71" t="s">
        <v>558</v>
      </c>
      <c r="AN71" t="s">
        <v>544</v>
      </c>
      <c r="AO71" t="s">
        <v>544</v>
      </c>
      <c r="AP71" t="s">
        <v>544</v>
      </c>
      <c r="AQ71" t="s">
        <v>560</v>
      </c>
      <c r="AR71" t="s">
        <v>561</v>
      </c>
      <c r="AS71" t="s">
        <v>544</v>
      </c>
      <c r="AT71" t="s">
        <v>719</v>
      </c>
      <c r="AU71" t="s">
        <v>544</v>
      </c>
      <c r="AV71" t="s">
        <v>544</v>
      </c>
      <c r="AW71" t="s">
        <v>544</v>
      </c>
      <c r="AY71" t="s">
        <v>544</v>
      </c>
      <c r="AZ71" t="s">
        <v>544</v>
      </c>
      <c r="BB71" t="s">
        <v>693</v>
      </c>
      <c r="BC71" t="s">
        <v>692</v>
      </c>
      <c r="BD71" t="s">
        <v>544</v>
      </c>
      <c r="BE71" t="s">
        <v>544</v>
      </c>
      <c r="BF71" t="s">
        <v>544</v>
      </c>
      <c r="BG71" t="s">
        <v>544</v>
      </c>
      <c r="BH71" t="s">
        <v>544</v>
      </c>
      <c r="BI71" t="s">
        <v>544</v>
      </c>
      <c r="BJ71" t="s">
        <v>544</v>
      </c>
      <c r="BK71" t="s">
        <v>544</v>
      </c>
      <c r="BL71" t="s">
        <v>544</v>
      </c>
      <c r="BM71" t="s">
        <v>544</v>
      </c>
      <c r="BN71" t="s">
        <v>544</v>
      </c>
      <c r="BO71" t="s">
        <v>544</v>
      </c>
      <c r="BP71" t="s">
        <v>544</v>
      </c>
      <c r="BQ71" t="s">
        <v>544</v>
      </c>
    </row>
    <row r="72" spans="1:69" x14ac:dyDescent="0.3">
      <c r="A72" t="s">
        <v>746</v>
      </c>
      <c r="B72" t="s">
        <v>539</v>
      </c>
      <c r="C72" t="s">
        <v>540</v>
      </c>
      <c r="D72" t="s">
        <v>541</v>
      </c>
      <c r="E72" t="s">
        <v>542</v>
      </c>
      <c r="F72" t="s">
        <v>543</v>
      </c>
      <c r="G72" t="s">
        <v>544</v>
      </c>
      <c r="H72" s="453"/>
      <c r="I72" t="s">
        <v>544</v>
      </c>
      <c r="J72">
        <v>2522</v>
      </c>
      <c r="K72" t="s">
        <v>585</v>
      </c>
      <c r="L72" t="s">
        <v>660</v>
      </c>
      <c r="M72" t="s">
        <v>547</v>
      </c>
      <c r="N72" t="s">
        <v>548</v>
      </c>
      <c r="O72" t="s">
        <v>544</v>
      </c>
      <c r="P72" t="s">
        <v>690</v>
      </c>
      <c r="Q72" t="s">
        <v>595</v>
      </c>
      <c r="R72" t="s">
        <v>544</v>
      </c>
      <c r="S72" t="s">
        <v>660</v>
      </c>
      <c r="T72" t="s">
        <v>552</v>
      </c>
      <c r="U72" t="s">
        <v>553</v>
      </c>
      <c r="V72" t="s">
        <v>554</v>
      </c>
      <c r="W72" t="s">
        <v>374</v>
      </c>
      <c r="X72">
        <v>1.5</v>
      </c>
      <c r="Y72" t="s">
        <v>472</v>
      </c>
      <c r="Z72">
        <v>1.5</v>
      </c>
      <c r="AA72" t="s">
        <v>544</v>
      </c>
      <c r="AB72" t="s">
        <v>544</v>
      </c>
      <c r="AC72" t="s">
        <v>544</v>
      </c>
      <c r="AD72" t="s">
        <v>544</v>
      </c>
      <c r="AE72" t="s">
        <v>544</v>
      </c>
      <c r="AG72">
        <v>1</v>
      </c>
      <c r="AH72" t="s">
        <v>544</v>
      </c>
      <c r="AI72" t="s">
        <v>544</v>
      </c>
      <c r="AJ72" t="s">
        <v>616</v>
      </c>
      <c r="AK72" t="s">
        <v>616</v>
      </c>
      <c r="AL72" t="s">
        <v>557</v>
      </c>
      <c r="AM72" t="s">
        <v>558</v>
      </c>
      <c r="AN72" t="s">
        <v>544</v>
      </c>
      <c r="AO72" t="s">
        <v>544</v>
      </c>
      <c r="AP72" t="s">
        <v>544</v>
      </c>
      <c r="AQ72" t="s">
        <v>560</v>
      </c>
      <c r="AR72" t="s">
        <v>561</v>
      </c>
      <c r="AS72" t="s">
        <v>544</v>
      </c>
      <c r="AT72" t="s">
        <v>719</v>
      </c>
      <c r="AU72" t="s">
        <v>544</v>
      </c>
      <c r="AV72" t="s">
        <v>544</v>
      </c>
      <c r="AW72" t="s">
        <v>544</v>
      </c>
      <c r="AY72" t="s">
        <v>544</v>
      </c>
      <c r="AZ72" t="s">
        <v>544</v>
      </c>
      <c r="BB72" t="s">
        <v>692</v>
      </c>
      <c r="BC72" t="s">
        <v>693</v>
      </c>
      <c r="BD72" t="s">
        <v>544</v>
      </c>
      <c r="BE72" t="s">
        <v>544</v>
      </c>
      <c r="BF72" t="s">
        <v>544</v>
      </c>
      <c r="BG72" t="s">
        <v>544</v>
      </c>
      <c r="BH72" t="s">
        <v>544</v>
      </c>
      <c r="BI72" t="s">
        <v>544</v>
      </c>
      <c r="BJ72" t="s">
        <v>544</v>
      </c>
      <c r="BK72" t="s">
        <v>544</v>
      </c>
      <c r="BL72" t="s">
        <v>544</v>
      </c>
      <c r="BM72" t="s">
        <v>544</v>
      </c>
      <c r="BN72" t="s">
        <v>544</v>
      </c>
      <c r="BO72" t="s">
        <v>544</v>
      </c>
      <c r="BP72" t="s">
        <v>544</v>
      </c>
      <c r="BQ72" t="s">
        <v>544</v>
      </c>
    </row>
    <row r="73" spans="1:69" x14ac:dyDescent="0.3">
      <c r="A73" t="s">
        <v>747</v>
      </c>
      <c r="B73" t="s">
        <v>539</v>
      </c>
      <c r="C73" t="s">
        <v>540</v>
      </c>
      <c r="D73" t="s">
        <v>541</v>
      </c>
      <c r="E73" t="s">
        <v>542</v>
      </c>
      <c r="F73" t="s">
        <v>543</v>
      </c>
      <c r="G73" t="s">
        <v>544</v>
      </c>
      <c r="H73" s="453"/>
      <c r="I73" t="s">
        <v>544</v>
      </c>
      <c r="J73">
        <v>2900</v>
      </c>
      <c r="K73" t="s">
        <v>585</v>
      </c>
      <c r="L73" t="s">
        <v>546</v>
      </c>
      <c r="M73" t="s">
        <v>547</v>
      </c>
      <c r="N73" t="s">
        <v>548</v>
      </c>
      <c r="O73" t="s">
        <v>544</v>
      </c>
      <c r="P73" t="s">
        <v>602</v>
      </c>
      <c r="Q73" t="s">
        <v>550</v>
      </c>
      <c r="R73" t="s">
        <v>603</v>
      </c>
      <c r="S73" t="s">
        <v>588</v>
      </c>
      <c r="T73" t="s">
        <v>552</v>
      </c>
      <c r="U73" t="s">
        <v>553</v>
      </c>
      <c r="V73" t="s">
        <v>554</v>
      </c>
      <c r="W73" t="s">
        <v>374</v>
      </c>
      <c r="X73">
        <v>1.5</v>
      </c>
      <c r="Y73" t="s">
        <v>472</v>
      </c>
      <c r="Z73">
        <v>1.5</v>
      </c>
      <c r="AA73" t="s">
        <v>472</v>
      </c>
      <c r="AB73" t="s">
        <v>544</v>
      </c>
      <c r="AC73" t="s">
        <v>544</v>
      </c>
      <c r="AD73" t="s">
        <v>544</v>
      </c>
      <c r="AE73" t="s">
        <v>544</v>
      </c>
      <c r="AG73">
        <v>1</v>
      </c>
      <c r="AH73" t="s">
        <v>544</v>
      </c>
      <c r="AI73" t="s">
        <v>544</v>
      </c>
      <c r="AJ73" t="s">
        <v>748</v>
      </c>
      <c r="AK73" t="s">
        <v>748</v>
      </c>
      <c r="AL73" t="s">
        <v>557</v>
      </c>
      <c r="AM73" t="s">
        <v>558</v>
      </c>
      <c r="AN73" t="s">
        <v>390</v>
      </c>
      <c r="AO73" t="s">
        <v>544</v>
      </c>
      <c r="AP73" t="s">
        <v>604</v>
      </c>
      <c r="AQ73" t="s">
        <v>560</v>
      </c>
      <c r="AR73" t="s">
        <v>561</v>
      </c>
      <c r="AS73" t="s">
        <v>544</v>
      </c>
      <c r="AT73" t="s">
        <v>605</v>
      </c>
      <c r="AU73" t="s">
        <v>544</v>
      </c>
      <c r="AV73" t="s">
        <v>544</v>
      </c>
      <c r="AW73" t="s">
        <v>544</v>
      </c>
      <c r="AY73" t="s">
        <v>544</v>
      </c>
      <c r="AZ73" t="s">
        <v>544</v>
      </c>
      <c r="BB73" t="s">
        <v>591</v>
      </c>
      <c r="BC73" t="s">
        <v>591</v>
      </c>
      <c r="BD73" t="s">
        <v>591</v>
      </c>
      <c r="BE73" t="s">
        <v>544</v>
      </c>
      <c r="BF73" t="s">
        <v>544</v>
      </c>
      <c r="BG73" t="s">
        <v>544</v>
      </c>
      <c r="BH73" t="s">
        <v>544</v>
      </c>
      <c r="BI73" t="s">
        <v>544</v>
      </c>
      <c r="BJ73" t="s">
        <v>544</v>
      </c>
      <c r="BK73" t="s">
        <v>544</v>
      </c>
      <c r="BL73" t="s">
        <v>544</v>
      </c>
      <c r="BM73" t="s">
        <v>544</v>
      </c>
      <c r="BN73" t="s">
        <v>544</v>
      </c>
      <c r="BO73" t="s">
        <v>544</v>
      </c>
      <c r="BP73" t="s">
        <v>544</v>
      </c>
      <c r="BQ73" t="s">
        <v>544</v>
      </c>
    </row>
    <row r="74" spans="1:69" x14ac:dyDescent="0.3">
      <c r="A74" t="s">
        <v>749</v>
      </c>
      <c r="B74" t="s">
        <v>539</v>
      </c>
      <c r="C74" t="s">
        <v>540</v>
      </c>
      <c r="D74" t="s">
        <v>541</v>
      </c>
      <c r="E74" t="s">
        <v>542</v>
      </c>
      <c r="F74" t="s">
        <v>543</v>
      </c>
      <c r="G74" t="s">
        <v>544</v>
      </c>
      <c r="H74" s="453"/>
      <c r="I74" t="s">
        <v>544</v>
      </c>
      <c r="J74">
        <v>2041</v>
      </c>
      <c r="K74" t="s">
        <v>545</v>
      </c>
      <c r="L74" t="s">
        <v>546</v>
      </c>
      <c r="M74" t="s">
        <v>547</v>
      </c>
      <c r="N74" t="s">
        <v>548</v>
      </c>
      <c r="O74" t="s">
        <v>544</v>
      </c>
      <c r="P74" t="s">
        <v>549</v>
      </c>
      <c r="Q74" t="s">
        <v>550</v>
      </c>
      <c r="R74" t="s">
        <v>544</v>
      </c>
      <c r="S74" t="s">
        <v>551</v>
      </c>
      <c r="T74" t="s">
        <v>552</v>
      </c>
      <c r="U74" t="s">
        <v>553</v>
      </c>
      <c r="V74" t="s">
        <v>554</v>
      </c>
      <c r="W74" t="s">
        <v>374</v>
      </c>
      <c r="X74">
        <v>1.5</v>
      </c>
      <c r="Y74" t="s">
        <v>472</v>
      </c>
      <c r="Z74">
        <v>1.5</v>
      </c>
      <c r="AA74" t="s">
        <v>544</v>
      </c>
      <c r="AB74" t="s">
        <v>544</v>
      </c>
      <c r="AC74" t="s">
        <v>544</v>
      </c>
      <c r="AD74" t="s">
        <v>544</v>
      </c>
      <c r="AE74" t="s">
        <v>750</v>
      </c>
      <c r="AF74">
        <v>9.9764999999999997</v>
      </c>
      <c r="AG74">
        <v>1</v>
      </c>
      <c r="AH74" t="s">
        <v>544</v>
      </c>
      <c r="AI74" t="s">
        <v>544</v>
      </c>
      <c r="AJ74" t="s">
        <v>751</v>
      </c>
      <c r="AK74" t="s">
        <v>751</v>
      </c>
      <c r="AL74" t="s">
        <v>557</v>
      </c>
      <c r="AM74" t="s">
        <v>558</v>
      </c>
      <c r="AN74" t="s">
        <v>389</v>
      </c>
      <c r="AO74" t="s">
        <v>544</v>
      </c>
      <c r="AP74" t="s">
        <v>752</v>
      </c>
      <c r="AQ74" t="s">
        <v>560</v>
      </c>
      <c r="AR74" t="s">
        <v>561</v>
      </c>
      <c r="AS74" t="s">
        <v>544</v>
      </c>
      <c r="AT74" t="s">
        <v>562</v>
      </c>
      <c r="AU74" t="s">
        <v>544</v>
      </c>
      <c r="AV74" t="s">
        <v>544</v>
      </c>
      <c r="AW74" t="s">
        <v>544</v>
      </c>
      <c r="AY74" t="s">
        <v>544</v>
      </c>
      <c r="AZ74" t="s">
        <v>544</v>
      </c>
      <c r="BB74" t="s">
        <v>563</v>
      </c>
      <c r="BC74" t="s">
        <v>563</v>
      </c>
      <c r="BD74" t="s">
        <v>544</v>
      </c>
      <c r="BE74" t="s">
        <v>544</v>
      </c>
      <c r="BF74" t="s">
        <v>544</v>
      </c>
      <c r="BG74" t="s">
        <v>544</v>
      </c>
      <c r="BH74" t="s">
        <v>544</v>
      </c>
      <c r="BI74" t="s">
        <v>544</v>
      </c>
      <c r="BJ74" t="s">
        <v>544</v>
      </c>
      <c r="BK74" t="s">
        <v>544</v>
      </c>
      <c r="BL74" t="s">
        <v>544</v>
      </c>
      <c r="BM74" t="s">
        <v>544</v>
      </c>
      <c r="BN74" t="s">
        <v>544</v>
      </c>
      <c r="BO74" t="s">
        <v>544</v>
      </c>
      <c r="BP74" t="s">
        <v>544</v>
      </c>
      <c r="BQ74" t="s">
        <v>544</v>
      </c>
    </row>
    <row r="75" spans="1:69" x14ac:dyDescent="0.3">
      <c r="A75" t="s">
        <v>753</v>
      </c>
      <c r="B75" t="s">
        <v>539</v>
      </c>
      <c r="C75" t="s">
        <v>540</v>
      </c>
      <c r="D75" t="s">
        <v>541</v>
      </c>
      <c r="E75" t="s">
        <v>542</v>
      </c>
      <c r="F75" t="s">
        <v>543</v>
      </c>
      <c r="G75" t="s">
        <v>544</v>
      </c>
      <c r="H75" s="453"/>
      <c r="I75" t="s">
        <v>544</v>
      </c>
      <c r="J75">
        <v>2522</v>
      </c>
      <c r="K75" t="s">
        <v>585</v>
      </c>
      <c r="L75" t="s">
        <v>660</v>
      </c>
      <c r="M75" t="s">
        <v>547</v>
      </c>
      <c r="N75" t="s">
        <v>548</v>
      </c>
      <c r="O75" t="s">
        <v>544</v>
      </c>
      <c r="P75" t="s">
        <v>690</v>
      </c>
      <c r="Q75" t="s">
        <v>595</v>
      </c>
      <c r="R75" t="s">
        <v>544</v>
      </c>
      <c r="S75" t="s">
        <v>660</v>
      </c>
      <c r="T75" t="s">
        <v>552</v>
      </c>
      <c r="U75" t="s">
        <v>553</v>
      </c>
      <c r="V75" t="s">
        <v>554</v>
      </c>
      <c r="W75" t="s">
        <v>374</v>
      </c>
      <c r="X75">
        <v>1.5</v>
      </c>
      <c r="Y75" t="s">
        <v>472</v>
      </c>
      <c r="Z75">
        <v>1.5</v>
      </c>
      <c r="AA75" t="s">
        <v>544</v>
      </c>
      <c r="AB75" t="s">
        <v>544</v>
      </c>
      <c r="AC75" t="s">
        <v>544</v>
      </c>
      <c r="AD75" t="s">
        <v>544</v>
      </c>
      <c r="AE75" t="s">
        <v>544</v>
      </c>
      <c r="AG75">
        <v>1</v>
      </c>
      <c r="AH75" t="s">
        <v>544</v>
      </c>
      <c r="AI75" t="s">
        <v>544</v>
      </c>
      <c r="AJ75" t="s">
        <v>544</v>
      </c>
      <c r="AK75" t="s">
        <v>544</v>
      </c>
      <c r="AL75" t="s">
        <v>557</v>
      </c>
      <c r="AM75" t="s">
        <v>558</v>
      </c>
      <c r="AN75" t="s">
        <v>544</v>
      </c>
      <c r="AO75" t="s">
        <v>544</v>
      </c>
      <c r="AP75" t="s">
        <v>544</v>
      </c>
      <c r="AQ75" t="s">
        <v>560</v>
      </c>
      <c r="AR75" t="s">
        <v>561</v>
      </c>
      <c r="AS75" t="s">
        <v>544</v>
      </c>
      <c r="AT75" t="s">
        <v>719</v>
      </c>
      <c r="AU75" t="s">
        <v>544</v>
      </c>
      <c r="AV75" t="s">
        <v>544</v>
      </c>
      <c r="AW75" t="s">
        <v>544</v>
      </c>
      <c r="AY75" t="s">
        <v>544</v>
      </c>
      <c r="AZ75" t="s">
        <v>544</v>
      </c>
      <c r="BB75" t="s">
        <v>693</v>
      </c>
      <c r="BC75" t="s">
        <v>692</v>
      </c>
      <c r="BD75" t="s">
        <v>544</v>
      </c>
      <c r="BE75" t="s">
        <v>544</v>
      </c>
      <c r="BF75" t="s">
        <v>544</v>
      </c>
      <c r="BG75" t="s">
        <v>544</v>
      </c>
      <c r="BH75" t="s">
        <v>544</v>
      </c>
      <c r="BI75" t="s">
        <v>544</v>
      </c>
      <c r="BJ75" t="s">
        <v>544</v>
      </c>
      <c r="BK75" t="s">
        <v>544</v>
      </c>
      <c r="BL75" t="s">
        <v>544</v>
      </c>
      <c r="BM75" t="s">
        <v>544</v>
      </c>
      <c r="BN75" t="s">
        <v>544</v>
      </c>
      <c r="BO75" t="s">
        <v>544</v>
      </c>
      <c r="BP75" t="s">
        <v>544</v>
      </c>
      <c r="BQ75" t="s">
        <v>544</v>
      </c>
    </row>
    <row r="76" spans="1:69" x14ac:dyDescent="0.3">
      <c r="A76" t="s">
        <v>754</v>
      </c>
      <c r="B76" t="s">
        <v>539</v>
      </c>
      <c r="C76" t="s">
        <v>540</v>
      </c>
      <c r="D76" t="s">
        <v>541</v>
      </c>
      <c r="E76" t="s">
        <v>542</v>
      </c>
      <c r="F76" t="s">
        <v>543</v>
      </c>
      <c r="G76" t="s">
        <v>544</v>
      </c>
      <c r="H76" s="453"/>
      <c r="I76" t="s">
        <v>544</v>
      </c>
      <c r="J76">
        <v>2041</v>
      </c>
      <c r="K76" t="s">
        <v>545</v>
      </c>
      <c r="L76" t="s">
        <v>546</v>
      </c>
      <c r="M76" t="s">
        <v>547</v>
      </c>
      <c r="N76" t="s">
        <v>548</v>
      </c>
      <c r="O76" t="s">
        <v>544</v>
      </c>
      <c r="P76" t="s">
        <v>549</v>
      </c>
      <c r="Q76" t="s">
        <v>550</v>
      </c>
      <c r="R76" t="s">
        <v>544</v>
      </c>
      <c r="S76" t="s">
        <v>551</v>
      </c>
      <c r="T76" t="s">
        <v>552</v>
      </c>
      <c r="U76" t="s">
        <v>553</v>
      </c>
      <c r="V76" t="s">
        <v>554</v>
      </c>
      <c r="W76" t="s">
        <v>374</v>
      </c>
      <c r="X76">
        <v>1.5</v>
      </c>
      <c r="Y76" t="s">
        <v>472</v>
      </c>
      <c r="Z76">
        <v>1.5</v>
      </c>
      <c r="AA76" t="s">
        <v>544</v>
      </c>
      <c r="AB76" t="s">
        <v>544</v>
      </c>
      <c r="AC76" t="s">
        <v>544</v>
      </c>
      <c r="AD76" t="s">
        <v>544</v>
      </c>
      <c r="AE76" t="s">
        <v>755</v>
      </c>
      <c r="AF76">
        <v>0.49070000000000003</v>
      </c>
      <c r="AG76">
        <v>1</v>
      </c>
      <c r="AH76" t="s">
        <v>544</v>
      </c>
      <c r="AI76" t="s">
        <v>544</v>
      </c>
      <c r="AJ76" t="s">
        <v>756</v>
      </c>
      <c r="AK76" t="s">
        <v>756</v>
      </c>
      <c r="AL76" t="s">
        <v>557</v>
      </c>
      <c r="AM76" t="s">
        <v>558</v>
      </c>
      <c r="AN76" t="s">
        <v>389</v>
      </c>
      <c r="AO76" t="s">
        <v>544</v>
      </c>
      <c r="AP76" t="s">
        <v>757</v>
      </c>
      <c r="AQ76" t="s">
        <v>560</v>
      </c>
      <c r="AR76" t="s">
        <v>561</v>
      </c>
      <c r="AS76" t="s">
        <v>544</v>
      </c>
      <c r="AT76" t="s">
        <v>562</v>
      </c>
      <c r="AU76" t="s">
        <v>544</v>
      </c>
      <c r="AV76" t="s">
        <v>544</v>
      </c>
      <c r="AW76" t="s">
        <v>544</v>
      </c>
      <c r="AY76" t="s">
        <v>544</v>
      </c>
      <c r="AZ76" t="s">
        <v>544</v>
      </c>
      <c r="BB76" t="s">
        <v>563</v>
      </c>
      <c r="BC76" t="s">
        <v>563</v>
      </c>
      <c r="BD76" t="s">
        <v>544</v>
      </c>
      <c r="BE76" t="s">
        <v>544</v>
      </c>
      <c r="BF76" t="s">
        <v>544</v>
      </c>
      <c r="BG76" t="s">
        <v>544</v>
      </c>
      <c r="BH76" t="s">
        <v>544</v>
      </c>
      <c r="BI76" t="s">
        <v>544</v>
      </c>
      <c r="BJ76" t="s">
        <v>544</v>
      </c>
      <c r="BK76" t="s">
        <v>544</v>
      </c>
      <c r="BL76" t="s">
        <v>544</v>
      </c>
      <c r="BM76" t="s">
        <v>544</v>
      </c>
      <c r="BN76" t="s">
        <v>544</v>
      </c>
      <c r="BO76" t="s">
        <v>544</v>
      </c>
      <c r="BP76" t="s">
        <v>544</v>
      </c>
      <c r="BQ76" t="s">
        <v>544</v>
      </c>
    </row>
    <row r="77" spans="1:69" x14ac:dyDescent="0.3">
      <c r="A77" t="s">
        <v>758</v>
      </c>
      <c r="B77" t="s">
        <v>539</v>
      </c>
      <c r="C77" t="s">
        <v>540</v>
      </c>
      <c r="D77" t="s">
        <v>541</v>
      </c>
      <c r="E77" t="s">
        <v>542</v>
      </c>
      <c r="F77" t="s">
        <v>543</v>
      </c>
      <c r="G77" t="s">
        <v>544</v>
      </c>
      <c r="H77" s="453"/>
      <c r="I77" t="s">
        <v>544</v>
      </c>
      <c r="J77">
        <v>2522</v>
      </c>
      <c r="K77" t="s">
        <v>585</v>
      </c>
      <c r="L77" t="s">
        <v>660</v>
      </c>
      <c r="M77" t="s">
        <v>547</v>
      </c>
      <c r="N77" t="s">
        <v>548</v>
      </c>
      <c r="O77" t="s">
        <v>544</v>
      </c>
      <c r="P77" t="s">
        <v>690</v>
      </c>
      <c r="Q77" t="s">
        <v>595</v>
      </c>
      <c r="R77" t="s">
        <v>544</v>
      </c>
      <c r="S77" t="s">
        <v>660</v>
      </c>
      <c r="T77" t="s">
        <v>552</v>
      </c>
      <c r="U77" t="s">
        <v>553</v>
      </c>
      <c r="V77" t="s">
        <v>554</v>
      </c>
      <c r="W77" t="s">
        <v>374</v>
      </c>
      <c r="X77">
        <v>1.5</v>
      </c>
      <c r="Y77" t="s">
        <v>472</v>
      </c>
      <c r="Z77">
        <v>1.5</v>
      </c>
      <c r="AA77" t="s">
        <v>544</v>
      </c>
      <c r="AB77" t="s">
        <v>544</v>
      </c>
      <c r="AC77" t="s">
        <v>544</v>
      </c>
      <c r="AD77" t="s">
        <v>544</v>
      </c>
      <c r="AE77" t="s">
        <v>544</v>
      </c>
      <c r="AG77">
        <v>1</v>
      </c>
      <c r="AH77" t="s">
        <v>544</v>
      </c>
      <c r="AI77" t="s">
        <v>544</v>
      </c>
      <c r="AJ77" t="s">
        <v>544</v>
      </c>
      <c r="AK77" t="s">
        <v>544</v>
      </c>
      <c r="AL77" t="s">
        <v>557</v>
      </c>
      <c r="AM77" t="s">
        <v>558</v>
      </c>
      <c r="AN77" t="s">
        <v>544</v>
      </c>
      <c r="AO77" t="s">
        <v>544</v>
      </c>
      <c r="AP77" t="s">
        <v>544</v>
      </c>
      <c r="AQ77" t="s">
        <v>560</v>
      </c>
      <c r="AR77" t="s">
        <v>561</v>
      </c>
      <c r="AS77" t="s">
        <v>544</v>
      </c>
      <c r="AT77" t="s">
        <v>719</v>
      </c>
      <c r="AU77" t="s">
        <v>544</v>
      </c>
      <c r="AV77" t="s">
        <v>544</v>
      </c>
      <c r="AW77" t="s">
        <v>544</v>
      </c>
      <c r="AY77" t="s">
        <v>544</v>
      </c>
      <c r="AZ77" t="s">
        <v>544</v>
      </c>
      <c r="BB77" t="s">
        <v>693</v>
      </c>
      <c r="BC77" t="s">
        <v>692</v>
      </c>
      <c r="BD77" t="s">
        <v>544</v>
      </c>
      <c r="BE77" t="s">
        <v>544</v>
      </c>
      <c r="BF77" t="s">
        <v>544</v>
      </c>
      <c r="BG77" t="s">
        <v>544</v>
      </c>
      <c r="BH77" t="s">
        <v>544</v>
      </c>
      <c r="BI77" t="s">
        <v>544</v>
      </c>
      <c r="BJ77" t="s">
        <v>544</v>
      </c>
      <c r="BK77" t="s">
        <v>544</v>
      </c>
      <c r="BL77" t="s">
        <v>544</v>
      </c>
      <c r="BM77" t="s">
        <v>544</v>
      </c>
      <c r="BN77" t="s">
        <v>544</v>
      </c>
      <c r="BO77" t="s">
        <v>544</v>
      </c>
      <c r="BP77" t="s">
        <v>544</v>
      </c>
      <c r="BQ77" t="s">
        <v>544</v>
      </c>
    </row>
    <row r="78" spans="1:69" x14ac:dyDescent="0.3">
      <c r="A78" t="s">
        <v>759</v>
      </c>
      <c r="B78" t="s">
        <v>539</v>
      </c>
      <c r="C78" t="s">
        <v>540</v>
      </c>
      <c r="D78" t="s">
        <v>541</v>
      </c>
      <c r="E78" t="s">
        <v>542</v>
      </c>
      <c r="F78" t="s">
        <v>543</v>
      </c>
      <c r="G78" t="s">
        <v>544</v>
      </c>
      <c r="H78" s="453"/>
      <c r="I78" t="s">
        <v>544</v>
      </c>
      <c r="J78">
        <v>2523</v>
      </c>
      <c r="K78" t="s">
        <v>585</v>
      </c>
      <c r="L78" t="s">
        <v>546</v>
      </c>
      <c r="M78" t="s">
        <v>547</v>
      </c>
      <c r="N78" t="s">
        <v>548</v>
      </c>
      <c r="O78" t="s">
        <v>544</v>
      </c>
      <c r="P78" t="s">
        <v>619</v>
      </c>
      <c r="Q78" t="s">
        <v>550</v>
      </c>
      <c r="R78" t="s">
        <v>596</v>
      </c>
      <c r="S78" t="s">
        <v>588</v>
      </c>
      <c r="T78" t="s">
        <v>552</v>
      </c>
      <c r="U78" t="s">
        <v>553</v>
      </c>
      <c r="V78" t="s">
        <v>554</v>
      </c>
      <c r="W78" t="s">
        <v>374</v>
      </c>
      <c r="X78">
        <v>1.5</v>
      </c>
      <c r="Y78" t="s">
        <v>472</v>
      </c>
      <c r="Z78">
        <v>1.5</v>
      </c>
      <c r="AA78" t="s">
        <v>544</v>
      </c>
      <c r="AB78" t="s">
        <v>544</v>
      </c>
      <c r="AC78" t="s">
        <v>544</v>
      </c>
      <c r="AD78" t="s">
        <v>544</v>
      </c>
      <c r="AE78" t="s">
        <v>544</v>
      </c>
      <c r="AG78">
        <v>1</v>
      </c>
      <c r="AH78" t="s">
        <v>544</v>
      </c>
      <c r="AI78" t="s">
        <v>544</v>
      </c>
      <c r="AJ78" t="s">
        <v>756</v>
      </c>
      <c r="AK78" t="s">
        <v>756</v>
      </c>
      <c r="AL78" t="s">
        <v>557</v>
      </c>
      <c r="AM78" t="s">
        <v>558</v>
      </c>
      <c r="AN78" t="s">
        <v>391</v>
      </c>
      <c r="AO78" t="s">
        <v>544</v>
      </c>
      <c r="AP78" t="s">
        <v>620</v>
      </c>
      <c r="AQ78" t="s">
        <v>560</v>
      </c>
      <c r="AR78" t="s">
        <v>561</v>
      </c>
      <c r="AS78" t="s">
        <v>544</v>
      </c>
      <c r="AT78" t="s">
        <v>621</v>
      </c>
      <c r="AU78" t="s">
        <v>544</v>
      </c>
      <c r="AV78" t="s">
        <v>544</v>
      </c>
      <c r="AW78" t="s">
        <v>544</v>
      </c>
      <c r="AY78" t="s">
        <v>544</v>
      </c>
      <c r="AZ78" t="s">
        <v>544</v>
      </c>
      <c r="BB78" t="s">
        <v>591</v>
      </c>
      <c r="BC78" t="s">
        <v>591</v>
      </c>
      <c r="BD78" t="s">
        <v>544</v>
      </c>
      <c r="BE78" t="s">
        <v>544</v>
      </c>
      <c r="BF78" t="s">
        <v>544</v>
      </c>
      <c r="BG78" t="s">
        <v>544</v>
      </c>
      <c r="BH78" t="s">
        <v>544</v>
      </c>
      <c r="BI78" t="s">
        <v>544</v>
      </c>
      <c r="BJ78" t="s">
        <v>544</v>
      </c>
      <c r="BK78" t="s">
        <v>544</v>
      </c>
      <c r="BL78" t="s">
        <v>544</v>
      </c>
      <c r="BM78" t="s">
        <v>544</v>
      </c>
      <c r="BN78" t="s">
        <v>544</v>
      </c>
      <c r="BO78" t="s">
        <v>544</v>
      </c>
      <c r="BP78" t="s">
        <v>544</v>
      </c>
      <c r="BQ78" t="s">
        <v>544</v>
      </c>
    </row>
    <row r="79" spans="1:69" x14ac:dyDescent="0.3">
      <c r="A79" t="s">
        <v>760</v>
      </c>
      <c r="B79" t="s">
        <v>539</v>
      </c>
      <c r="C79" t="s">
        <v>540</v>
      </c>
      <c r="D79" t="s">
        <v>541</v>
      </c>
      <c r="E79" t="s">
        <v>542</v>
      </c>
      <c r="F79" t="s">
        <v>543</v>
      </c>
      <c r="G79" t="s">
        <v>544</v>
      </c>
      <c r="H79" s="453"/>
      <c r="I79" t="s">
        <v>544</v>
      </c>
      <c r="J79">
        <v>2522</v>
      </c>
      <c r="K79" t="s">
        <v>585</v>
      </c>
      <c r="L79" t="s">
        <v>660</v>
      </c>
      <c r="M79" t="s">
        <v>547</v>
      </c>
      <c r="N79" t="s">
        <v>548</v>
      </c>
      <c r="O79" t="s">
        <v>544</v>
      </c>
      <c r="P79" t="s">
        <v>690</v>
      </c>
      <c r="Q79" t="s">
        <v>595</v>
      </c>
      <c r="R79" t="s">
        <v>544</v>
      </c>
      <c r="S79" t="s">
        <v>660</v>
      </c>
      <c r="T79" t="s">
        <v>552</v>
      </c>
      <c r="U79" t="s">
        <v>553</v>
      </c>
      <c r="V79" t="s">
        <v>554</v>
      </c>
      <c r="W79" t="s">
        <v>374</v>
      </c>
      <c r="X79">
        <v>1.5</v>
      </c>
      <c r="Y79" t="s">
        <v>472</v>
      </c>
      <c r="Z79">
        <v>1.5</v>
      </c>
      <c r="AA79" t="s">
        <v>544</v>
      </c>
      <c r="AB79" t="s">
        <v>544</v>
      </c>
      <c r="AC79" t="s">
        <v>544</v>
      </c>
      <c r="AD79" t="s">
        <v>544</v>
      </c>
      <c r="AE79" t="s">
        <v>544</v>
      </c>
      <c r="AG79">
        <v>1</v>
      </c>
      <c r="AH79" t="s">
        <v>544</v>
      </c>
      <c r="AI79" t="s">
        <v>544</v>
      </c>
      <c r="AJ79" t="s">
        <v>756</v>
      </c>
      <c r="AK79" t="s">
        <v>756</v>
      </c>
      <c r="AL79" t="s">
        <v>557</v>
      </c>
      <c r="AM79" t="s">
        <v>558</v>
      </c>
      <c r="AN79" t="s">
        <v>544</v>
      </c>
      <c r="AO79" t="s">
        <v>544</v>
      </c>
      <c r="AP79" t="s">
        <v>544</v>
      </c>
      <c r="AQ79" t="s">
        <v>560</v>
      </c>
      <c r="AR79" t="s">
        <v>561</v>
      </c>
      <c r="AS79" t="s">
        <v>544</v>
      </c>
      <c r="AT79" t="s">
        <v>719</v>
      </c>
      <c r="AU79" t="s">
        <v>544</v>
      </c>
      <c r="AV79" t="s">
        <v>544</v>
      </c>
      <c r="AW79" t="s">
        <v>544</v>
      </c>
      <c r="AY79" t="s">
        <v>544</v>
      </c>
      <c r="AZ79" t="s">
        <v>544</v>
      </c>
      <c r="BB79" t="s">
        <v>692</v>
      </c>
      <c r="BC79" t="s">
        <v>693</v>
      </c>
      <c r="BD79" t="s">
        <v>544</v>
      </c>
      <c r="BE79" t="s">
        <v>544</v>
      </c>
      <c r="BF79" t="s">
        <v>544</v>
      </c>
      <c r="BG79" t="s">
        <v>544</v>
      </c>
      <c r="BH79" t="s">
        <v>544</v>
      </c>
      <c r="BI79" t="s">
        <v>544</v>
      </c>
      <c r="BJ79" t="s">
        <v>544</v>
      </c>
      <c r="BK79" t="s">
        <v>544</v>
      </c>
      <c r="BL79" t="s">
        <v>544</v>
      </c>
      <c r="BM79" t="s">
        <v>544</v>
      </c>
      <c r="BN79" t="s">
        <v>544</v>
      </c>
      <c r="BO79" t="s">
        <v>544</v>
      </c>
      <c r="BP79" t="s">
        <v>544</v>
      </c>
      <c r="BQ79" t="s">
        <v>544</v>
      </c>
    </row>
    <row r="80" spans="1:69" x14ac:dyDescent="0.3">
      <c r="A80" t="s">
        <v>761</v>
      </c>
      <c r="B80" t="s">
        <v>539</v>
      </c>
      <c r="C80" t="s">
        <v>540</v>
      </c>
      <c r="D80" t="s">
        <v>541</v>
      </c>
      <c r="E80" t="s">
        <v>542</v>
      </c>
      <c r="F80" t="s">
        <v>543</v>
      </c>
      <c r="G80" t="s">
        <v>544</v>
      </c>
      <c r="H80" s="453"/>
      <c r="I80" t="s">
        <v>544</v>
      </c>
      <c r="J80">
        <v>2041</v>
      </c>
      <c r="K80" t="s">
        <v>545</v>
      </c>
      <c r="L80" t="s">
        <v>546</v>
      </c>
      <c r="M80" t="s">
        <v>547</v>
      </c>
      <c r="N80" t="s">
        <v>548</v>
      </c>
      <c r="O80" t="s">
        <v>544</v>
      </c>
      <c r="P80" t="s">
        <v>549</v>
      </c>
      <c r="Q80" t="s">
        <v>550</v>
      </c>
      <c r="R80" t="s">
        <v>544</v>
      </c>
      <c r="S80" t="s">
        <v>551</v>
      </c>
      <c r="T80" t="s">
        <v>552</v>
      </c>
      <c r="U80" t="s">
        <v>553</v>
      </c>
      <c r="V80" t="s">
        <v>554</v>
      </c>
      <c r="W80" t="s">
        <v>374</v>
      </c>
      <c r="X80">
        <v>1.5</v>
      </c>
      <c r="Y80" t="s">
        <v>472</v>
      </c>
      <c r="Z80">
        <v>1.5</v>
      </c>
      <c r="AA80" t="s">
        <v>544</v>
      </c>
      <c r="AB80" t="s">
        <v>544</v>
      </c>
      <c r="AC80" t="s">
        <v>544</v>
      </c>
      <c r="AD80" t="s">
        <v>544</v>
      </c>
      <c r="AE80" t="s">
        <v>762</v>
      </c>
      <c r="AF80">
        <v>2.5764</v>
      </c>
      <c r="AG80">
        <v>1</v>
      </c>
      <c r="AH80" t="s">
        <v>544</v>
      </c>
      <c r="AI80" t="s">
        <v>544</v>
      </c>
      <c r="AJ80" t="s">
        <v>756</v>
      </c>
      <c r="AK80" t="s">
        <v>756</v>
      </c>
      <c r="AL80" t="s">
        <v>557</v>
      </c>
      <c r="AM80" t="s">
        <v>558</v>
      </c>
      <c r="AN80" t="s">
        <v>390</v>
      </c>
      <c r="AO80" t="s">
        <v>544</v>
      </c>
      <c r="AP80" t="s">
        <v>763</v>
      </c>
      <c r="AQ80" t="s">
        <v>560</v>
      </c>
      <c r="AR80" t="s">
        <v>561</v>
      </c>
      <c r="AS80" t="s">
        <v>544</v>
      </c>
      <c r="AT80" t="s">
        <v>562</v>
      </c>
      <c r="AU80" t="s">
        <v>544</v>
      </c>
      <c r="AV80" t="s">
        <v>544</v>
      </c>
      <c r="AW80" t="s">
        <v>544</v>
      </c>
      <c r="AY80" t="s">
        <v>544</v>
      </c>
      <c r="AZ80" t="s">
        <v>544</v>
      </c>
      <c r="BB80" t="s">
        <v>563</v>
      </c>
      <c r="BC80" t="s">
        <v>563</v>
      </c>
      <c r="BD80" t="s">
        <v>544</v>
      </c>
      <c r="BE80" t="s">
        <v>544</v>
      </c>
      <c r="BF80" t="s">
        <v>544</v>
      </c>
      <c r="BG80" t="s">
        <v>544</v>
      </c>
      <c r="BH80" t="s">
        <v>544</v>
      </c>
      <c r="BI80" t="s">
        <v>544</v>
      </c>
      <c r="BJ80" t="s">
        <v>544</v>
      </c>
      <c r="BK80" t="s">
        <v>544</v>
      </c>
      <c r="BL80" t="s">
        <v>544</v>
      </c>
      <c r="BM80" t="s">
        <v>544</v>
      </c>
      <c r="BN80" t="s">
        <v>544</v>
      </c>
      <c r="BO80" t="s">
        <v>544</v>
      </c>
      <c r="BP80" t="s">
        <v>544</v>
      </c>
      <c r="BQ80" t="s">
        <v>544</v>
      </c>
    </row>
    <row r="81" spans="1:69" x14ac:dyDescent="0.3">
      <c r="A81" t="s">
        <v>764</v>
      </c>
      <c r="B81" t="s">
        <v>539</v>
      </c>
      <c r="C81" t="s">
        <v>540</v>
      </c>
      <c r="D81" t="s">
        <v>541</v>
      </c>
      <c r="E81" t="s">
        <v>542</v>
      </c>
      <c r="F81" t="s">
        <v>543</v>
      </c>
      <c r="G81" t="s">
        <v>544</v>
      </c>
      <c r="H81" s="453"/>
      <c r="I81" t="s">
        <v>544</v>
      </c>
      <c r="J81">
        <v>2522</v>
      </c>
      <c r="K81" t="s">
        <v>585</v>
      </c>
      <c r="L81" t="s">
        <v>660</v>
      </c>
      <c r="M81" t="s">
        <v>547</v>
      </c>
      <c r="N81" t="s">
        <v>548</v>
      </c>
      <c r="O81" t="s">
        <v>544</v>
      </c>
      <c r="P81" t="s">
        <v>690</v>
      </c>
      <c r="Q81" t="s">
        <v>595</v>
      </c>
      <c r="R81" t="s">
        <v>544</v>
      </c>
      <c r="S81" t="s">
        <v>660</v>
      </c>
      <c r="T81" t="s">
        <v>552</v>
      </c>
      <c r="U81" t="s">
        <v>553</v>
      </c>
      <c r="V81" t="s">
        <v>554</v>
      </c>
      <c r="W81" t="s">
        <v>374</v>
      </c>
      <c r="X81">
        <v>1.5</v>
      </c>
      <c r="Y81" t="s">
        <v>472</v>
      </c>
      <c r="Z81">
        <v>1.5</v>
      </c>
      <c r="AA81" t="s">
        <v>544</v>
      </c>
      <c r="AB81" t="s">
        <v>544</v>
      </c>
      <c r="AC81" t="s">
        <v>544</v>
      </c>
      <c r="AD81" t="s">
        <v>544</v>
      </c>
      <c r="AE81" t="s">
        <v>544</v>
      </c>
      <c r="AG81">
        <v>1</v>
      </c>
      <c r="AH81" t="s">
        <v>544</v>
      </c>
      <c r="AI81" t="s">
        <v>544</v>
      </c>
      <c r="AJ81" t="s">
        <v>756</v>
      </c>
      <c r="AK81" t="s">
        <v>756</v>
      </c>
      <c r="AL81" t="s">
        <v>557</v>
      </c>
      <c r="AM81" t="s">
        <v>558</v>
      </c>
      <c r="AN81" t="s">
        <v>544</v>
      </c>
      <c r="AO81" t="s">
        <v>544</v>
      </c>
      <c r="AP81" t="s">
        <v>544</v>
      </c>
      <c r="AQ81" t="s">
        <v>560</v>
      </c>
      <c r="AR81" t="s">
        <v>561</v>
      </c>
      <c r="AS81" t="s">
        <v>544</v>
      </c>
      <c r="AT81" t="s">
        <v>719</v>
      </c>
      <c r="AU81" t="s">
        <v>544</v>
      </c>
      <c r="AV81" t="s">
        <v>544</v>
      </c>
      <c r="AW81" t="s">
        <v>544</v>
      </c>
      <c r="AY81" t="s">
        <v>544</v>
      </c>
      <c r="AZ81" t="s">
        <v>544</v>
      </c>
      <c r="BB81" t="s">
        <v>692</v>
      </c>
      <c r="BC81" t="s">
        <v>693</v>
      </c>
      <c r="BD81" t="s">
        <v>544</v>
      </c>
      <c r="BE81" t="s">
        <v>544</v>
      </c>
      <c r="BF81" t="s">
        <v>544</v>
      </c>
      <c r="BG81" t="s">
        <v>544</v>
      </c>
      <c r="BH81" t="s">
        <v>544</v>
      </c>
      <c r="BI81" t="s">
        <v>544</v>
      </c>
      <c r="BJ81" t="s">
        <v>544</v>
      </c>
      <c r="BK81" t="s">
        <v>544</v>
      </c>
      <c r="BL81" t="s">
        <v>544</v>
      </c>
      <c r="BM81" t="s">
        <v>544</v>
      </c>
      <c r="BN81" t="s">
        <v>544</v>
      </c>
      <c r="BO81" t="s">
        <v>544</v>
      </c>
      <c r="BP81" t="s">
        <v>544</v>
      </c>
      <c r="BQ81" t="s">
        <v>544</v>
      </c>
    </row>
    <row r="82" spans="1:69" x14ac:dyDescent="0.3">
      <c r="A82" t="s">
        <v>765</v>
      </c>
      <c r="B82" t="s">
        <v>539</v>
      </c>
      <c r="C82" t="s">
        <v>540</v>
      </c>
      <c r="D82" t="s">
        <v>541</v>
      </c>
      <c r="E82" t="s">
        <v>542</v>
      </c>
      <c r="F82" t="s">
        <v>543</v>
      </c>
      <c r="G82" t="s">
        <v>544</v>
      </c>
      <c r="H82" s="453"/>
      <c r="I82" t="s">
        <v>544</v>
      </c>
      <c r="J82">
        <v>2522</v>
      </c>
      <c r="K82" t="s">
        <v>585</v>
      </c>
      <c r="L82" t="s">
        <v>660</v>
      </c>
      <c r="M82" t="s">
        <v>547</v>
      </c>
      <c r="N82" t="s">
        <v>548</v>
      </c>
      <c r="O82" t="s">
        <v>544</v>
      </c>
      <c r="P82" t="s">
        <v>690</v>
      </c>
      <c r="Q82" t="s">
        <v>595</v>
      </c>
      <c r="R82" t="s">
        <v>544</v>
      </c>
      <c r="S82" t="s">
        <v>660</v>
      </c>
      <c r="T82" t="s">
        <v>552</v>
      </c>
      <c r="U82" t="s">
        <v>553</v>
      </c>
      <c r="V82" t="s">
        <v>554</v>
      </c>
      <c r="W82" t="s">
        <v>374</v>
      </c>
      <c r="X82">
        <v>1.5</v>
      </c>
      <c r="Y82" t="s">
        <v>472</v>
      </c>
      <c r="Z82">
        <v>1.5</v>
      </c>
      <c r="AA82" t="s">
        <v>544</v>
      </c>
      <c r="AB82" t="s">
        <v>544</v>
      </c>
      <c r="AC82" t="s">
        <v>544</v>
      </c>
      <c r="AD82" t="s">
        <v>544</v>
      </c>
      <c r="AE82" t="s">
        <v>544</v>
      </c>
      <c r="AG82">
        <v>1</v>
      </c>
      <c r="AH82" t="s">
        <v>544</v>
      </c>
      <c r="AI82" t="s">
        <v>544</v>
      </c>
      <c r="AJ82" t="s">
        <v>566</v>
      </c>
      <c r="AK82" t="s">
        <v>566</v>
      </c>
      <c r="AL82" t="s">
        <v>557</v>
      </c>
      <c r="AM82" t="s">
        <v>558</v>
      </c>
      <c r="AN82" t="s">
        <v>544</v>
      </c>
      <c r="AO82" t="s">
        <v>544</v>
      </c>
      <c r="AP82" t="s">
        <v>544</v>
      </c>
      <c r="AQ82" t="s">
        <v>560</v>
      </c>
      <c r="AR82" t="s">
        <v>561</v>
      </c>
      <c r="AS82" t="s">
        <v>544</v>
      </c>
      <c r="AT82" t="s">
        <v>719</v>
      </c>
      <c r="AU82" t="s">
        <v>544</v>
      </c>
      <c r="AV82" t="s">
        <v>544</v>
      </c>
      <c r="AW82" t="s">
        <v>544</v>
      </c>
      <c r="AY82" t="s">
        <v>544</v>
      </c>
      <c r="AZ82" t="s">
        <v>544</v>
      </c>
      <c r="BB82" t="s">
        <v>692</v>
      </c>
      <c r="BC82" t="s">
        <v>693</v>
      </c>
      <c r="BD82" t="s">
        <v>544</v>
      </c>
      <c r="BE82" t="s">
        <v>544</v>
      </c>
      <c r="BF82" t="s">
        <v>544</v>
      </c>
      <c r="BG82" t="s">
        <v>544</v>
      </c>
      <c r="BH82" t="s">
        <v>544</v>
      </c>
      <c r="BI82" t="s">
        <v>544</v>
      </c>
      <c r="BJ82" t="s">
        <v>544</v>
      </c>
      <c r="BK82" t="s">
        <v>544</v>
      </c>
      <c r="BL82" t="s">
        <v>544</v>
      </c>
      <c r="BM82" t="s">
        <v>544</v>
      </c>
      <c r="BN82" t="s">
        <v>544</v>
      </c>
      <c r="BO82" t="s">
        <v>544</v>
      </c>
      <c r="BP82" t="s">
        <v>544</v>
      </c>
      <c r="BQ82" t="s">
        <v>544</v>
      </c>
    </row>
    <row r="83" spans="1:69" x14ac:dyDescent="0.3">
      <c r="A83" t="s">
        <v>766</v>
      </c>
      <c r="B83" t="s">
        <v>539</v>
      </c>
      <c r="C83" t="s">
        <v>540</v>
      </c>
      <c r="D83" t="s">
        <v>541</v>
      </c>
      <c r="E83" t="s">
        <v>542</v>
      </c>
      <c r="F83" t="s">
        <v>543</v>
      </c>
      <c r="G83" t="s">
        <v>544</v>
      </c>
      <c r="H83" s="453"/>
      <c r="I83" t="s">
        <v>544</v>
      </c>
      <c r="J83">
        <v>2522</v>
      </c>
      <c r="K83" t="s">
        <v>585</v>
      </c>
      <c r="L83" t="s">
        <v>660</v>
      </c>
      <c r="M83" t="s">
        <v>547</v>
      </c>
      <c r="N83" t="s">
        <v>548</v>
      </c>
      <c r="O83" t="s">
        <v>544</v>
      </c>
      <c r="P83" t="s">
        <v>690</v>
      </c>
      <c r="Q83" t="s">
        <v>595</v>
      </c>
      <c r="R83" t="s">
        <v>544</v>
      </c>
      <c r="S83" t="s">
        <v>660</v>
      </c>
      <c r="T83" t="s">
        <v>552</v>
      </c>
      <c r="U83" t="s">
        <v>553</v>
      </c>
      <c r="V83" t="s">
        <v>554</v>
      </c>
      <c r="W83" t="s">
        <v>373</v>
      </c>
      <c r="X83">
        <v>1.25</v>
      </c>
      <c r="Y83" t="s">
        <v>469</v>
      </c>
      <c r="Z83">
        <v>1.25</v>
      </c>
      <c r="AA83" t="s">
        <v>544</v>
      </c>
      <c r="AB83" t="s">
        <v>544</v>
      </c>
      <c r="AC83" t="s">
        <v>544</v>
      </c>
      <c r="AD83" t="s">
        <v>544</v>
      </c>
      <c r="AE83" t="s">
        <v>544</v>
      </c>
      <c r="AG83">
        <v>1</v>
      </c>
      <c r="AH83" t="s">
        <v>544</v>
      </c>
      <c r="AI83" t="s">
        <v>544</v>
      </c>
      <c r="AJ83" t="s">
        <v>544</v>
      </c>
      <c r="AK83" t="s">
        <v>544</v>
      </c>
      <c r="AL83" t="s">
        <v>557</v>
      </c>
      <c r="AM83" t="s">
        <v>558</v>
      </c>
      <c r="AN83" t="s">
        <v>544</v>
      </c>
      <c r="AO83" t="s">
        <v>544</v>
      </c>
      <c r="AP83" t="s">
        <v>544</v>
      </c>
      <c r="AQ83" t="s">
        <v>560</v>
      </c>
      <c r="AR83" t="s">
        <v>561</v>
      </c>
      <c r="AS83" t="s">
        <v>544</v>
      </c>
      <c r="AT83" t="s">
        <v>767</v>
      </c>
      <c r="AU83" t="s">
        <v>544</v>
      </c>
      <c r="AV83" t="s">
        <v>544</v>
      </c>
      <c r="AW83" t="s">
        <v>544</v>
      </c>
      <c r="AY83" t="s">
        <v>544</v>
      </c>
      <c r="AZ83" t="s">
        <v>544</v>
      </c>
      <c r="BB83" t="s">
        <v>692</v>
      </c>
      <c r="BC83" t="s">
        <v>693</v>
      </c>
      <c r="BD83" t="s">
        <v>544</v>
      </c>
      <c r="BE83" t="s">
        <v>544</v>
      </c>
      <c r="BF83" t="s">
        <v>544</v>
      </c>
      <c r="BG83" t="s">
        <v>544</v>
      </c>
      <c r="BH83" t="s">
        <v>544</v>
      </c>
      <c r="BI83" t="s">
        <v>544</v>
      </c>
      <c r="BJ83" t="s">
        <v>544</v>
      </c>
      <c r="BK83" t="s">
        <v>544</v>
      </c>
      <c r="BL83" t="s">
        <v>544</v>
      </c>
      <c r="BM83" t="s">
        <v>544</v>
      </c>
      <c r="BN83" t="s">
        <v>544</v>
      </c>
      <c r="BO83" t="s">
        <v>544</v>
      </c>
      <c r="BP83" t="s">
        <v>544</v>
      </c>
      <c r="BQ83" t="s">
        <v>544</v>
      </c>
    </row>
    <row r="84" spans="1:69" x14ac:dyDescent="0.3">
      <c r="A84" t="s">
        <v>768</v>
      </c>
      <c r="B84" t="s">
        <v>539</v>
      </c>
      <c r="C84" t="s">
        <v>540</v>
      </c>
      <c r="D84" t="s">
        <v>541</v>
      </c>
      <c r="E84" t="s">
        <v>542</v>
      </c>
      <c r="F84" t="s">
        <v>543</v>
      </c>
      <c r="G84" t="s">
        <v>544</v>
      </c>
      <c r="H84" s="453"/>
      <c r="I84" t="s">
        <v>544</v>
      </c>
      <c r="J84">
        <v>2522</v>
      </c>
      <c r="K84" t="s">
        <v>585</v>
      </c>
      <c r="L84" t="s">
        <v>660</v>
      </c>
      <c r="M84" t="s">
        <v>547</v>
      </c>
      <c r="N84" t="s">
        <v>548</v>
      </c>
      <c r="O84" t="s">
        <v>544</v>
      </c>
      <c r="P84" t="s">
        <v>690</v>
      </c>
      <c r="Q84" t="s">
        <v>595</v>
      </c>
      <c r="R84" t="s">
        <v>544</v>
      </c>
      <c r="S84" t="s">
        <v>660</v>
      </c>
      <c r="T84" t="s">
        <v>552</v>
      </c>
      <c r="U84" t="s">
        <v>553</v>
      </c>
      <c r="V84" t="s">
        <v>554</v>
      </c>
      <c r="W84" t="s">
        <v>374</v>
      </c>
      <c r="X84">
        <v>1.5</v>
      </c>
      <c r="Y84" t="s">
        <v>472</v>
      </c>
      <c r="Z84">
        <v>1.5</v>
      </c>
      <c r="AA84" t="s">
        <v>544</v>
      </c>
      <c r="AB84" t="s">
        <v>544</v>
      </c>
      <c r="AC84" t="s">
        <v>544</v>
      </c>
      <c r="AD84" t="s">
        <v>544</v>
      </c>
      <c r="AE84" t="s">
        <v>544</v>
      </c>
      <c r="AG84">
        <v>1</v>
      </c>
      <c r="AH84" t="s">
        <v>544</v>
      </c>
      <c r="AI84" t="s">
        <v>544</v>
      </c>
      <c r="AJ84" t="s">
        <v>566</v>
      </c>
      <c r="AK84" t="s">
        <v>566</v>
      </c>
      <c r="AL84" t="s">
        <v>557</v>
      </c>
      <c r="AM84" t="s">
        <v>558</v>
      </c>
      <c r="AN84" t="s">
        <v>544</v>
      </c>
      <c r="AO84" t="s">
        <v>544</v>
      </c>
      <c r="AP84" t="s">
        <v>544</v>
      </c>
      <c r="AQ84" t="s">
        <v>560</v>
      </c>
      <c r="AR84" t="s">
        <v>561</v>
      </c>
      <c r="AS84" t="s">
        <v>544</v>
      </c>
      <c r="AT84" t="s">
        <v>719</v>
      </c>
      <c r="AU84" t="s">
        <v>544</v>
      </c>
      <c r="AV84" t="s">
        <v>544</v>
      </c>
      <c r="AW84" t="s">
        <v>544</v>
      </c>
      <c r="AY84" t="s">
        <v>544</v>
      </c>
      <c r="AZ84" t="s">
        <v>544</v>
      </c>
      <c r="BB84" t="s">
        <v>693</v>
      </c>
      <c r="BC84" t="s">
        <v>692</v>
      </c>
      <c r="BD84" t="s">
        <v>544</v>
      </c>
      <c r="BE84" t="s">
        <v>544</v>
      </c>
      <c r="BF84" t="s">
        <v>544</v>
      </c>
      <c r="BG84" t="s">
        <v>544</v>
      </c>
      <c r="BH84" t="s">
        <v>544</v>
      </c>
      <c r="BI84" t="s">
        <v>544</v>
      </c>
      <c r="BJ84" t="s">
        <v>544</v>
      </c>
      <c r="BK84" t="s">
        <v>544</v>
      </c>
      <c r="BL84" t="s">
        <v>544</v>
      </c>
      <c r="BM84" t="s">
        <v>544</v>
      </c>
      <c r="BN84" t="s">
        <v>544</v>
      </c>
      <c r="BO84" t="s">
        <v>544</v>
      </c>
      <c r="BP84" t="s">
        <v>544</v>
      </c>
      <c r="BQ84" t="s">
        <v>544</v>
      </c>
    </row>
    <row r="85" spans="1:69" x14ac:dyDescent="0.3">
      <c r="A85" t="s">
        <v>769</v>
      </c>
      <c r="B85" t="s">
        <v>539</v>
      </c>
      <c r="C85" t="s">
        <v>540</v>
      </c>
      <c r="D85" t="s">
        <v>541</v>
      </c>
      <c r="E85" t="s">
        <v>542</v>
      </c>
      <c r="F85" t="s">
        <v>543</v>
      </c>
      <c r="G85" t="s">
        <v>544</v>
      </c>
      <c r="H85" s="453"/>
      <c r="I85" t="s">
        <v>544</v>
      </c>
      <c r="J85">
        <v>2522</v>
      </c>
      <c r="K85" t="s">
        <v>585</v>
      </c>
      <c r="L85" t="s">
        <v>660</v>
      </c>
      <c r="M85" t="s">
        <v>547</v>
      </c>
      <c r="N85" t="s">
        <v>548</v>
      </c>
      <c r="O85" t="s">
        <v>544</v>
      </c>
      <c r="P85" t="s">
        <v>690</v>
      </c>
      <c r="Q85" t="s">
        <v>595</v>
      </c>
      <c r="R85" t="s">
        <v>544</v>
      </c>
      <c r="S85" t="s">
        <v>660</v>
      </c>
      <c r="T85" t="s">
        <v>552</v>
      </c>
      <c r="U85" t="s">
        <v>553</v>
      </c>
      <c r="V85" t="s">
        <v>554</v>
      </c>
      <c r="W85" t="s">
        <v>374</v>
      </c>
      <c r="X85">
        <v>1.5</v>
      </c>
      <c r="Y85" t="s">
        <v>472</v>
      </c>
      <c r="Z85">
        <v>1.5</v>
      </c>
      <c r="AA85" t="s">
        <v>544</v>
      </c>
      <c r="AB85" t="s">
        <v>544</v>
      </c>
      <c r="AC85" t="s">
        <v>544</v>
      </c>
      <c r="AD85" t="s">
        <v>544</v>
      </c>
      <c r="AE85" t="s">
        <v>544</v>
      </c>
      <c r="AG85">
        <v>1</v>
      </c>
      <c r="AH85" t="s">
        <v>544</v>
      </c>
      <c r="AI85" t="s">
        <v>544</v>
      </c>
      <c r="AJ85" t="s">
        <v>673</v>
      </c>
      <c r="AK85" t="s">
        <v>673</v>
      </c>
      <c r="AL85" t="s">
        <v>557</v>
      </c>
      <c r="AM85" t="s">
        <v>558</v>
      </c>
      <c r="AN85" t="s">
        <v>544</v>
      </c>
      <c r="AO85" t="s">
        <v>544</v>
      </c>
      <c r="AP85" t="s">
        <v>544</v>
      </c>
      <c r="AQ85" t="s">
        <v>560</v>
      </c>
      <c r="AR85" t="s">
        <v>561</v>
      </c>
      <c r="AS85" t="s">
        <v>544</v>
      </c>
      <c r="AT85" t="s">
        <v>719</v>
      </c>
      <c r="AU85" t="s">
        <v>544</v>
      </c>
      <c r="AV85" t="s">
        <v>544</v>
      </c>
      <c r="AW85" t="s">
        <v>544</v>
      </c>
      <c r="AY85" t="s">
        <v>544</v>
      </c>
      <c r="AZ85" t="s">
        <v>544</v>
      </c>
      <c r="BB85" t="s">
        <v>692</v>
      </c>
      <c r="BC85" t="s">
        <v>693</v>
      </c>
      <c r="BD85" t="s">
        <v>544</v>
      </c>
      <c r="BE85" t="s">
        <v>544</v>
      </c>
      <c r="BF85" t="s">
        <v>544</v>
      </c>
      <c r="BG85" t="s">
        <v>544</v>
      </c>
      <c r="BH85" t="s">
        <v>544</v>
      </c>
      <c r="BI85" t="s">
        <v>544</v>
      </c>
      <c r="BJ85" t="s">
        <v>544</v>
      </c>
      <c r="BK85" t="s">
        <v>544</v>
      </c>
      <c r="BL85" t="s">
        <v>544</v>
      </c>
      <c r="BM85" t="s">
        <v>544</v>
      </c>
      <c r="BN85" t="s">
        <v>544</v>
      </c>
      <c r="BO85" t="s">
        <v>544</v>
      </c>
      <c r="BP85" t="s">
        <v>544</v>
      </c>
      <c r="BQ85" t="s">
        <v>544</v>
      </c>
    </row>
    <row r="86" spans="1:69" x14ac:dyDescent="0.3">
      <c r="A86" t="s">
        <v>770</v>
      </c>
      <c r="B86" t="s">
        <v>539</v>
      </c>
      <c r="C86" t="s">
        <v>540</v>
      </c>
      <c r="D86" t="s">
        <v>541</v>
      </c>
      <c r="E86" t="s">
        <v>542</v>
      </c>
      <c r="F86" t="s">
        <v>543</v>
      </c>
      <c r="G86" t="s">
        <v>544</v>
      </c>
      <c r="H86" s="453"/>
      <c r="I86" t="s">
        <v>544</v>
      </c>
      <c r="J86">
        <v>2522</v>
      </c>
      <c r="K86" t="s">
        <v>585</v>
      </c>
      <c r="L86" t="s">
        <v>660</v>
      </c>
      <c r="M86" t="s">
        <v>547</v>
      </c>
      <c r="N86" t="s">
        <v>548</v>
      </c>
      <c r="O86" t="s">
        <v>544</v>
      </c>
      <c r="P86" t="s">
        <v>690</v>
      </c>
      <c r="Q86" t="s">
        <v>595</v>
      </c>
      <c r="R86" t="s">
        <v>544</v>
      </c>
      <c r="S86" t="s">
        <v>660</v>
      </c>
      <c r="T86" t="s">
        <v>552</v>
      </c>
      <c r="U86" t="s">
        <v>553</v>
      </c>
      <c r="V86" t="s">
        <v>554</v>
      </c>
      <c r="W86" t="s">
        <v>374</v>
      </c>
      <c r="X86">
        <v>1.5</v>
      </c>
      <c r="Y86" t="s">
        <v>472</v>
      </c>
      <c r="Z86">
        <v>1.5</v>
      </c>
      <c r="AA86" t="s">
        <v>544</v>
      </c>
      <c r="AB86" t="s">
        <v>544</v>
      </c>
      <c r="AC86" t="s">
        <v>544</v>
      </c>
      <c r="AD86" t="s">
        <v>544</v>
      </c>
      <c r="AE86" t="s">
        <v>544</v>
      </c>
      <c r="AG86">
        <v>1</v>
      </c>
      <c r="AH86" t="s">
        <v>544</v>
      </c>
      <c r="AI86" t="s">
        <v>544</v>
      </c>
      <c r="AJ86" t="s">
        <v>556</v>
      </c>
      <c r="AK86" t="s">
        <v>556</v>
      </c>
      <c r="AL86" t="s">
        <v>557</v>
      </c>
      <c r="AM86" t="s">
        <v>558</v>
      </c>
      <c r="AN86" t="s">
        <v>544</v>
      </c>
      <c r="AO86" t="s">
        <v>544</v>
      </c>
      <c r="AP86" t="s">
        <v>544</v>
      </c>
      <c r="AQ86" t="s">
        <v>560</v>
      </c>
      <c r="AR86" t="s">
        <v>561</v>
      </c>
      <c r="AS86" t="s">
        <v>544</v>
      </c>
      <c r="AT86" t="s">
        <v>719</v>
      </c>
      <c r="AU86" t="s">
        <v>544</v>
      </c>
      <c r="AV86" t="s">
        <v>544</v>
      </c>
      <c r="AW86" t="s">
        <v>544</v>
      </c>
      <c r="AY86" t="s">
        <v>544</v>
      </c>
      <c r="AZ86" t="s">
        <v>544</v>
      </c>
      <c r="BB86" t="s">
        <v>693</v>
      </c>
      <c r="BC86" t="s">
        <v>692</v>
      </c>
      <c r="BD86" t="s">
        <v>544</v>
      </c>
      <c r="BE86" t="s">
        <v>544</v>
      </c>
      <c r="BF86" t="s">
        <v>544</v>
      </c>
      <c r="BG86" t="s">
        <v>544</v>
      </c>
      <c r="BH86" t="s">
        <v>544</v>
      </c>
      <c r="BI86" t="s">
        <v>544</v>
      </c>
      <c r="BJ86" t="s">
        <v>544</v>
      </c>
      <c r="BK86" t="s">
        <v>544</v>
      </c>
      <c r="BL86" t="s">
        <v>544</v>
      </c>
      <c r="BM86" t="s">
        <v>544</v>
      </c>
      <c r="BN86" t="s">
        <v>544</v>
      </c>
      <c r="BO86" t="s">
        <v>544</v>
      </c>
      <c r="BP86" t="s">
        <v>544</v>
      </c>
      <c r="BQ86" t="s">
        <v>544</v>
      </c>
    </row>
    <row r="87" spans="1:69" x14ac:dyDescent="0.3">
      <c r="A87" t="s">
        <v>771</v>
      </c>
      <c r="B87" t="s">
        <v>539</v>
      </c>
      <c r="C87" t="s">
        <v>540</v>
      </c>
      <c r="D87" t="s">
        <v>541</v>
      </c>
      <c r="E87" t="s">
        <v>542</v>
      </c>
      <c r="F87" t="s">
        <v>543</v>
      </c>
      <c r="G87" t="s">
        <v>544</v>
      </c>
      <c r="H87" s="453"/>
      <c r="I87" t="s">
        <v>544</v>
      </c>
      <c r="J87">
        <v>2522</v>
      </c>
      <c r="K87" t="s">
        <v>585</v>
      </c>
      <c r="L87" t="s">
        <v>660</v>
      </c>
      <c r="M87" t="s">
        <v>547</v>
      </c>
      <c r="N87" t="s">
        <v>548</v>
      </c>
      <c r="O87" t="s">
        <v>544</v>
      </c>
      <c r="P87" t="s">
        <v>690</v>
      </c>
      <c r="Q87" t="s">
        <v>595</v>
      </c>
      <c r="R87" t="s">
        <v>544</v>
      </c>
      <c r="S87" t="s">
        <v>660</v>
      </c>
      <c r="T87" t="s">
        <v>552</v>
      </c>
      <c r="U87" t="s">
        <v>553</v>
      </c>
      <c r="V87" t="s">
        <v>554</v>
      </c>
      <c r="W87" t="s">
        <v>374</v>
      </c>
      <c r="X87">
        <v>1.5</v>
      </c>
      <c r="Y87" t="s">
        <v>472</v>
      </c>
      <c r="Z87">
        <v>1.5</v>
      </c>
      <c r="AA87" t="s">
        <v>544</v>
      </c>
      <c r="AB87" t="s">
        <v>544</v>
      </c>
      <c r="AC87" t="s">
        <v>544</v>
      </c>
      <c r="AD87" t="s">
        <v>544</v>
      </c>
      <c r="AE87" t="s">
        <v>544</v>
      </c>
      <c r="AG87">
        <v>1</v>
      </c>
      <c r="AH87" t="s">
        <v>544</v>
      </c>
      <c r="AI87" t="s">
        <v>544</v>
      </c>
      <c r="AJ87" t="s">
        <v>566</v>
      </c>
      <c r="AK87" t="s">
        <v>566</v>
      </c>
      <c r="AL87" t="s">
        <v>557</v>
      </c>
      <c r="AM87" t="s">
        <v>558</v>
      </c>
      <c r="AN87" t="s">
        <v>544</v>
      </c>
      <c r="AO87" t="s">
        <v>544</v>
      </c>
      <c r="AP87" t="s">
        <v>544</v>
      </c>
      <c r="AQ87" t="s">
        <v>560</v>
      </c>
      <c r="AR87" t="s">
        <v>561</v>
      </c>
      <c r="AS87" t="s">
        <v>544</v>
      </c>
      <c r="AT87" t="s">
        <v>719</v>
      </c>
      <c r="AU87" t="s">
        <v>544</v>
      </c>
      <c r="AV87" t="s">
        <v>544</v>
      </c>
      <c r="AW87" t="s">
        <v>544</v>
      </c>
      <c r="AY87" t="s">
        <v>544</v>
      </c>
      <c r="AZ87" t="s">
        <v>544</v>
      </c>
      <c r="BB87" t="s">
        <v>692</v>
      </c>
      <c r="BC87" t="s">
        <v>693</v>
      </c>
      <c r="BD87" t="s">
        <v>544</v>
      </c>
      <c r="BE87" t="s">
        <v>544</v>
      </c>
      <c r="BF87" t="s">
        <v>544</v>
      </c>
      <c r="BG87" t="s">
        <v>544</v>
      </c>
      <c r="BH87" t="s">
        <v>544</v>
      </c>
      <c r="BI87" t="s">
        <v>544</v>
      </c>
      <c r="BJ87" t="s">
        <v>544</v>
      </c>
      <c r="BK87" t="s">
        <v>544</v>
      </c>
      <c r="BL87" t="s">
        <v>544</v>
      </c>
      <c r="BM87" t="s">
        <v>544</v>
      </c>
      <c r="BN87" t="s">
        <v>544</v>
      </c>
      <c r="BO87" t="s">
        <v>544</v>
      </c>
      <c r="BP87" t="s">
        <v>544</v>
      </c>
      <c r="BQ87" t="s">
        <v>544</v>
      </c>
    </row>
    <row r="88" spans="1:69" x14ac:dyDescent="0.3">
      <c r="A88" t="s">
        <v>772</v>
      </c>
      <c r="B88" t="s">
        <v>539</v>
      </c>
      <c r="C88" t="s">
        <v>540</v>
      </c>
      <c r="D88" t="s">
        <v>541</v>
      </c>
      <c r="E88" t="s">
        <v>542</v>
      </c>
      <c r="F88" t="s">
        <v>543</v>
      </c>
      <c r="G88" t="s">
        <v>544</v>
      </c>
      <c r="H88" s="453"/>
      <c r="I88" t="s">
        <v>544</v>
      </c>
      <c r="J88">
        <v>2900</v>
      </c>
      <c r="K88" t="s">
        <v>585</v>
      </c>
      <c r="L88" t="s">
        <v>546</v>
      </c>
      <c r="M88" t="s">
        <v>547</v>
      </c>
      <c r="N88" t="s">
        <v>548</v>
      </c>
      <c r="O88" t="s">
        <v>544</v>
      </c>
      <c r="P88" t="s">
        <v>602</v>
      </c>
      <c r="Q88" t="s">
        <v>550</v>
      </c>
      <c r="R88" t="s">
        <v>603</v>
      </c>
      <c r="S88" t="s">
        <v>588</v>
      </c>
      <c r="T88" t="s">
        <v>552</v>
      </c>
      <c r="U88" t="s">
        <v>553</v>
      </c>
      <c r="V88" t="s">
        <v>554</v>
      </c>
      <c r="W88" t="s">
        <v>373</v>
      </c>
      <c r="X88">
        <v>1.25</v>
      </c>
      <c r="Y88" t="s">
        <v>469</v>
      </c>
      <c r="Z88">
        <v>1.25</v>
      </c>
      <c r="AA88" t="s">
        <v>469</v>
      </c>
      <c r="AB88" t="s">
        <v>544</v>
      </c>
      <c r="AC88" t="s">
        <v>544</v>
      </c>
      <c r="AD88" t="s">
        <v>544</v>
      </c>
      <c r="AE88" t="s">
        <v>544</v>
      </c>
      <c r="AG88">
        <v>1</v>
      </c>
      <c r="AH88" t="s">
        <v>544</v>
      </c>
      <c r="AI88" t="s">
        <v>544</v>
      </c>
      <c r="AJ88" t="s">
        <v>715</v>
      </c>
      <c r="AK88" t="s">
        <v>715</v>
      </c>
      <c r="AL88" t="s">
        <v>557</v>
      </c>
      <c r="AM88" t="s">
        <v>558</v>
      </c>
      <c r="AN88" t="s">
        <v>391</v>
      </c>
      <c r="AO88" t="s">
        <v>544</v>
      </c>
      <c r="AP88" t="s">
        <v>589</v>
      </c>
      <c r="AQ88" t="s">
        <v>560</v>
      </c>
      <c r="AR88" t="s">
        <v>561</v>
      </c>
      <c r="AS88" t="s">
        <v>544</v>
      </c>
      <c r="AT88" t="s">
        <v>773</v>
      </c>
      <c r="AU88" t="s">
        <v>544</v>
      </c>
      <c r="AV88" t="s">
        <v>544</v>
      </c>
      <c r="AW88" t="s">
        <v>544</v>
      </c>
      <c r="AY88" t="s">
        <v>544</v>
      </c>
      <c r="AZ88" t="s">
        <v>544</v>
      </c>
      <c r="BB88" t="s">
        <v>591</v>
      </c>
      <c r="BC88" t="s">
        <v>591</v>
      </c>
      <c r="BD88" t="s">
        <v>591</v>
      </c>
      <c r="BE88" t="s">
        <v>544</v>
      </c>
      <c r="BF88" t="s">
        <v>544</v>
      </c>
      <c r="BG88" t="s">
        <v>544</v>
      </c>
      <c r="BH88" t="s">
        <v>544</v>
      </c>
      <c r="BI88" t="s">
        <v>544</v>
      </c>
      <c r="BJ88" t="s">
        <v>544</v>
      </c>
      <c r="BK88" t="s">
        <v>544</v>
      </c>
      <c r="BL88" t="s">
        <v>544</v>
      </c>
      <c r="BM88" t="s">
        <v>544</v>
      </c>
      <c r="BN88" t="s">
        <v>544</v>
      </c>
      <c r="BO88" t="s">
        <v>544</v>
      </c>
      <c r="BP88" t="s">
        <v>544</v>
      </c>
      <c r="BQ88" t="s">
        <v>544</v>
      </c>
    </row>
    <row r="89" spans="1:69" x14ac:dyDescent="0.3">
      <c r="A89" t="s">
        <v>774</v>
      </c>
      <c r="B89" t="s">
        <v>539</v>
      </c>
      <c r="C89" t="s">
        <v>540</v>
      </c>
      <c r="D89" t="s">
        <v>541</v>
      </c>
      <c r="E89" t="s">
        <v>542</v>
      </c>
      <c r="F89" t="s">
        <v>543</v>
      </c>
      <c r="G89" t="s">
        <v>544</v>
      </c>
      <c r="H89" s="453"/>
      <c r="I89" t="s">
        <v>544</v>
      </c>
      <c r="J89">
        <v>2041</v>
      </c>
      <c r="K89" t="s">
        <v>545</v>
      </c>
      <c r="L89" t="s">
        <v>546</v>
      </c>
      <c r="M89" t="s">
        <v>547</v>
      </c>
      <c r="N89" t="s">
        <v>548</v>
      </c>
      <c r="O89" t="s">
        <v>544</v>
      </c>
      <c r="P89" t="s">
        <v>549</v>
      </c>
      <c r="Q89" t="s">
        <v>550</v>
      </c>
      <c r="R89" t="s">
        <v>544</v>
      </c>
      <c r="S89" t="s">
        <v>551</v>
      </c>
      <c r="T89" t="s">
        <v>552</v>
      </c>
      <c r="U89" t="s">
        <v>553</v>
      </c>
      <c r="V89" t="s">
        <v>554</v>
      </c>
      <c r="W89" t="s">
        <v>373</v>
      </c>
      <c r="X89">
        <v>1.25</v>
      </c>
      <c r="Y89" t="s">
        <v>469</v>
      </c>
      <c r="Z89">
        <v>1.25</v>
      </c>
      <c r="AA89" t="s">
        <v>544</v>
      </c>
      <c r="AB89" t="s">
        <v>544</v>
      </c>
      <c r="AC89" t="s">
        <v>544</v>
      </c>
      <c r="AD89" t="s">
        <v>544</v>
      </c>
      <c r="AE89" t="s">
        <v>775</v>
      </c>
      <c r="AF89">
        <v>2.8721000000000001</v>
      </c>
      <c r="AG89">
        <v>1</v>
      </c>
      <c r="AH89" t="s">
        <v>544</v>
      </c>
      <c r="AI89" t="s">
        <v>544</v>
      </c>
      <c r="AJ89" t="s">
        <v>776</v>
      </c>
      <c r="AK89" t="s">
        <v>776</v>
      </c>
      <c r="AL89" t="s">
        <v>557</v>
      </c>
      <c r="AM89" t="s">
        <v>558</v>
      </c>
      <c r="AN89" t="s">
        <v>389</v>
      </c>
      <c r="AO89" t="s">
        <v>544</v>
      </c>
      <c r="AP89" t="s">
        <v>777</v>
      </c>
      <c r="AQ89" t="s">
        <v>560</v>
      </c>
      <c r="AR89" t="s">
        <v>561</v>
      </c>
      <c r="AS89" t="s">
        <v>544</v>
      </c>
      <c r="AT89" t="s">
        <v>717</v>
      </c>
      <c r="AU89" t="s">
        <v>544</v>
      </c>
      <c r="AV89" t="s">
        <v>544</v>
      </c>
      <c r="AW89" t="s">
        <v>544</v>
      </c>
      <c r="AY89" t="s">
        <v>544</v>
      </c>
      <c r="AZ89" t="s">
        <v>544</v>
      </c>
      <c r="BB89" t="s">
        <v>563</v>
      </c>
      <c r="BC89" t="s">
        <v>563</v>
      </c>
      <c r="BD89" t="s">
        <v>544</v>
      </c>
      <c r="BE89" t="s">
        <v>544</v>
      </c>
      <c r="BF89" t="s">
        <v>544</v>
      </c>
      <c r="BG89" t="s">
        <v>544</v>
      </c>
      <c r="BH89" t="s">
        <v>544</v>
      </c>
      <c r="BI89" t="s">
        <v>544</v>
      </c>
      <c r="BJ89" t="s">
        <v>544</v>
      </c>
      <c r="BK89" t="s">
        <v>544</v>
      </c>
      <c r="BL89" t="s">
        <v>544</v>
      </c>
      <c r="BM89" t="s">
        <v>544</v>
      </c>
      <c r="BN89" t="s">
        <v>544</v>
      </c>
      <c r="BO89" t="s">
        <v>544</v>
      </c>
      <c r="BP89" t="s">
        <v>544</v>
      </c>
      <c r="BQ89" t="s">
        <v>544</v>
      </c>
    </row>
    <row r="90" spans="1:69" x14ac:dyDescent="0.3">
      <c r="A90" t="s">
        <v>778</v>
      </c>
      <c r="B90" t="s">
        <v>539</v>
      </c>
      <c r="C90" t="s">
        <v>540</v>
      </c>
      <c r="D90" t="s">
        <v>541</v>
      </c>
      <c r="E90" t="s">
        <v>542</v>
      </c>
      <c r="F90" t="s">
        <v>543</v>
      </c>
      <c r="G90" t="s">
        <v>544</v>
      </c>
      <c r="H90" s="453"/>
      <c r="I90" t="s">
        <v>544</v>
      </c>
      <c r="J90">
        <v>2522</v>
      </c>
      <c r="K90" t="s">
        <v>585</v>
      </c>
      <c r="L90" t="s">
        <v>660</v>
      </c>
      <c r="M90" t="s">
        <v>547</v>
      </c>
      <c r="N90" t="s">
        <v>548</v>
      </c>
      <c r="O90" t="s">
        <v>544</v>
      </c>
      <c r="P90" t="s">
        <v>690</v>
      </c>
      <c r="Q90" t="s">
        <v>595</v>
      </c>
      <c r="R90" t="s">
        <v>544</v>
      </c>
      <c r="S90" t="s">
        <v>660</v>
      </c>
      <c r="T90" t="s">
        <v>552</v>
      </c>
      <c r="U90" t="s">
        <v>553</v>
      </c>
      <c r="V90" t="s">
        <v>554</v>
      </c>
      <c r="W90" t="s">
        <v>373</v>
      </c>
      <c r="X90">
        <v>1.25</v>
      </c>
      <c r="Y90" t="s">
        <v>469</v>
      </c>
      <c r="Z90">
        <v>1.25</v>
      </c>
      <c r="AA90" t="s">
        <v>544</v>
      </c>
      <c r="AB90" t="s">
        <v>544</v>
      </c>
      <c r="AC90" t="s">
        <v>544</v>
      </c>
      <c r="AD90" t="s">
        <v>544</v>
      </c>
      <c r="AE90" t="s">
        <v>544</v>
      </c>
      <c r="AG90">
        <v>1</v>
      </c>
      <c r="AH90" t="s">
        <v>544</v>
      </c>
      <c r="AI90" t="s">
        <v>544</v>
      </c>
      <c r="AJ90" t="s">
        <v>544</v>
      </c>
      <c r="AK90" t="s">
        <v>544</v>
      </c>
      <c r="AL90" t="s">
        <v>557</v>
      </c>
      <c r="AM90" t="s">
        <v>558</v>
      </c>
      <c r="AN90" t="s">
        <v>544</v>
      </c>
      <c r="AO90" t="s">
        <v>544</v>
      </c>
      <c r="AP90" t="s">
        <v>544</v>
      </c>
      <c r="AQ90" t="s">
        <v>560</v>
      </c>
      <c r="AR90" t="s">
        <v>561</v>
      </c>
      <c r="AS90" t="s">
        <v>544</v>
      </c>
      <c r="AT90" t="s">
        <v>767</v>
      </c>
      <c r="AU90" t="s">
        <v>544</v>
      </c>
      <c r="AV90" t="s">
        <v>544</v>
      </c>
      <c r="AW90" t="s">
        <v>544</v>
      </c>
      <c r="AY90" t="s">
        <v>544</v>
      </c>
      <c r="AZ90" t="s">
        <v>544</v>
      </c>
      <c r="BB90" t="s">
        <v>693</v>
      </c>
      <c r="BC90" t="s">
        <v>692</v>
      </c>
      <c r="BD90" t="s">
        <v>544</v>
      </c>
      <c r="BE90" t="s">
        <v>544</v>
      </c>
      <c r="BF90" t="s">
        <v>544</v>
      </c>
      <c r="BG90" t="s">
        <v>544</v>
      </c>
      <c r="BH90" t="s">
        <v>544</v>
      </c>
      <c r="BI90" t="s">
        <v>544</v>
      </c>
      <c r="BJ90" t="s">
        <v>544</v>
      </c>
      <c r="BK90" t="s">
        <v>544</v>
      </c>
      <c r="BL90" t="s">
        <v>544</v>
      </c>
      <c r="BM90" t="s">
        <v>544</v>
      </c>
      <c r="BN90" t="s">
        <v>544</v>
      </c>
      <c r="BO90" t="s">
        <v>544</v>
      </c>
      <c r="BP90" t="s">
        <v>544</v>
      </c>
      <c r="BQ90" t="s">
        <v>544</v>
      </c>
    </row>
    <row r="91" spans="1:69" x14ac:dyDescent="0.3">
      <c r="A91" t="s">
        <v>779</v>
      </c>
      <c r="B91" t="s">
        <v>539</v>
      </c>
      <c r="C91" t="s">
        <v>540</v>
      </c>
      <c r="D91" t="s">
        <v>541</v>
      </c>
      <c r="E91" t="s">
        <v>542</v>
      </c>
      <c r="F91" t="s">
        <v>543</v>
      </c>
      <c r="G91" t="s">
        <v>544</v>
      </c>
      <c r="H91" s="453"/>
      <c r="I91" t="s">
        <v>544</v>
      </c>
      <c r="J91">
        <v>2522</v>
      </c>
      <c r="K91" t="s">
        <v>585</v>
      </c>
      <c r="L91" t="s">
        <v>660</v>
      </c>
      <c r="M91" t="s">
        <v>547</v>
      </c>
      <c r="N91" t="s">
        <v>548</v>
      </c>
      <c r="O91" t="s">
        <v>544</v>
      </c>
      <c r="P91" t="s">
        <v>690</v>
      </c>
      <c r="Q91" t="s">
        <v>595</v>
      </c>
      <c r="R91" t="s">
        <v>544</v>
      </c>
      <c r="S91" t="s">
        <v>660</v>
      </c>
      <c r="T91" t="s">
        <v>552</v>
      </c>
      <c r="U91" t="s">
        <v>553</v>
      </c>
      <c r="V91" t="s">
        <v>554</v>
      </c>
      <c r="W91" t="s">
        <v>373</v>
      </c>
      <c r="X91">
        <v>1.25</v>
      </c>
      <c r="Y91" t="s">
        <v>469</v>
      </c>
      <c r="Z91">
        <v>1.25</v>
      </c>
      <c r="AA91" t="s">
        <v>544</v>
      </c>
      <c r="AB91" t="s">
        <v>544</v>
      </c>
      <c r="AC91" t="s">
        <v>544</v>
      </c>
      <c r="AD91" t="s">
        <v>544</v>
      </c>
      <c r="AE91" t="s">
        <v>544</v>
      </c>
      <c r="AG91">
        <v>1</v>
      </c>
      <c r="AH91" t="s">
        <v>544</v>
      </c>
      <c r="AI91" t="s">
        <v>544</v>
      </c>
      <c r="AJ91" t="s">
        <v>715</v>
      </c>
      <c r="AK91" t="s">
        <v>715</v>
      </c>
      <c r="AL91" t="s">
        <v>557</v>
      </c>
      <c r="AM91" t="s">
        <v>558</v>
      </c>
      <c r="AN91" t="s">
        <v>544</v>
      </c>
      <c r="AO91" t="s">
        <v>544</v>
      </c>
      <c r="AP91" t="s">
        <v>544</v>
      </c>
      <c r="AQ91" t="s">
        <v>560</v>
      </c>
      <c r="AR91" t="s">
        <v>561</v>
      </c>
      <c r="AS91" t="s">
        <v>544</v>
      </c>
      <c r="AT91" t="s">
        <v>767</v>
      </c>
      <c r="AU91" t="s">
        <v>544</v>
      </c>
      <c r="AV91" t="s">
        <v>544</v>
      </c>
      <c r="AW91" t="s">
        <v>544</v>
      </c>
      <c r="AY91" t="s">
        <v>544</v>
      </c>
      <c r="AZ91" t="s">
        <v>544</v>
      </c>
      <c r="BB91" t="s">
        <v>692</v>
      </c>
      <c r="BC91" t="s">
        <v>693</v>
      </c>
      <c r="BD91" t="s">
        <v>544</v>
      </c>
      <c r="BE91" t="s">
        <v>544</v>
      </c>
      <c r="BF91" t="s">
        <v>544</v>
      </c>
      <c r="BG91" t="s">
        <v>544</v>
      </c>
      <c r="BH91" t="s">
        <v>544</v>
      </c>
      <c r="BI91" t="s">
        <v>544</v>
      </c>
      <c r="BJ91" t="s">
        <v>544</v>
      </c>
      <c r="BK91" t="s">
        <v>544</v>
      </c>
      <c r="BL91" t="s">
        <v>544</v>
      </c>
      <c r="BM91" t="s">
        <v>544</v>
      </c>
      <c r="BN91" t="s">
        <v>544</v>
      </c>
      <c r="BO91" t="s">
        <v>544</v>
      </c>
      <c r="BP91" t="s">
        <v>544</v>
      </c>
      <c r="BQ91" t="s">
        <v>544</v>
      </c>
    </row>
    <row r="92" spans="1:69" x14ac:dyDescent="0.3">
      <c r="A92" t="s">
        <v>780</v>
      </c>
      <c r="B92" t="s">
        <v>539</v>
      </c>
      <c r="C92" t="s">
        <v>540</v>
      </c>
      <c r="D92" t="s">
        <v>541</v>
      </c>
      <c r="E92" t="s">
        <v>542</v>
      </c>
      <c r="F92" t="s">
        <v>543</v>
      </c>
      <c r="G92" t="s">
        <v>544</v>
      </c>
      <c r="H92" s="453"/>
      <c r="I92" t="s">
        <v>544</v>
      </c>
      <c r="J92">
        <v>2041</v>
      </c>
      <c r="K92" t="s">
        <v>545</v>
      </c>
      <c r="L92" t="s">
        <v>546</v>
      </c>
      <c r="M92" t="s">
        <v>547</v>
      </c>
      <c r="N92" t="s">
        <v>548</v>
      </c>
      <c r="O92" t="s">
        <v>544</v>
      </c>
      <c r="P92" t="s">
        <v>549</v>
      </c>
      <c r="Q92" t="s">
        <v>550</v>
      </c>
      <c r="R92" t="s">
        <v>544</v>
      </c>
      <c r="S92" t="s">
        <v>551</v>
      </c>
      <c r="T92" t="s">
        <v>552</v>
      </c>
      <c r="U92" t="s">
        <v>553</v>
      </c>
      <c r="V92" t="s">
        <v>554</v>
      </c>
      <c r="W92" t="s">
        <v>373</v>
      </c>
      <c r="X92">
        <v>1.25</v>
      </c>
      <c r="Y92" t="s">
        <v>469</v>
      </c>
      <c r="Z92">
        <v>1.25</v>
      </c>
      <c r="AA92" t="s">
        <v>544</v>
      </c>
      <c r="AB92" t="s">
        <v>544</v>
      </c>
      <c r="AC92" t="s">
        <v>544</v>
      </c>
      <c r="AD92" t="s">
        <v>544</v>
      </c>
      <c r="AE92" t="s">
        <v>781</v>
      </c>
      <c r="AF92">
        <v>12.4688</v>
      </c>
      <c r="AG92">
        <v>1</v>
      </c>
      <c r="AH92" t="s">
        <v>544</v>
      </c>
      <c r="AI92" t="s">
        <v>544</v>
      </c>
      <c r="AJ92" t="s">
        <v>782</v>
      </c>
      <c r="AK92" t="s">
        <v>782</v>
      </c>
      <c r="AL92" t="s">
        <v>557</v>
      </c>
      <c r="AM92" t="s">
        <v>558</v>
      </c>
      <c r="AN92" t="s">
        <v>389</v>
      </c>
      <c r="AO92" t="s">
        <v>544</v>
      </c>
      <c r="AP92" t="s">
        <v>783</v>
      </c>
      <c r="AQ92" t="s">
        <v>560</v>
      </c>
      <c r="AR92" t="s">
        <v>561</v>
      </c>
      <c r="AS92" t="s">
        <v>544</v>
      </c>
      <c r="AT92" t="s">
        <v>717</v>
      </c>
      <c r="AU92" t="s">
        <v>544</v>
      </c>
      <c r="AV92" t="s">
        <v>544</v>
      </c>
      <c r="AW92" t="s">
        <v>544</v>
      </c>
      <c r="AY92" t="s">
        <v>544</v>
      </c>
      <c r="AZ92" t="s">
        <v>544</v>
      </c>
      <c r="BB92" t="s">
        <v>563</v>
      </c>
      <c r="BC92" t="s">
        <v>563</v>
      </c>
      <c r="BD92" t="s">
        <v>544</v>
      </c>
      <c r="BE92" t="s">
        <v>544</v>
      </c>
      <c r="BF92" t="s">
        <v>544</v>
      </c>
      <c r="BG92" t="s">
        <v>544</v>
      </c>
      <c r="BH92" t="s">
        <v>544</v>
      </c>
      <c r="BI92" t="s">
        <v>544</v>
      </c>
      <c r="BJ92" t="s">
        <v>544</v>
      </c>
      <c r="BK92" t="s">
        <v>544</v>
      </c>
      <c r="BL92" t="s">
        <v>544</v>
      </c>
      <c r="BM92" t="s">
        <v>544</v>
      </c>
      <c r="BN92" t="s">
        <v>544</v>
      </c>
      <c r="BO92" t="s">
        <v>544</v>
      </c>
      <c r="BP92" t="s">
        <v>544</v>
      </c>
      <c r="BQ92" t="s">
        <v>544</v>
      </c>
    </row>
    <row r="93" spans="1:69" x14ac:dyDescent="0.3">
      <c r="A93" t="s">
        <v>784</v>
      </c>
      <c r="B93" t="s">
        <v>539</v>
      </c>
      <c r="C93" t="s">
        <v>540</v>
      </c>
      <c r="D93" t="s">
        <v>541</v>
      </c>
      <c r="E93" t="s">
        <v>542</v>
      </c>
      <c r="F93" t="s">
        <v>543</v>
      </c>
      <c r="G93" t="s">
        <v>544</v>
      </c>
      <c r="H93" s="453"/>
      <c r="I93" t="s">
        <v>544</v>
      </c>
      <c r="J93">
        <v>2900</v>
      </c>
      <c r="K93" t="s">
        <v>585</v>
      </c>
      <c r="L93" t="s">
        <v>546</v>
      </c>
      <c r="M93" t="s">
        <v>547</v>
      </c>
      <c r="N93" t="s">
        <v>548</v>
      </c>
      <c r="O93" t="s">
        <v>544</v>
      </c>
      <c r="P93" t="s">
        <v>602</v>
      </c>
      <c r="Q93" t="s">
        <v>550</v>
      </c>
      <c r="R93" t="s">
        <v>603</v>
      </c>
      <c r="S93" t="s">
        <v>588</v>
      </c>
      <c r="T93" t="s">
        <v>552</v>
      </c>
      <c r="U93" t="s">
        <v>553</v>
      </c>
      <c r="V93" t="s">
        <v>554</v>
      </c>
      <c r="W93" t="s">
        <v>373</v>
      </c>
      <c r="X93">
        <v>1.25</v>
      </c>
      <c r="Y93" t="s">
        <v>469</v>
      </c>
      <c r="Z93">
        <v>1.25</v>
      </c>
      <c r="AA93" t="s">
        <v>469</v>
      </c>
      <c r="AB93" t="s">
        <v>544</v>
      </c>
      <c r="AC93" t="s">
        <v>544</v>
      </c>
      <c r="AD93" t="s">
        <v>544</v>
      </c>
      <c r="AE93" t="s">
        <v>544</v>
      </c>
      <c r="AG93">
        <v>1</v>
      </c>
      <c r="AH93" t="s">
        <v>544</v>
      </c>
      <c r="AI93" t="s">
        <v>544</v>
      </c>
      <c r="AJ93" t="s">
        <v>782</v>
      </c>
      <c r="AK93" t="s">
        <v>782</v>
      </c>
      <c r="AL93" t="s">
        <v>557</v>
      </c>
      <c r="AM93" t="s">
        <v>558</v>
      </c>
      <c r="AN93" t="s">
        <v>390</v>
      </c>
      <c r="AO93" t="s">
        <v>544</v>
      </c>
      <c r="AP93" t="s">
        <v>589</v>
      </c>
      <c r="AQ93" t="s">
        <v>560</v>
      </c>
      <c r="AR93" t="s">
        <v>561</v>
      </c>
      <c r="AS93" t="s">
        <v>544</v>
      </c>
      <c r="AT93" t="s">
        <v>773</v>
      </c>
      <c r="AU93" t="s">
        <v>544</v>
      </c>
      <c r="AV93" t="s">
        <v>544</v>
      </c>
      <c r="AW93" t="s">
        <v>544</v>
      </c>
      <c r="AY93" t="s">
        <v>544</v>
      </c>
      <c r="AZ93" t="s">
        <v>544</v>
      </c>
      <c r="BB93" t="s">
        <v>591</v>
      </c>
      <c r="BC93" t="s">
        <v>591</v>
      </c>
      <c r="BD93" t="s">
        <v>591</v>
      </c>
      <c r="BE93" t="s">
        <v>544</v>
      </c>
      <c r="BF93" t="s">
        <v>544</v>
      </c>
      <c r="BG93" t="s">
        <v>544</v>
      </c>
      <c r="BH93" t="s">
        <v>544</v>
      </c>
      <c r="BI93" t="s">
        <v>544</v>
      </c>
      <c r="BJ93" t="s">
        <v>544</v>
      </c>
      <c r="BK93" t="s">
        <v>544</v>
      </c>
      <c r="BL93" t="s">
        <v>544</v>
      </c>
      <c r="BM93" t="s">
        <v>544</v>
      </c>
      <c r="BN93" t="s">
        <v>544</v>
      </c>
      <c r="BO93" t="s">
        <v>544</v>
      </c>
      <c r="BP93" t="s">
        <v>544</v>
      </c>
      <c r="BQ93" t="s">
        <v>544</v>
      </c>
    </row>
    <row r="94" spans="1:69" x14ac:dyDescent="0.3">
      <c r="A94" t="s">
        <v>785</v>
      </c>
      <c r="B94" t="s">
        <v>539</v>
      </c>
      <c r="C94" t="s">
        <v>540</v>
      </c>
      <c r="D94" t="s">
        <v>541</v>
      </c>
      <c r="E94" t="s">
        <v>542</v>
      </c>
      <c r="F94" t="s">
        <v>543</v>
      </c>
      <c r="G94" t="s">
        <v>544</v>
      </c>
      <c r="H94" s="453"/>
      <c r="I94" t="s">
        <v>544</v>
      </c>
      <c r="J94">
        <v>2522</v>
      </c>
      <c r="K94" t="s">
        <v>585</v>
      </c>
      <c r="L94" t="s">
        <v>660</v>
      </c>
      <c r="M94" t="s">
        <v>547</v>
      </c>
      <c r="N94" t="s">
        <v>548</v>
      </c>
      <c r="O94" t="s">
        <v>544</v>
      </c>
      <c r="P94" t="s">
        <v>690</v>
      </c>
      <c r="Q94" t="s">
        <v>595</v>
      </c>
      <c r="R94" t="s">
        <v>544</v>
      </c>
      <c r="S94" t="s">
        <v>660</v>
      </c>
      <c r="T94" t="s">
        <v>552</v>
      </c>
      <c r="U94" t="s">
        <v>553</v>
      </c>
      <c r="V94" t="s">
        <v>554</v>
      </c>
      <c r="W94" t="s">
        <v>373</v>
      </c>
      <c r="X94">
        <v>1.25</v>
      </c>
      <c r="Y94" t="s">
        <v>469</v>
      </c>
      <c r="Z94">
        <v>1.25</v>
      </c>
      <c r="AA94" t="s">
        <v>544</v>
      </c>
      <c r="AB94" t="s">
        <v>544</v>
      </c>
      <c r="AC94" t="s">
        <v>544</v>
      </c>
      <c r="AD94" t="s">
        <v>544</v>
      </c>
      <c r="AE94" t="s">
        <v>544</v>
      </c>
      <c r="AG94">
        <v>1</v>
      </c>
      <c r="AH94" t="s">
        <v>544</v>
      </c>
      <c r="AI94" t="s">
        <v>544</v>
      </c>
      <c r="AJ94" t="s">
        <v>782</v>
      </c>
      <c r="AK94" t="s">
        <v>782</v>
      </c>
      <c r="AL94" t="s">
        <v>557</v>
      </c>
      <c r="AM94" t="s">
        <v>558</v>
      </c>
      <c r="AN94" t="s">
        <v>544</v>
      </c>
      <c r="AO94" t="s">
        <v>544</v>
      </c>
      <c r="AP94" t="s">
        <v>544</v>
      </c>
      <c r="AQ94" t="s">
        <v>560</v>
      </c>
      <c r="AR94" t="s">
        <v>561</v>
      </c>
      <c r="AS94" t="s">
        <v>544</v>
      </c>
      <c r="AT94" t="s">
        <v>767</v>
      </c>
      <c r="AU94" t="s">
        <v>544</v>
      </c>
      <c r="AV94" t="s">
        <v>544</v>
      </c>
      <c r="AW94" t="s">
        <v>544</v>
      </c>
      <c r="AY94" t="s">
        <v>544</v>
      </c>
      <c r="AZ94" t="s">
        <v>544</v>
      </c>
      <c r="BB94" t="s">
        <v>693</v>
      </c>
      <c r="BC94" t="s">
        <v>692</v>
      </c>
      <c r="BD94" t="s">
        <v>544</v>
      </c>
      <c r="BE94" t="s">
        <v>544</v>
      </c>
      <c r="BF94" t="s">
        <v>544</v>
      </c>
      <c r="BG94" t="s">
        <v>544</v>
      </c>
      <c r="BH94" t="s">
        <v>544</v>
      </c>
      <c r="BI94" t="s">
        <v>544</v>
      </c>
      <c r="BJ94" t="s">
        <v>544</v>
      </c>
      <c r="BK94" t="s">
        <v>544</v>
      </c>
      <c r="BL94" t="s">
        <v>544</v>
      </c>
      <c r="BM94" t="s">
        <v>544</v>
      </c>
      <c r="BN94" t="s">
        <v>544</v>
      </c>
      <c r="BO94" t="s">
        <v>544</v>
      </c>
      <c r="BP94" t="s">
        <v>544</v>
      </c>
      <c r="BQ94" t="s">
        <v>544</v>
      </c>
    </row>
    <row r="95" spans="1:69" x14ac:dyDescent="0.3">
      <c r="A95" t="s">
        <v>786</v>
      </c>
      <c r="B95" t="s">
        <v>539</v>
      </c>
      <c r="C95" t="s">
        <v>540</v>
      </c>
      <c r="D95" t="s">
        <v>541</v>
      </c>
      <c r="E95" t="s">
        <v>542</v>
      </c>
      <c r="F95" t="s">
        <v>543</v>
      </c>
      <c r="G95" t="s">
        <v>544</v>
      </c>
      <c r="H95" s="453"/>
      <c r="I95" t="s">
        <v>544</v>
      </c>
      <c r="J95">
        <v>2522</v>
      </c>
      <c r="K95" t="s">
        <v>585</v>
      </c>
      <c r="L95" t="s">
        <v>660</v>
      </c>
      <c r="M95" t="s">
        <v>547</v>
      </c>
      <c r="N95" t="s">
        <v>548</v>
      </c>
      <c r="O95" t="s">
        <v>544</v>
      </c>
      <c r="P95" t="s">
        <v>690</v>
      </c>
      <c r="Q95" t="s">
        <v>595</v>
      </c>
      <c r="R95" t="s">
        <v>544</v>
      </c>
      <c r="S95" t="s">
        <v>660</v>
      </c>
      <c r="T95" t="s">
        <v>552</v>
      </c>
      <c r="U95" t="s">
        <v>553</v>
      </c>
      <c r="V95" t="s">
        <v>554</v>
      </c>
      <c r="W95" t="s">
        <v>373</v>
      </c>
      <c r="X95">
        <v>1.25</v>
      </c>
      <c r="Y95" t="s">
        <v>469</v>
      </c>
      <c r="Z95">
        <v>1.25</v>
      </c>
      <c r="AA95" t="s">
        <v>544</v>
      </c>
      <c r="AB95" t="s">
        <v>544</v>
      </c>
      <c r="AC95" t="s">
        <v>544</v>
      </c>
      <c r="AD95" t="s">
        <v>544</v>
      </c>
      <c r="AE95" t="s">
        <v>544</v>
      </c>
      <c r="AG95">
        <v>1</v>
      </c>
      <c r="AH95" t="s">
        <v>544</v>
      </c>
      <c r="AI95" t="s">
        <v>544</v>
      </c>
      <c r="AJ95" t="s">
        <v>544</v>
      </c>
      <c r="AK95" t="s">
        <v>544</v>
      </c>
      <c r="AL95" t="s">
        <v>557</v>
      </c>
      <c r="AM95" t="s">
        <v>558</v>
      </c>
      <c r="AN95" t="s">
        <v>544</v>
      </c>
      <c r="AO95" t="s">
        <v>544</v>
      </c>
      <c r="AP95" t="s">
        <v>544</v>
      </c>
      <c r="AQ95" t="s">
        <v>560</v>
      </c>
      <c r="AR95" t="s">
        <v>561</v>
      </c>
      <c r="AS95" t="s">
        <v>544</v>
      </c>
      <c r="AT95" t="s">
        <v>767</v>
      </c>
      <c r="AU95" t="s">
        <v>544</v>
      </c>
      <c r="AV95" t="s">
        <v>544</v>
      </c>
      <c r="AW95" t="s">
        <v>544</v>
      </c>
      <c r="AY95" t="s">
        <v>544</v>
      </c>
      <c r="AZ95" t="s">
        <v>544</v>
      </c>
      <c r="BB95" t="s">
        <v>692</v>
      </c>
      <c r="BC95" t="s">
        <v>693</v>
      </c>
      <c r="BD95" t="s">
        <v>544</v>
      </c>
      <c r="BE95" t="s">
        <v>544</v>
      </c>
      <c r="BF95" t="s">
        <v>544</v>
      </c>
      <c r="BG95" t="s">
        <v>544</v>
      </c>
      <c r="BH95" t="s">
        <v>544</v>
      </c>
      <c r="BI95" t="s">
        <v>544</v>
      </c>
      <c r="BJ95" t="s">
        <v>544</v>
      </c>
      <c r="BK95" t="s">
        <v>544</v>
      </c>
      <c r="BL95" t="s">
        <v>544</v>
      </c>
      <c r="BM95" t="s">
        <v>544</v>
      </c>
      <c r="BN95" t="s">
        <v>544</v>
      </c>
      <c r="BO95" t="s">
        <v>544</v>
      </c>
      <c r="BP95" t="s">
        <v>544</v>
      </c>
      <c r="BQ95" t="s">
        <v>544</v>
      </c>
    </row>
    <row r="96" spans="1:69" x14ac:dyDescent="0.3">
      <c r="A96" t="s">
        <v>787</v>
      </c>
      <c r="B96" t="s">
        <v>539</v>
      </c>
      <c r="C96" t="s">
        <v>540</v>
      </c>
      <c r="D96" t="s">
        <v>541</v>
      </c>
      <c r="E96" t="s">
        <v>542</v>
      </c>
      <c r="F96" t="s">
        <v>543</v>
      </c>
      <c r="G96" t="s">
        <v>544</v>
      </c>
      <c r="H96" s="453"/>
      <c r="I96" t="s">
        <v>544</v>
      </c>
      <c r="J96">
        <v>2522</v>
      </c>
      <c r="K96" t="s">
        <v>585</v>
      </c>
      <c r="L96" t="s">
        <v>546</v>
      </c>
      <c r="M96" t="s">
        <v>547</v>
      </c>
      <c r="N96" t="s">
        <v>548</v>
      </c>
      <c r="O96" t="s">
        <v>544</v>
      </c>
      <c r="P96" t="s">
        <v>677</v>
      </c>
      <c r="Q96" t="s">
        <v>550</v>
      </c>
      <c r="R96" t="s">
        <v>544</v>
      </c>
      <c r="S96" t="s">
        <v>588</v>
      </c>
      <c r="T96" t="s">
        <v>552</v>
      </c>
      <c r="U96" t="s">
        <v>553</v>
      </c>
      <c r="V96" t="s">
        <v>554</v>
      </c>
      <c r="W96" t="s">
        <v>373</v>
      </c>
      <c r="X96">
        <v>1.25</v>
      </c>
      <c r="Y96" t="s">
        <v>469</v>
      </c>
      <c r="Z96">
        <v>1.25</v>
      </c>
      <c r="AA96" t="s">
        <v>544</v>
      </c>
      <c r="AB96" t="s">
        <v>544</v>
      </c>
      <c r="AC96" t="s">
        <v>544</v>
      </c>
      <c r="AD96" t="s">
        <v>544</v>
      </c>
      <c r="AE96" t="s">
        <v>544</v>
      </c>
      <c r="AG96">
        <v>1</v>
      </c>
      <c r="AH96" t="s">
        <v>544</v>
      </c>
      <c r="AI96" t="s">
        <v>544</v>
      </c>
      <c r="AJ96" t="s">
        <v>782</v>
      </c>
      <c r="AK96" t="s">
        <v>782</v>
      </c>
      <c r="AL96" t="s">
        <v>557</v>
      </c>
      <c r="AM96" t="s">
        <v>558</v>
      </c>
      <c r="AN96" t="s">
        <v>391</v>
      </c>
      <c r="AO96" t="s">
        <v>544</v>
      </c>
      <c r="AP96" t="s">
        <v>604</v>
      </c>
      <c r="AQ96" t="s">
        <v>560</v>
      </c>
      <c r="AR96" t="s">
        <v>561</v>
      </c>
      <c r="AS96" t="s">
        <v>544</v>
      </c>
      <c r="AT96" t="s">
        <v>788</v>
      </c>
      <c r="AU96" t="s">
        <v>544</v>
      </c>
      <c r="AV96" t="s">
        <v>544</v>
      </c>
      <c r="AW96" t="s">
        <v>544</v>
      </c>
      <c r="AY96" t="s">
        <v>544</v>
      </c>
      <c r="AZ96" t="s">
        <v>544</v>
      </c>
      <c r="BB96" t="s">
        <v>658</v>
      </c>
      <c r="BC96" t="s">
        <v>680</v>
      </c>
      <c r="BD96" t="s">
        <v>544</v>
      </c>
      <c r="BE96" t="s">
        <v>544</v>
      </c>
      <c r="BF96" t="s">
        <v>544</v>
      </c>
      <c r="BG96" t="s">
        <v>544</v>
      </c>
      <c r="BH96" t="s">
        <v>544</v>
      </c>
      <c r="BI96" t="s">
        <v>544</v>
      </c>
      <c r="BJ96" t="s">
        <v>544</v>
      </c>
      <c r="BK96" t="s">
        <v>544</v>
      </c>
      <c r="BL96" t="s">
        <v>544</v>
      </c>
      <c r="BM96" t="s">
        <v>544</v>
      </c>
      <c r="BN96" t="s">
        <v>544</v>
      </c>
      <c r="BO96" t="s">
        <v>544</v>
      </c>
      <c r="BP96" t="s">
        <v>544</v>
      </c>
      <c r="BQ96" t="s">
        <v>544</v>
      </c>
    </row>
    <row r="97" spans="1:69" x14ac:dyDescent="0.3">
      <c r="A97" t="s">
        <v>789</v>
      </c>
      <c r="B97" t="s">
        <v>539</v>
      </c>
      <c r="C97" t="s">
        <v>540</v>
      </c>
      <c r="D97" t="s">
        <v>541</v>
      </c>
      <c r="E97" t="s">
        <v>542</v>
      </c>
      <c r="F97" t="s">
        <v>543</v>
      </c>
      <c r="G97" t="s">
        <v>544</v>
      </c>
      <c r="H97" s="453"/>
      <c r="I97" t="s">
        <v>544</v>
      </c>
      <c r="J97">
        <v>2522</v>
      </c>
      <c r="K97" t="s">
        <v>585</v>
      </c>
      <c r="L97" t="s">
        <v>660</v>
      </c>
      <c r="M97" t="s">
        <v>547</v>
      </c>
      <c r="N97" t="s">
        <v>548</v>
      </c>
      <c r="O97" t="s">
        <v>544</v>
      </c>
      <c r="P97" t="s">
        <v>690</v>
      </c>
      <c r="Q97" t="s">
        <v>595</v>
      </c>
      <c r="R97" t="s">
        <v>544</v>
      </c>
      <c r="S97" t="s">
        <v>660</v>
      </c>
      <c r="T97" t="s">
        <v>552</v>
      </c>
      <c r="U97" t="s">
        <v>553</v>
      </c>
      <c r="V97" t="s">
        <v>554</v>
      </c>
      <c r="W97" t="s">
        <v>373</v>
      </c>
      <c r="X97">
        <v>1.25</v>
      </c>
      <c r="Y97" t="s">
        <v>469</v>
      </c>
      <c r="Z97">
        <v>1.25</v>
      </c>
      <c r="AA97" t="s">
        <v>544</v>
      </c>
      <c r="AB97" t="s">
        <v>544</v>
      </c>
      <c r="AC97" t="s">
        <v>544</v>
      </c>
      <c r="AD97" t="s">
        <v>544</v>
      </c>
      <c r="AE97" t="s">
        <v>544</v>
      </c>
      <c r="AG97">
        <v>1</v>
      </c>
      <c r="AH97" t="s">
        <v>544</v>
      </c>
      <c r="AI97" t="s">
        <v>544</v>
      </c>
      <c r="AJ97" t="s">
        <v>782</v>
      </c>
      <c r="AK97" t="s">
        <v>782</v>
      </c>
      <c r="AL97" t="s">
        <v>557</v>
      </c>
      <c r="AM97" t="s">
        <v>558</v>
      </c>
      <c r="AN97" t="s">
        <v>544</v>
      </c>
      <c r="AO97" t="s">
        <v>544</v>
      </c>
      <c r="AP97" t="s">
        <v>544</v>
      </c>
      <c r="AQ97" t="s">
        <v>560</v>
      </c>
      <c r="AR97" t="s">
        <v>561</v>
      </c>
      <c r="AS97" t="s">
        <v>544</v>
      </c>
      <c r="AT97" t="s">
        <v>767</v>
      </c>
      <c r="AU97" t="s">
        <v>544</v>
      </c>
      <c r="AV97" t="s">
        <v>544</v>
      </c>
      <c r="AW97" t="s">
        <v>544</v>
      </c>
      <c r="AY97" t="s">
        <v>544</v>
      </c>
      <c r="AZ97" t="s">
        <v>544</v>
      </c>
      <c r="BB97" t="s">
        <v>692</v>
      </c>
      <c r="BC97" t="s">
        <v>693</v>
      </c>
      <c r="BD97" t="s">
        <v>544</v>
      </c>
      <c r="BE97" t="s">
        <v>544</v>
      </c>
      <c r="BF97" t="s">
        <v>544</v>
      </c>
      <c r="BG97" t="s">
        <v>544</v>
      </c>
      <c r="BH97" t="s">
        <v>544</v>
      </c>
      <c r="BI97" t="s">
        <v>544</v>
      </c>
      <c r="BJ97" t="s">
        <v>544</v>
      </c>
      <c r="BK97" t="s">
        <v>544</v>
      </c>
      <c r="BL97" t="s">
        <v>544</v>
      </c>
      <c r="BM97" t="s">
        <v>544</v>
      </c>
      <c r="BN97" t="s">
        <v>544</v>
      </c>
      <c r="BO97" t="s">
        <v>544</v>
      </c>
      <c r="BP97" t="s">
        <v>544</v>
      </c>
      <c r="BQ97" t="s">
        <v>544</v>
      </c>
    </row>
    <row r="98" spans="1:69" x14ac:dyDescent="0.3">
      <c r="A98" t="s">
        <v>790</v>
      </c>
      <c r="B98" t="s">
        <v>539</v>
      </c>
      <c r="C98" t="s">
        <v>540</v>
      </c>
      <c r="D98" t="s">
        <v>541</v>
      </c>
      <c r="E98" t="s">
        <v>542</v>
      </c>
      <c r="F98" t="s">
        <v>543</v>
      </c>
      <c r="G98" t="s">
        <v>544</v>
      </c>
      <c r="H98" s="453"/>
      <c r="I98" t="s">
        <v>544</v>
      </c>
      <c r="J98">
        <v>2523</v>
      </c>
      <c r="K98" t="s">
        <v>585</v>
      </c>
      <c r="L98" t="s">
        <v>546</v>
      </c>
      <c r="M98" t="s">
        <v>547</v>
      </c>
      <c r="N98" t="s">
        <v>548</v>
      </c>
      <c r="O98" t="s">
        <v>544</v>
      </c>
      <c r="P98" t="s">
        <v>586</v>
      </c>
      <c r="Q98" t="s">
        <v>550</v>
      </c>
      <c r="R98" t="s">
        <v>587</v>
      </c>
      <c r="S98" t="s">
        <v>588</v>
      </c>
      <c r="T98" t="s">
        <v>552</v>
      </c>
      <c r="U98" t="s">
        <v>553</v>
      </c>
      <c r="V98" t="s">
        <v>554</v>
      </c>
      <c r="W98" t="s">
        <v>373</v>
      </c>
      <c r="X98">
        <v>1.25</v>
      </c>
      <c r="Y98" t="s">
        <v>469</v>
      </c>
      <c r="Z98">
        <v>1.25</v>
      </c>
      <c r="AA98" t="s">
        <v>544</v>
      </c>
      <c r="AB98" t="s">
        <v>544</v>
      </c>
      <c r="AC98" t="s">
        <v>544</v>
      </c>
      <c r="AD98" t="s">
        <v>544</v>
      </c>
      <c r="AE98" t="s">
        <v>544</v>
      </c>
      <c r="AG98">
        <v>1</v>
      </c>
      <c r="AH98" t="s">
        <v>544</v>
      </c>
      <c r="AI98" t="s">
        <v>544</v>
      </c>
      <c r="AJ98" t="s">
        <v>782</v>
      </c>
      <c r="AK98" t="s">
        <v>782</v>
      </c>
      <c r="AL98" t="s">
        <v>557</v>
      </c>
      <c r="AM98" t="s">
        <v>558</v>
      </c>
      <c r="AN98" t="s">
        <v>392</v>
      </c>
      <c r="AO98" t="s">
        <v>544</v>
      </c>
      <c r="AP98" t="s">
        <v>612</v>
      </c>
      <c r="AQ98" t="s">
        <v>560</v>
      </c>
      <c r="AR98" t="s">
        <v>561</v>
      </c>
      <c r="AS98" t="s">
        <v>544</v>
      </c>
      <c r="AT98" t="s">
        <v>613</v>
      </c>
      <c r="AU98" t="s">
        <v>544</v>
      </c>
      <c r="AV98" t="s">
        <v>544</v>
      </c>
      <c r="AW98" t="s">
        <v>544</v>
      </c>
      <c r="AY98" t="s">
        <v>544</v>
      </c>
      <c r="AZ98" t="s">
        <v>544</v>
      </c>
      <c r="BB98" t="s">
        <v>591</v>
      </c>
      <c r="BC98" t="s">
        <v>591</v>
      </c>
      <c r="BD98" t="s">
        <v>544</v>
      </c>
      <c r="BE98" t="s">
        <v>544</v>
      </c>
      <c r="BF98" t="s">
        <v>544</v>
      </c>
      <c r="BG98" t="s">
        <v>544</v>
      </c>
      <c r="BH98" t="s">
        <v>544</v>
      </c>
      <c r="BI98" t="s">
        <v>544</v>
      </c>
      <c r="BJ98" t="s">
        <v>544</v>
      </c>
      <c r="BK98" t="s">
        <v>544</v>
      </c>
      <c r="BL98" t="s">
        <v>544</v>
      </c>
      <c r="BM98" t="s">
        <v>544</v>
      </c>
      <c r="BN98" t="s">
        <v>544</v>
      </c>
      <c r="BO98" t="s">
        <v>544</v>
      </c>
      <c r="BP98" t="s">
        <v>544</v>
      </c>
      <c r="BQ98" t="s">
        <v>544</v>
      </c>
    </row>
    <row r="99" spans="1:69" x14ac:dyDescent="0.3">
      <c r="A99" t="s">
        <v>791</v>
      </c>
      <c r="B99" t="s">
        <v>539</v>
      </c>
      <c r="C99" t="s">
        <v>540</v>
      </c>
      <c r="D99" t="s">
        <v>541</v>
      </c>
      <c r="E99" t="s">
        <v>542</v>
      </c>
      <c r="F99" t="s">
        <v>543</v>
      </c>
      <c r="G99" t="s">
        <v>544</v>
      </c>
      <c r="H99" s="453"/>
      <c r="I99" t="s">
        <v>544</v>
      </c>
      <c r="J99">
        <v>2522</v>
      </c>
      <c r="K99" t="s">
        <v>585</v>
      </c>
      <c r="L99" t="s">
        <v>660</v>
      </c>
      <c r="M99" t="s">
        <v>547</v>
      </c>
      <c r="N99" t="s">
        <v>548</v>
      </c>
      <c r="O99" t="s">
        <v>544</v>
      </c>
      <c r="P99" t="s">
        <v>690</v>
      </c>
      <c r="Q99" t="s">
        <v>595</v>
      </c>
      <c r="R99" t="s">
        <v>544</v>
      </c>
      <c r="S99" t="s">
        <v>660</v>
      </c>
      <c r="T99" t="s">
        <v>552</v>
      </c>
      <c r="U99" t="s">
        <v>553</v>
      </c>
      <c r="V99" t="s">
        <v>554</v>
      </c>
      <c r="W99" t="s">
        <v>373</v>
      </c>
      <c r="X99">
        <v>1.25</v>
      </c>
      <c r="Y99" t="s">
        <v>469</v>
      </c>
      <c r="Z99">
        <v>1.25</v>
      </c>
      <c r="AA99" t="s">
        <v>544</v>
      </c>
      <c r="AB99" t="s">
        <v>544</v>
      </c>
      <c r="AC99" t="s">
        <v>544</v>
      </c>
      <c r="AD99" t="s">
        <v>544</v>
      </c>
      <c r="AE99" t="s">
        <v>544</v>
      </c>
      <c r="AG99">
        <v>1</v>
      </c>
      <c r="AH99" t="s">
        <v>544</v>
      </c>
      <c r="AI99" t="s">
        <v>544</v>
      </c>
      <c r="AJ99" t="s">
        <v>782</v>
      </c>
      <c r="AK99" t="s">
        <v>782</v>
      </c>
      <c r="AL99" t="s">
        <v>557</v>
      </c>
      <c r="AM99" t="s">
        <v>558</v>
      </c>
      <c r="AN99" t="s">
        <v>544</v>
      </c>
      <c r="AO99" t="s">
        <v>544</v>
      </c>
      <c r="AP99" t="s">
        <v>544</v>
      </c>
      <c r="AQ99" t="s">
        <v>560</v>
      </c>
      <c r="AR99" t="s">
        <v>561</v>
      </c>
      <c r="AS99" t="s">
        <v>544</v>
      </c>
      <c r="AT99" t="s">
        <v>767</v>
      </c>
      <c r="AU99" t="s">
        <v>544</v>
      </c>
      <c r="AV99" t="s">
        <v>544</v>
      </c>
      <c r="AW99" t="s">
        <v>544</v>
      </c>
      <c r="AY99" t="s">
        <v>544</v>
      </c>
      <c r="AZ99" t="s">
        <v>544</v>
      </c>
      <c r="BB99" t="s">
        <v>692</v>
      </c>
      <c r="BC99" t="s">
        <v>693</v>
      </c>
      <c r="BD99" t="s">
        <v>544</v>
      </c>
      <c r="BE99" t="s">
        <v>544</v>
      </c>
      <c r="BF99" t="s">
        <v>544</v>
      </c>
      <c r="BG99" t="s">
        <v>544</v>
      </c>
      <c r="BH99" t="s">
        <v>544</v>
      </c>
      <c r="BI99" t="s">
        <v>544</v>
      </c>
      <c r="BJ99" t="s">
        <v>544</v>
      </c>
      <c r="BK99" t="s">
        <v>544</v>
      </c>
      <c r="BL99" t="s">
        <v>544</v>
      </c>
      <c r="BM99" t="s">
        <v>544</v>
      </c>
      <c r="BN99" t="s">
        <v>544</v>
      </c>
      <c r="BO99" t="s">
        <v>544</v>
      </c>
      <c r="BP99" t="s">
        <v>544</v>
      </c>
      <c r="BQ99" t="s">
        <v>544</v>
      </c>
    </row>
    <row r="100" spans="1:69" x14ac:dyDescent="0.3">
      <c r="A100" t="s">
        <v>792</v>
      </c>
      <c r="B100" t="s">
        <v>539</v>
      </c>
      <c r="C100" t="s">
        <v>540</v>
      </c>
      <c r="D100" t="s">
        <v>541</v>
      </c>
      <c r="E100" t="s">
        <v>542</v>
      </c>
      <c r="F100" t="s">
        <v>543</v>
      </c>
      <c r="G100" t="s">
        <v>544</v>
      </c>
      <c r="H100" s="453"/>
      <c r="I100" t="s">
        <v>544</v>
      </c>
      <c r="J100">
        <v>2041</v>
      </c>
      <c r="K100" t="s">
        <v>545</v>
      </c>
      <c r="L100" t="s">
        <v>546</v>
      </c>
      <c r="M100" t="s">
        <v>547</v>
      </c>
      <c r="N100" t="s">
        <v>548</v>
      </c>
      <c r="O100" t="s">
        <v>544</v>
      </c>
      <c r="P100" t="s">
        <v>549</v>
      </c>
      <c r="Q100" t="s">
        <v>550</v>
      </c>
      <c r="R100" t="s">
        <v>544</v>
      </c>
      <c r="S100" t="s">
        <v>551</v>
      </c>
      <c r="T100" t="s">
        <v>552</v>
      </c>
      <c r="U100" t="s">
        <v>553</v>
      </c>
      <c r="V100" t="s">
        <v>554</v>
      </c>
      <c r="W100" t="s">
        <v>373</v>
      </c>
      <c r="X100">
        <v>1.25</v>
      </c>
      <c r="Y100" t="s">
        <v>469</v>
      </c>
      <c r="Z100">
        <v>1.25</v>
      </c>
      <c r="AA100" t="s">
        <v>544</v>
      </c>
      <c r="AB100" t="s">
        <v>544</v>
      </c>
      <c r="AC100" t="s">
        <v>544</v>
      </c>
      <c r="AD100" t="s">
        <v>544</v>
      </c>
      <c r="AE100" t="s">
        <v>793</v>
      </c>
      <c r="AF100">
        <v>1.885</v>
      </c>
      <c r="AG100">
        <v>1</v>
      </c>
      <c r="AH100" t="s">
        <v>544</v>
      </c>
      <c r="AI100" t="s">
        <v>544</v>
      </c>
      <c r="AJ100" t="s">
        <v>794</v>
      </c>
      <c r="AK100" t="s">
        <v>794</v>
      </c>
      <c r="AL100" t="s">
        <v>557</v>
      </c>
      <c r="AM100" t="s">
        <v>558</v>
      </c>
      <c r="AN100" t="s">
        <v>389</v>
      </c>
      <c r="AO100" t="s">
        <v>544</v>
      </c>
      <c r="AP100" t="s">
        <v>795</v>
      </c>
      <c r="AQ100" t="s">
        <v>560</v>
      </c>
      <c r="AR100" t="s">
        <v>561</v>
      </c>
      <c r="AS100" t="s">
        <v>544</v>
      </c>
      <c r="AT100" t="s">
        <v>717</v>
      </c>
      <c r="AU100" t="s">
        <v>544</v>
      </c>
      <c r="AV100" t="s">
        <v>544</v>
      </c>
      <c r="AW100" t="s">
        <v>544</v>
      </c>
      <c r="AY100" t="s">
        <v>544</v>
      </c>
      <c r="AZ100" t="s">
        <v>544</v>
      </c>
      <c r="BB100" t="s">
        <v>563</v>
      </c>
      <c r="BC100" t="s">
        <v>563</v>
      </c>
      <c r="BD100" t="s">
        <v>544</v>
      </c>
      <c r="BE100" t="s">
        <v>544</v>
      </c>
      <c r="BF100" t="s">
        <v>544</v>
      </c>
      <c r="BG100" t="s">
        <v>544</v>
      </c>
      <c r="BH100" t="s">
        <v>544</v>
      </c>
      <c r="BI100" t="s">
        <v>544</v>
      </c>
      <c r="BJ100" t="s">
        <v>544</v>
      </c>
      <c r="BK100" t="s">
        <v>544</v>
      </c>
      <c r="BL100" t="s">
        <v>544</v>
      </c>
      <c r="BM100" t="s">
        <v>544</v>
      </c>
      <c r="BN100" t="s">
        <v>544</v>
      </c>
      <c r="BO100" t="s">
        <v>544</v>
      </c>
      <c r="BP100" t="s">
        <v>544</v>
      </c>
      <c r="BQ100" t="s">
        <v>544</v>
      </c>
    </row>
    <row r="101" spans="1:69" x14ac:dyDescent="0.3">
      <c r="A101" t="s">
        <v>796</v>
      </c>
      <c r="B101" t="s">
        <v>539</v>
      </c>
      <c r="C101" t="s">
        <v>540</v>
      </c>
      <c r="D101" t="s">
        <v>541</v>
      </c>
      <c r="E101" t="s">
        <v>542</v>
      </c>
      <c r="F101" t="s">
        <v>543</v>
      </c>
      <c r="G101" t="s">
        <v>544</v>
      </c>
      <c r="H101" s="453"/>
      <c r="I101" t="s">
        <v>544</v>
      </c>
      <c r="J101">
        <v>2522</v>
      </c>
      <c r="K101" t="s">
        <v>585</v>
      </c>
      <c r="L101" t="s">
        <v>660</v>
      </c>
      <c r="M101" t="s">
        <v>547</v>
      </c>
      <c r="N101" t="s">
        <v>548</v>
      </c>
      <c r="O101" t="s">
        <v>544</v>
      </c>
      <c r="P101" t="s">
        <v>690</v>
      </c>
      <c r="Q101" t="s">
        <v>595</v>
      </c>
      <c r="R101" t="s">
        <v>544</v>
      </c>
      <c r="S101" t="s">
        <v>660</v>
      </c>
      <c r="T101" t="s">
        <v>552</v>
      </c>
      <c r="U101" t="s">
        <v>553</v>
      </c>
      <c r="V101" t="s">
        <v>554</v>
      </c>
      <c r="W101" t="s">
        <v>373</v>
      </c>
      <c r="X101">
        <v>1.25</v>
      </c>
      <c r="Y101" t="s">
        <v>469</v>
      </c>
      <c r="Z101">
        <v>1.25</v>
      </c>
      <c r="AA101" t="s">
        <v>544</v>
      </c>
      <c r="AB101" t="s">
        <v>544</v>
      </c>
      <c r="AC101" t="s">
        <v>544</v>
      </c>
      <c r="AD101" t="s">
        <v>544</v>
      </c>
      <c r="AE101" t="s">
        <v>544</v>
      </c>
      <c r="AG101">
        <v>1</v>
      </c>
      <c r="AH101" t="s">
        <v>544</v>
      </c>
      <c r="AI101" t="s">
        <v>544</v>
      </c>
      <c r="AJ101" t="s">
        <v>544</v>
      </c>
      <c r="AK101" t="s">
        <v>544</v>
      </c>
      <c r="AL101" t="s">
        <v>557</v>
      </c>
      <c r="AM101" t="s">
        <v>558</v>
      </c>
      <c r="AN101" t="s">
        <v>544</v>
      </c>
      <c r="AO101" t="s">
        <v>544</v>
      </c>
      <c r="AP101" t="s">
        <v>544</v>
      </c>
      <c r="AQ101" t="s">
        <v>560</v>
      </c>
      <c r="AR101" t="s">
        <v>561</v>
      </c>
      <c r="AS101" t="s">
        <v>544</v>
      </c>
      <c r="AT101" t="s">
        <v>767</v>
      </c>
      <c r="AU101" t="s">
        <v>544</v>
      </c>
      <c r="AV101" t="s">
        <v>544</v>
      </c>
      <c r="AW101" t="s">
        <v>544</v>
      </c>
      <c r="AY101" t="s">
        <v>544</v>
      </c>
      <c r="AZ101" t="s">
        <v>544</v>
      </c>
      <c r="BB101" t="s">
        <v>692</v>
      </c>
      <c r="BC101" t="s">
        <v>693</v>
      </c>
      <c r="BD101" t="s">
        <v>544</v>
      </c>
      <c r="BE101" t="s">
        <v>544</v>
      </c>
      <c r="BF101" t="s">
        <v>544</v>
      </c>
      <c r="BG101" t="s">
        <v>544</v>
      </c>
      <c r="BH101" t="s">
        <v>544</v>
      </c>
      <c r="BI101" t="s">
        <v>544</v>
      </c>
      <c r="BJ101" t="s">
        <v>544</v>
      </c>
      <c r="BK101" t="s">
        <v>544</v>
      </c>
      <c r="BL101" t="s">
        <v>544</v>
      </c>
      <c r="BM101" t="s">
        <v>544</v>
      </c>
      <c r="BN101" t="s">
        <v>544</v>
      </c>
      <c r="BO101" t="s">
        <v>544</v>
      </c>
      <c r="BP101" t="s">
        <v>544</v>
      </c>
      <c r="BQ101" t="s">
        <v>544</v>
      </c>
    </row>
    <row r="102" spans="1:69" x14ac:dyDescent="0.3">
      <c r="A102" t="s">
        <v>797</v>
      </c>
      <c r="B102" t="s">
        <v>539</v>
      </c>
      <c r="C102" t="s">
        <v>540</v>
      </c>
      <c r="D102" t="s">
        <v>541</v>
      </c>
      <c r="E102" t="s">
        <v>542</v>
      </c>
      <c r="F102" t="s">
        <v>543</v>
      </c>
      <c r="G102" t="s">
        <v>544</v>
      </c>
      <c r="H102" s="453"/>
      <c r="I102" t="s">
        <v>544</v>
      </c>
      <c r="J102">
        <v>2523</v>
      </c>
      <c r="K102" t="s">
        <v>585</v>
      </c>
      <c r="L102" t="s">
        <v>546</v>
      </c>
      <c r="M102" t="s">
        <v>547</v>
      </c>
      <c r="N102" t="s">
        <v>548</v>
      </c>
      <c r="O102" t="s">
        <v>544</v>
      </c>
      <c r="P102" t="s">
        <v>586</v>
      </c>
      <c r="Q102" t="s">
        <v>550</v>
      </c>
      <c r="R102" t="s">
        <v>587</v>
      </c>
      <c r="S102" t="s">
        <v>588</v>
      </c>
      <c r="T102" t="s">
        <v>552</v>
      </c>
      <c r="U102" t="s">
        <v>553</v>
      </c>
      <c r="V102" t="s">
        <v>554</v>
      </c>
      <c r="W102" t="s">
        <v>373</v>
      </c>
      <c r="X102">
        <v>1.25</v>
      </c>
      <c r="Y102" t="s">
        <v>469</v>
      </c>
      <c r="Z102">
        <v>1.25</v>
      </c>
      <c r="AA102" t="s">
        <v>544</v>
      </c>
      <c r="AB102" t="s">
        <v>544</v>
      </c>
      <c r="AC102" t="s">
        <v>544</v>
      </c>
      <c r="AD102" t="s">
        <v>544</v>
      </c>
      <c r="AE102" t="s">
        <v>544</v>
      </c>
      <c r="AG102">
        <v>1</v>
      </c>
      <c r="AH102" t="s">
        <v>544</v>
      </c>
      <c r="AI102" t="s">
        <v>544</v>
      </c>
      <c r="AJ102" t="s">
        <v>794</v>
      </c>
      <c r="AK102" t="s">
        <v>794</v>
      </c>
      <c r="AL102" t="s">
        <v>557</v>
      </c>
      <c r="AM102" t="s">
        <v>558</v>
      </c>
      <c r="AN102" t="s">
        <v>391</v>
      </c>
      <c r="AO102" t="s">
        <v>544</v>
      </c>
      <c r="AP102" t="s">
        <v>612</v>
      </c>
      <c r="AQ102" t="s">
        <v>560</v>
      </c>
      <c r="AR102" t="s">
        <v>561</v>
      </c>
      <c r="AS102" t="s">
        <v>544</v>
      </c>
      <c r="AT102" t="s">
        <v>613</v>
      </c>
      <c r="AU102" t="s">
        <v>544</v>
      </c>
      <c r="AV102" t="s">
        <v>544</v>
      </c>
      <c r="AW102" t="s">
        <v>544</v>
      </c>
      <c r="AY102" t="s">
        <v>544</v>
      </c>
      <c r="AZ102" t="s">
        <v>544</v>
      </c>
      <c r="BB102" t="s">
        <v>591</v>
      </c>
      <c r="BC102" t="s">
        <v>591</v>
      </c>
      <c r="BD102" t="s">
        <v>544</v>
      </c>
      <c r="BE102" t="s">
        <v>544</v>
      </c>
      <c r="BF102" t="s">
        <v>544</v>
      </c>
      <c r="BG102" t="s">
        <v>544</v>
      </c>
      <c r="BH102" t="s">
        <v>544</v>
      </c>
      <c r="BI102" t="s">
        <v>544</v>
      </c>
      <c r="BJ102" t="s">
        <v>544</v>
      </c>
      <c r="BK102" t="s">
        <v>544</v>
      </c>
      <c r="BL102" t="s">
        <v>544</v>
      </c>
      <c r="BM102" t="s">
        <v>544</v>
      </c>
      <c r="BN102" t="s">
        <v>544</v>
      </c>
      <c r="BO102" t="s">
        <v>544</v>
      </c>
      <c r="BP102" t="s">
        <v>544</v>
      </c>
      <c r="BQ102" t="s">
        <v>544</v>
      </c>
    </row>
    <row r="103" spans="1:69" x14ac:dyDescent="0.3">
      <c r="A103" t="s">
        <v>798</v>
      </c>
      <c r="B103" t="s">
        <v>539</v>
      </c>
      <c r="C103" t="s">
        <v>540</v>
      </c>
      <c r="D103" t="s">
        <v>541</v>
      </c>
      <c r="E103" t="s">
        <v>542</v>
      </c>
      <c r="F103" t="s">
        <v>543</v>
      </c>
      <c r="G103" t="s">
        <v>544</v>
      </c>
      <c r="H103" s="453"/>
      <c r="I103" t="s">
        <v>544</v>
      </c>
      <c r="J103">
        <v>2522</v>
      </c>
      <c r="K103" t="s">
        <v>585</v>
      </c>
      <c r="L103" t="s">
        <v>660</v>
      </c>
      <c r="M103" t="s">
        <v>547</v>
      </c>
      <c r="N103" t="s">
        <v>548</v>
      </c>
      <c r="O103" t="s">
        <v>544</v>
      </c>
      <c r="P103" t="s">
        <v>690</v>
      </c>
      <c r="Q103" t="s">
        <v>595</v>
      </c>
      <c r="R103" t="s">
        <v>544</v>
      </c>
      <c r="S103" t="s">
        <v>660</v>
      </c>
      <c r="T103" t="s">
        <v>552</v>
      </c>
      <c r="U103" t="s">
        <v>553</v>
      </c>
      <c r="V103" t="s">
        <v>554</v>
      </c>
      <c r="W103" t="s">
        <v>373</v>
      </c>
      <c r="X103">
        <v>1.25</v>
      </c>
      <c r="Y103" t="s">
        <v>469</v>
      </c>
      <c r="Z103">
        <v>1.25</v>
      </c>
      <c r="AA103" t="s">
        <v>544</v>
      </c>
      <c r="AB103" t="s">
        <v>544</v>
      </c>
      <c r="AC103" t="s">
        <v>544</v>
      </c>
      <c r="AD103" t="s">
        <v>544</v>
      </c>
      <c r="AE103" t="s">
        <v>544</v>
      </c>
      <c r="AG103">
        <v>1</v>
      </c>
      <c r="AH103" t="s">
        <v>544</v>
      </c>
      <c r="AI103" t="s">
        <v>544</v>
      </c>
      <c r="AJ103" t="s">
        <v>794</v>
      </c>
      <c r="AK103" t="s">
        <v>794</v>
      </c>
      <c r="AL103" t="s">
        <v>557</v>
      </c>
      <c r="AM103" t="s">
        <v>558</v>
      </c>
      <c r="AN103" t="s">
        <v>544</v>
      </c>
      <c r="AO103" t="s">
        <v>544</v>
      </c>
      <c r="AP103" t="s">
        <v>544</v>
      </c>
      <c r="AQ103" t="s">
        <v>560</v>
      </c>
      <c r="AR103" t="s">
        <v>561</v>
      </c>
      <c r="AS103" t="s">
        <v>544</v>
      </c>
      <c r="AT103" t="s">
        <v>767</v>
      </c>
      <c r="AU103" t="s">
        <v>544</v>
      </c>
      <c r="AV103" t="s">
        <v>544</v>
      </c>
      <c r="AW103" t="s">
        <v>544</v>
      </c>
      <c r="AY103" t="s">
        <v>544</v>
      </c>
      <c r="AZ103" t="s">
        <v>544</v>
      </c>
      <c r="BB103" t="s">
        <v>692</v>
      </c>
      <c r="BC103" t="s">
        <v>693</v>
      </c>
      <c r="BD103" t="s">
        <v>544</v>
      </c>
      <c r="BE103" t="s">
        <v>544</v>
      </c>
      <c r="BF103" t="s">
        <v>544</v>
      </c>
      <c r="BG103" t="s">
        <v>544</v>
      </c>
      <c r="BH103" t="s">
        <v>544</v>
      </c>
      <c r="BI103" t="s">
        <v>544</v>
      </c>
      <c r="BJ103" t="s">
        <v>544</v>
      </c>
      <c r="BK103" t="s">
        <v>544</v>
      </c>
      <c r="BL103" t="s">
        <v>544</v>
      </c>
      <c r="BM103" t="s">
        <v>544</v>
      </c>
      <c r="BN103" t="s">
        <v>544</v>
      </c>
      <c r="BO103" t="s">
        <v>544</v>
      </c>
      <c r="BP103" t="s">
        <v>544</v>
      </c>
      <c r="BQ103" t="s">
        <v>544</v>
      </c>
    </row>
    <row r="104" spans="1:69" x14ac:dyDescent="0.3">
      <c r="A104" t="s">
        <v>799</v>
      </c>
      <c r="B104" t="s">
        <v>539</v>
      </c>
      <c r="C104" t="s">
        <v>540</v>
      </c>
      <c r="D104" t="s">
        <v>541</v>
      </c>
      <c r="E104" t="s">
        <v>542</v>
      </c>
      <c r="F104" t="s">
        <v>543</v>
      </c>
      <c r="G104" t="s">
        <v>544</v>
      </c>
      <c r="H104" s="453"/>
      <c r="I104" t="s">
        <v>544</v>
      </c>
      <c r="J104">
        <v>2041</v>
      </c>
      <c r="K104" t="s">
        <v>545</v>
      </c>
      <c r="L104" t="s">
        <v>546</v>
      </c>
      <c r="M104" t="s">
        <v>547</v>
      </c>
      <c r="N104" t="s">
        <v>548</v>
      </c>
      <c r="O104" t="s">
        <v>544</v>
      </c>
      <c r="P104" t="s">
        <v>549</v>
      </c>
      <c r="Q104" t="s">
        <v>550</v>
      </c>
      <c r="R104" t="s">
        <v>544</v>
      </c>
      <c r="S104" t="s">
        <v>551</v>
      </c>
      <c r="T104" t="s">
        <v>552</v>
      </c>
      <c r="U104" t="s">
        <v>553</v>
      </c>
      <c r="V104" t="s">
        <v>554</v>
      </c>
      <c r="W104" t="s">
        <v>373</v>
      </c>
      <c r="X104">
        <v>1.25</v>
      </c>
      <c r="Y104" t="s">
        <v>469</v>
      </c>
      <c r="Z104">
        <v>1.25</v>
      </c>
      <c r="AA104" t="s">
        <v>544</v>
      </c>
      <c r="AB104" t="s">
        <v>544</v>
      </c>
      <c r="AC104" t="s">
        <v>544</v>
      </c>
      <c r="AD104" t="s">
        <v>544</v>
      </c>
      <c r="AE104" t="s">
        <v>800</v>
      </c>
      <c r="AF104">
        <v>5.8857999999999997</v>
      </c>
      <c r="AG104">
        <v>1</v>
      </c>
      <c r="AH104" t="s">
        <v>544</v>
      </c>
      <c r="AI104" t="s">
        <v>544</v>
      </c>
      <c r="AJ104" t="s">
        <v>794</v>
      </c>
      <c r="AK104" t="s">
        <v>794</v>
      </c>
      <c r="AL104" t="s">
        <v>557</v>
      </c>
      <c r="AM104" t="s">
        <v>558</v>
      </c>
      <c r="AN104" t="s">
        <v>390</v>
      </c>
      <c r="AO104" t="s">
        <v>544</v>
      </c>
      <c r="AP104" t="s">
        <v>801</v>
      </c>
      <c r="AQ104" t="s">
        <v>560</v>
      </c>
      <c r="AR104" t="s">
        <v>561</v>
      </c>
      <c r="AS104" t="s">
        <v>544</v>
      </c>
      <c r="AT104" t="s">
        <v>717</v>
      </c>
      <c r="AU104" t="s">
        <v>544</v>
      </c>
      <c r="AV104" t="s">
        <v>544</v>
      </c>
      <c r="AW104" t="s">
        <v>544</v>
      </c>
      <c r="AY104" t="s">
        <v>544</v>
      </c>
      <c r="AZ104" t="s">
        <v>544</v>
      </c>
      <c r="BB104" t="s">
        <v>563</v>
      </c>
      <c r="BC104" t="s">
        <v>563</v>
      </c>
      <c r="BD104" t="s">
        <v>544</v>
      </c>
      <c r="BE104" t="s">
        <v>544</v>
      </c>
      <c r="BF104" t="s">
        <v>544</v>
      </c>
      <c r="BG104" t="s">
        <v>544</v>
      </c>
      <c r="BH104" t="s">
        <v>544</v>
      </c>
      <c r="BI104" t="s">
        <v>544</v>
      </c>
      <c r="BJ104" t="s">
        <v>544</v>
      </c>
      <c r="BK104" t="s">
        <v>544</v>
      </c>
      <c r="BL104" t="s">
        <v>544</v>
      </c>
      <c r="BM104" t="s">
        <v>544</v>
      </c>
      <c r="BN104" t="s">
        <v>544</v>
      </c>
      <c r="BO104" t="s">
        <v>544</v>
      </c>
      <c r="BP104" t="s">
        <v>544</v>
      </c>
      <c r="BQ104" t="s">
        <v>544</v>
      </c>
    </row>
    <row r="105" spans="1:69" x14ac:dyDescent="0.3">
      <c r="A105" t="s">
        <v>802</v>
      </c>
      <c r="B105" t="s">
        <v>539</v>
      </c>
      <c r="C105" t="s">
        <v>540</v>
      </c>
      <c r="D105" t="s">
        <v>541</v>
      </c>
      <c r="E105" t="s">
        <v>542</v>
      </c>
      <c r="F105" t="s">
        <v>543</v>
      </c>
      <c r="G105" t="s">
        <v>544</v>
      </c>
      <c r="H105" s="453"/>
      <c r="I105" t="s">
        <v>544</v>
      </c>
      <c r="J105">
        <v>2522</v>
      </c>
      <c r="K105" t="s">
        <v>585</v>
      </c>
      <c r="L105" t="s">
        <v>660</v>
      </c>
      <c r="M105" t="s">
        <v>547</v>
      </c>
      <c r="N105" t="s">
        <v>548</v>
      </c>
      <c r="O105" t="s">
        <v>544</v>
      </c>
      <c r="P105" t="s">
        <v>690</v>
      </c>
      <c r="Q105" t="s">
        <v>595</v>
      </c>
      <c r="R105" t="s">
        <v>544</v>
      </c>
      <c r="S105" t="s">
        <v>660</v>
      </c>
      <c r="T105" t="s">
        <v>552</v>
      </c>
      <c r="U105" t="s">
        <v>553</v>
      </c>
      <c r="V105" t="s">
        <v>554</v>
      </c>
      <c r="W105" t="s">
        <v>373</v>
      </c>
      <c r="X105">
        <v>1.25</v>
      </c>
      <c r="Y105" t="s">
        <v>469</v>
      </c>
      <c r="Z105">
        <v>1.25</v>
      </c>
      <c r="AA105" t="s">
        <v>544</v>
      </c>
      <c r="AB105" t="s">
        <v>544</v>
      </c>
      <c r="AC105" t="s">
        <v>544</v>
      </c>
      <c r="AD105" t="s">
        <v>544</v>
      </c>
      <c r="AE105" t="s">
        <v>544</v>
      </c>
      <c r="AG105">
        <v>1</v>
      </c>
      <c r="AH105" t="s">
        <v>544</v>
      </c>
      <c r="AI105" t="s">
        <v>544</v>
      </c>
      <c r="AJ105" t="s">
        <v>794</v>
      </c>
      <c r="AK105" t="s">
        <v>794</v>
      </c>
      <c r="AL105" t="s">
        <v>557</v>
      </c>
      <c r="AM105" t="s">
        <v>558</v>
      </c>
      <c r="AN105" t="s">
        <v>544</v>
      </c>
      <c r="AO105" t="s">
        <v>544</v>
      </c>
      <c r="AP105" t="s">
        <v>544</v>
      </c>
      <c r="AQ105" t="s">
        <v>560</v>
      </c>
      <c r="AR105" t="s">
        <v>561</v>
      </c>
      <c r="AS105" t="s">
        <v>544</v>
      </c>
      <c r="AT105" t="s">
        <v>767</v>
      </c>
      <c r="AU105" t="s">
        <v>544</v>
      </c>
      <c r="AV105" t="s">
        <v>544</v>
      </c>
      <c r="AW105" t="s">
        <v>544</v>
      </c>
      <c r="AY105" t="s">
        <v>544</v>
      </c>
      <c r="AZ105" t="s">
        <v>544</v>
      </c>
      <c r="BB105" t="s">
        <v>693</v>
      </c>
      <c r="BC105" t="s">
        <v>692</v>
      </c>
      <c r="BD105" t="s">
        <v>544</v>
      </c>
      <c r="BE105" t="s">
        <v>544</v>
      </c>
      <c r="BF105" t="s">
        <v>544</v>
      </c>
      <c r="BG105" t="s">
        <v>544</v>
      </c>
      <c r="BH105" t="s">
        <v>544</v>
      </c>
      <c r="BI105" t="s">
        <v>544</v>
      </c>
      <c r="BJ105" t="s">
        <v>544</v>
      </c>
      <c r="BK105" t="s">
        <v>544</v>
      </c>
      <c r="BL105" t="s">
        <v>544</v>
      </c>
      <c r="BM105" t="s">
        <v>544</v>
      </c>
      <c r="BN105" t="s">
        <v>544</v>
      </c>
      <c r="BO105" t="s">
        <v>544</v>
      </c>
      <c r="BP105" t="s">
        <v>544</v>
      </c>
      <c r="BQ105" t="s">
        <v>544</v>
      </c>
    </row>
    <row r="106" spans="1:69" x14ac:dyDescent="0.3">
      <c r="A106" t="s">
        <v>803</v>
      </c>
      <c r="B106" t="s">
        <v>539</v>
      </c>
      <c r="C106" t="s">
        <v>540</v>
      </c>
      <c r="D106" t="s">
        <v>541</v>
      </c>
      <c r="E106" t="s">
        <v>542</v>
      </c>
      <c r="F106" t="s">
        <v>543</v>
      </c>
      <c r="G106" t="s">
        <v>544</v>
      </c>
      <c r="H106" s="453"/>
      <c r="I106" t="s">
        <v>544</v>
      </c>
      <c r="J106">
        <v>2900</v>
      </c>
      <c r="K106" t="s">
        <v>585</v>
      </c>
      <c r="L106" t="s">
        <v>546</v>
      </c>
      <c r="M106" t="s">
        <v>547</v>
      </c>
      <c r="N106" t="s">
        <v>548</v>
      </c>
      <c r="O106" t="s">
        <v>544</v>
      </c>
      <c r="P106" t="s">
        <v>602</v>
      </c>
      <c r="Q106" t="s">
        <v>550</v>
      </c>
      <c r="R106" t="s">
        <v>603</v>
      </c>
      <c r="S106" t="s">
        <v>588</v>
      </c>
      <c r="T106" t="s">
        <v>552</v>
      </c>
      <c r="U106" t="s">
        <v>553</v>
      </c>
      <c r="V106" t="s">
        <v>554</v>
      </c>
      <c r="W106" t="s">
        <v>373</v>
      </c>
      <c r="X106">
        <v>1.25</v>
      </c>
      <c r="Y106" t="s">
        <v>469</v>
      </c>
      <c r="Z106">
        <v>1.25</v>
      </c>
      <c r="AA106" t="s">
        <v>469</v>
      </c>
      <c r="AB106" t="s">
        <v>544</v>
      </c>
      <c r="AC106" t="s">
        <v>544</v>
      </c>
      <c r="AD106" t="s">
        <v>544</v>
      </c>
      <c r="AE106" t="s">
        <v>544</v>
      </c>
      <c r="AG106">
        <v>1</v>
      </c>
      <c r="AH106" t="s">
        <v>544</v>
      </c>
      <c r="AI106" t="s">
        <v>544</v>
      </c>
      <c r="AJ106" t="s">
        <v>804</v>
      </c>
      <c r="AK106" t="s">
        <v>804</v>
      </c>
      <c r="AL106" t="s">
        <v>557</v>
      </c>
      <c r="AM106" t="s">
        <v>558</v>
      </c>
      <c r="AN106" t="s">
        <v>390</v>
      </c>
      <c r="AO106" t="s">
        <v>544</v>
      </c>
      <c r="AP106" t="s">
        <v>589</v>
      </c>
      <c r="AQ106" t="s">
        <v>560</v>
      </c>
      <c r="AR106" t="s">
        <v>561</v>
      </c>
      <c r="AS106" t="s">
        <v>544</v>
      </c>
      <c r="AT106" t="s">
        <v>773</v>
      </c>
      <c r="AU106" t="s">
        <v>544</v>
      </c>
      <c r="AV106" t="s">
        <v>544</v>
      </c>
      <c r="AW106" t="s">
        <v>544</v>
      </c>
      <c r="AY106" t="s">
        <v>544</v>
      </c>
      <c r="AZ106" t="s">
        <v>544</v>
      </c>
      <c r="BB106" t="s">
        <v>591</v>
      </c>
      <c r="BC106" t="s">
        <v>591</v>
      </c>
      <c r="BD106" t="s">
        <v>591</v>
      </c>
      <c r="BE106" t="s">
        <v>544</v>
      </c>
      <c r="BF106" t="s">
        <v>544</v>
      </c>
      <c r="BG106" t="s">
        <v>544</v>
      </c>
      <c r="BH106" t="s">
        <v>544</v>
      </c>
      <c r="BI106" t="s">
        <v>544</v>
      </c>
      <c r="BJ106" t="s">
        <v>544</v>
      </c>
      <c r="BK106" t="s">
        <v>544</v>
      </c>
      <c r="BL106" t="s">
        <v>544</v>
      </c>
      <c r="BM106" t="s">
        <v>544</v>
      </c>
      <c r="BN106" t="s">
        <v>544</v>
      </c>
      <c r="BO106" t="s">
        <v>544</v>
      </c>
      <c r="BP106" t="s">
        <v>544</v>
      </c>
      <c r="BQ106" t="s">
        <v>544</v>
      </c>
    </row>
    <row r="107" spans="1:69" x14ac:dyDescent="0.3">
      <c r="A107" t="s">
        <v>805</v>
      </c>
      <c r="B107" t="s">
        <v>539</v>
      </c>
      <c r="C107" t="s">
        <v>540</v>
      </c>
      <c r="D107" t="s">
        <v>541</v>
      </c>
      <c r="E107" t="s">
        <v>542</v>
      </c>
      <c r="F107" t="s">
        <v>543</v>
      </c>
      <c r="G107" t="s">
        <v>544</v>
      </c>
      <c r="H107" s="453"/>
      <c r="I107" t="s">
        <v>544</v>
      </c>
      <c r="J107">
        <v>2041</v>
      </c>
      <c r="K107" t="s">
        <v>545</v>
      </c>
      <c r="L107" t="s">
        <v>593</v>
      </c>
      <c r="M107" t="s">
        <v>547</v>
      </c>
      <c r="N107" t="s">
        <v>548</v>
      </c>
      <c r="O107" t="s">
        <v>544</v>
      </c>
      <c r="P107" t="s">
        <v>623</v>
      </c>
      <c r="Q107" t="s">
        <v>624</v>
      </c>
      <c r="R107" t="s">
        <v>544</v>
      </c>
      <c r="S107" t="s">
        <v>625</v>
      </c>
      <c r="T107" t="s">
        <v>552</v>
      </c>
      <c r="U107" t="s">
        <v>553</v>
      </c>
      <c r="V107" t="s">
        <v>554</v>
      </c>
      <c r="W107" t="s">
        <v>373</v>
      </c>
      <c r="X107">
        <v>1.25</v>
      </c>
      <c r="Y107" t="s">
        <v>469</v>
      </c>
      <c r="Z107">
        <v>1.25</v>
      </c>
      <c r="AA107" t="s">
        <v>544</v>
      </c>
      <c r="AB107" t="s">
        <v>544</v>
      </c>
      <c r="AC107" t="s">
        <v>544</v>
      </c>
      <c r="AD107" t="s">
        <v>544</v>
      </c>
      <c r="AE107" t="s">
        <v>806</v>
      </c>
      <c r="AF107">
        <v>12.533899999999999</v>
      </c>
      <c r="AG107">
        <v>1</v>
      </c>
      <c r="AH107" t="s">
        <v>544</v>
      </c>
      <c r="AI107" t="s">
        <v>544</v>
      </c>
      <c r="AJ107" t="s">
        <v>804</v>
      </c>
      <c r="AK107" t="s">
        <v>804</v>
      </c>
      <c r="AL107" t="s">
        <v>557</v>
      </c>
      <c r="AM107" t="s">
        <v>558</v>
      </c>
      <c r="AN107" t="s">
        <v>389</v>
      </c>
      <c r="AO107" t="s">
        <v>544</v>
      </c>
      <c r="AP107" t="s">
        <v>807</v>
      </c>
      <c r="AQ107" t="s">
        <v>560</v>
      </c>
      <c r="AR107" t="s">
        <v>561</v>
      </c>
      <c r="AS107" t="s">
        <v>544</v>
      </c>
      <c r="AT107" t="s">
        <v>808</v>
      </c>
      <c r="AU107" t="s">
        <v>544</v>
      </c>
      <c r="AV107" t="s">
        <v>544</v>
      </c>
      <c r="AW107" t="s">
        <v>544</v>
      </c>
      <c r="AY107" t="s">
        <v>544</v>
      </c>
      <c r="AZ107" t="s">
        <v>544</v>
      </c>
      <c r="BB107" t="s">
        <v>629</v>
      </c>
      <c r="BC107" t="s">
        <v>629</v>
      </c>
      <c r="BD107" t="s">
        <v>544</v>
      </c>
      <c r="BE107" t="s">
        <v>544</v>
      </c>
      <c r="BF107" t="s">
        <v>544</v>
      </c>
      <c r="BG107" t="s">
        <v>544</v>
      </c>
      <c r="BH107" t="s">
        <v>544</v>
      </c>
      <c r="BI107" t="s">
        <v>544</v>
      </c>
      <c r="BJ107" t="s">
        <v>544</v>
      </c>
      <c r="BK107" t="s">
        <v>544</v>
      </c>
      <c r="BL107" t="s">
        <v>544</v>
      </c>
      <c r="BM107" t="s">
        <v>544</v>
      </c>
      <c r="BN107" t="s">
        <v>544</v>
      </c>
      <c r="BO107" t="s">
        <v>544</v>
      </c>
      <c r="BP107" t="s">
        <v>544</v>
      </c>
      <c r="BQ107" t="s">
        <v>544</v>
      </c>
    </row>
    <row r="108" spans="1:69" x14ac:dyDescent="0.3">
      <c r="A108" t="s">
        <v>809</v>
      </c>
      <c r="B108" t="s">
        <v>539</v>
      </c>
      <c r="C108" t="s">
        <v>540</v>
      </c>
      <c r="D108" t="s">
        <v>541</v>
      </c>
      <c r="E108" t="s">
        <v>542</v>
      </c>
      <c r="F108" t="s">
        <v>543</v>
      </c>
      <c r="G108" t="s">
        <v>544</v>
      </c>
      <c r="H108" s="453"/>
      <c r="I108" t="s">
        <v>544</v>
      </c>
      <c r="J108">
        <v>2522</v>
      </c>
      <c r="K108" t="s">
        <v>585</v>
      </c>
      <c r="L108" t="s">
        <v>660</v>
      </c>
      <c r="M108" t="s">
        <v>547</v>
      </c>
      <c r="N108" t="s">
        <v>548</v>
      </c>
      <c r="O108" t="s">
        <v>544</v>
      </c>
      <c r="P108" t="s">
        <v>690</v>
      </c>
      <c r="Q108" t="s">
        <v>595</v>
      </c>
      <c r="R108" t="s">
        <v>544</v>
      </c>
      <c r="S108" t="s">
        <v>660</v>
      </c>
      <c r="T108" t="s">
        <v>552</v>
      </c>
      <c r="U108" t="s">
        <v>553</v>
      </c>
      <c r="V108" t="s">
        <v>554</v>
      </c>
      <c r="W108" t="s">
        <v>373</v>
      </c>
      <c r="X108">
        <v>1.25</v>
      </c>
      <c r="Y108" t="s">
        <v>469</v>
      </c>
      <c r="Z108">
        <v>1.25</v>
      </c>
      <c r="AA108" t="s">
        <v>544</v>
      </c>
      <c r="AB108" t="s">
        <v>544</v>
      </c>
      <c r="AC108" t="s">
        <v>544</v>
      </c>
      <c r="AD108" t="s">
        <v>544</v>
      </c>
      <c r="AE108" t="s">
        <v>544</v>
      </c>
      <c r="AG108">
        <v>1</v>
      </c>
      <c r="AH108" t="s">
        <v>544</v>
      </c>
      <c r="AI108" t="s">
        <v>544</v>
      </c>
      <c r="AJ108" t="s">
        <v>804</v>
      </c>
      <c r="AK108" t="s">
        <v>804</v>
      </c>
      <c r="AL108" t="s">
        <v>557</v>
      </c>
      <c r="AM108" t="s">
        <v>558</v>
      </c>
      <c r="AN108" t="s">
        <v>544</v>
      </c>
      <c r="AO108" t="s">
        <v>544</v>
      </c>
      <c r="AP108" t="s">
        <v>544</v>
      </c>
      <c r="AQ108" t="s">
        <v>560</v>
      </c>
      <c r="AR108" t="s">
        <v>561</v>
      </c>
      <c r="AS108" t="s">
        <v>544</v>
      </c>
      <c r="AT108" t="s">
        <v>767</v>
      </c>
      <c r="AU108" t="s">
        <v>544</v>
      </c>
      <c r="AV108" t="s">
        <v>544</v>
      </c>
      <c r="AW108" t="s">
        <v>544</v>
      </c>
      <c r="AY108" t="s">
        <v>544</v>
      </c>
      <c r="AZ108" t="s">
        <v>544</v>
      </c>
      <c r="BB108" t="s">
        <v>693</v>
      </c>
      <c r="BC108" t="s">
        <v>692</v>
      </c>
      <c r="BD108" t="s">
        <v>544</v>
      </c>
      <c r="BE108" t="s">
        <v>544</v>
      </c>
      <c r="BF108" t="s">
        <v>544</v>
      </c>
      <c r="BG108" t="s">
        <v>544</v>
      </c>
      <c r="BH108" t="s">
        <v>544</v>
      </c>
      <c r="BI108" t="s">
        <v>544</v>
      </c>
      <c r="BJ108" t="s">
        <v>544</v>
      </c>
      <c r="BK108" t="s">
        <v>544</v>
      </c>
      <c r="BL108" t="s">
        <v>544</v>
      </c>
      <c r="BM108" t="s">
        <v>544</v>
      </c>
      <c r="BN108" t="s">
        <v>544</v>
      </c>
      <c r="BO108" t="s">
        <v>544</v>
      </c>
      <c r="BP108" t="s">
        <v>544</v>
      </c>
      <c r="BQ108" t="s">
        <v>544</v>
      </c>
    </row>
    <row r="109" spans="1:69" x14ac:dyDescent="0.3">
      <c r="A109" t="s">
        <v>810</v>
      </c>
      <c r="B109" t="s">
        <v>539</v>
      </c>
      <c r="C109" t="s">
        <v>540</v>
      </c>
      <c r="D109" t="s">
        <v>541</v>
      </c>
      <c r="E109" t="s">
        <v>542</v>
      </c>
      <c r="F109" t="s">
        <v>543</v>
      </c>
      <c r="G109" t="s">
        <v>544</v>
      </c>
      <c r="H109" s="453"/>
      <c r="I109" t="s">
        <v>544</v>
      </c>
      <c r="J109">
        <v>2522</v>
      </c>
      <c r="K109" t="s">
        <v>585</v>
      </c>
      <c r="L109" t="s">
        <v>660</v>
      </c>
      <c r="M109" t="s">
        <v>547</v>
      </c>
      <c r="N109" t="s">
        <v>548</v>
      </c>
      <c r="O109" t="s">
        <v>544</v>
      </c>
      <c r="P109" t="s">
        <v>690</v>
      </c>
      <c r="Q109" t="s">
        <v>595</v>
      </c>
      <c r="R109" t="s">
        <v>544</v>
      </c>
      <c r="S109" t="s">
        <v>660</v>
      </c>
      <c r="T109" t="s">
        <v>552</v>
      </c>
      <c r="U109" t="s">
        <v>553</v>
      </c>
      <c r="V109" t="s">
        <v>554</v>
      </c>
      <c r="W109" t="s">
        <v>373</v>
      </c>
      <c r="X109">
        <v>1.25</v>
      </c>
      <c r="Y109" t="s">
        <v>469</v>
      </c>
      <c r="Z109">
        <v>1.25</v>
      </c>
      <c r="AA109" t="s">
        <v>544</v>
      </c>
      <c r="AB109" t="s">
        <v>544</v>
      </c>
      <c r="AC109" t="s">
        <v>544</v>
      </c>
      <c r="AD109" t="s">
        <v>544</v>
      </c>
      <c r="AE109" t="s">
        <v>544</v>
      </c>
      <c r="AG109">
        <v>1</v>
      </c>
      <c r="AH109" t="s">
        <v>544</v>
      </c>
      <c r="AI109" t="s">
        <v>544</v>
      </c>
      <c r="AJ109" t="s">
        <v>544</v>
      </c>
      <c r="AK109" t="s">
        <v>544</v>
      </c>
      <c r="AL109" t="s">
        <v>557</v>
      </c>
      <c r="AM109" t="s">
        <v>558</v>
      </c>
      <c r="AN109" t="s">
        <v>544</v>
      </c>
      <c r="AO109" t="s">
        <v>544</v>
      </c>
      <c r="AP109" t="s">
        <v>544</v>
      </c>
      <c r="AQ109" t="s">
        <v>560</v>
      </c>
      <c r="AR109" t="s">
        <v>561</v>
      </c>
      <c r="AS109" t="s">
        <v>544</v>
      </c>
      <c r="AT109" t="s">
        <v>767</v>
      </c>
      <c r="AU109" t="s">
        <v>544</v>
      </c>
      <c r="AV109" t="s">
        <v>544</v>
      </c>
      <c r="AW109" t="s">
        <v>544</v>
      </c>
      <c r="AY109" t="s">
        <v>544</v>
      </c>
      <c r="AZ109" t="s">
        <v>544</v>
      </c>
      <c r="BB109" t="s">
        <v>692</v>
      </c>
      <c r="BC109" t="s">
        <v>693</v>
      </c>
      <c r="BD109" t="s">
        <v>544</v>
      </c>
      <c r="BE109" t="s">
        <v>544</v>
      </c>
      <c r="BF109" t="s">
        <v>544</v>
      </c>
      <c r="BG109" t="s">
        <v>544</v>
      </c>
      <c r="BH109" t="s">
        <v>544</v>
      </c>
      <c r="BI109" t="s">
        <v>544</v>
      </c>
      <c r="BJ109" t="s">
        <v>544</v>
      </c>
      <c r="BK109" t="s">
        <v>544</v>
      </c>
      <c r="BL109" t="s">
        <v>544</v>
      </c>
      <c r="BM109" t="s">
        <v>544</v>
      </c>
      <c r="BN109" t="s">
        <v>544</v>
      </c>
      <c r="BO109" t="s">
        <v>544</v>
      </c>
      <c r="BP109" t="s">
        <v>544</v>
      </c>
      <c r="BQ109" t="s">
        <v>544</v>
      </c>
    </row>
    <row r="110" spans="1:69" x14ac:dyDescent="0.3">
      <c r="A110" t="s">
        <v>811</v>
      </c>
      <c r="B110" t="s">
        <v>539</v>
      </c>
      <c r="C110" t="s">
        <v>540</v>
      </c>
      <c r="D110" t="s">
        <v>541</v>
      </c>
      <c r="E110" t="s">
        <v>542</v>
      </c>
      <c r="F110" t="s">
        <v>543</v>
      </c>
      <c r="G110" t="s">
        <v>544</v>
      </c>
      <c r="H110" s="453"/>
      <c r="I110" t="s">
        <v>544</v>
      </c>
      <c r="J110">
        <v>2522</v>
      </c>
      <c r="K110" t="s">
        <v>585</v>
      </c>
      <c r="L110" t="s">
        <v>546</v>
      </c>
      <c r="M110" t="s">
        <v>547</v>
      </c>
      <c r="N110" t="s">
        <v>548</v>
      </c>
      <c r="O110" t="s">
        <v>544</v>
      </c>
      <c r="P110" t="s">
        <v>677</v>
      </c>
      <c r="Q110" t="s">
        <v>550</v>
      </c>
      <c r="R110" t="s">
        <v>544</v>
      </c>
      <c r="S110" t="s">
        <v>588</v>
      </c>
      <c r="T110" t="s">
        <v>552</v>
      </c>
      <c r="U110" t="s">
        <v>553</v>
      </c>
      <c r="V110" t="s">
        <v>554</v>
      </c>
      <c r="W110" t="s">
        <v>373</v>
      </c>
      <c r="X110">
        <v>1.25</v>
      </c>
      <c r="Y110" t="s">
        <v>469</v>
      </c>
      <c r="Z110">
        <v>1.25</v>
      </c>
      <c r="AA110" t="s">
        <v>544</v>
      </c>
      <c r="AB110" t="s">
        <v>544</v>
      </c>
      <c r="AC110" t="s">
        <v>544</v>
      </c>
      <c r="AD110" t="s">
        <v>544</v>
      </c>
      <c r="AE110" t="s">
        <v>544</v>
      </c>
      <c r="AG110">
        <v>1</v>
      </c>
      <c r="AH110" t="s">
        <v>544</v>
      </c>
      <c r="AI110" t="s">
        <v>544</v>
      </c>
      <c r="AJ110" t="s">
        <v>804</v>
      </c>
      <c r="AK110" t="s">
        <v>804</v>
      </c>
      <c r="AL110" t="s">
        <v>557</v>
      </c>
      <c r="AM110" t="s">
        <v>558</v>
      </c>
      <c r="AN110" t="s">
        <v>391</v>
      </c>
      <c r="AO110" t="s">
        <v>544</v>
      </c>
      <c r="AP110" t="s">
        <v>604</v>
      </c>
      <c r="AQ110" t="s">
        <v>560</v>
      </c>
      <c r="AR110" t="s">
        <v>561</v>
      </c>
      <c r="AS110" t="s">
        <v>544</v>
      </c>
      <c r="AT110" t="s">
        <v>788</v>
      </c>
      <c r="AU110" t="s">
        <v>544</v>
      </c>
      <c r="AV110" t="s">
        <v>544</v>
      </c>
      <c r="AW110" t="s">
        <v>544</v>
      </c>
      <c r="AY110" t="s">
        <v>544</v>
      </c>
      <c r="AZ110" t="s">
        <v>544</v>
      </c>
      <c r="BB110" t="s">
        <v>680</v>
      </c>
      <c r="BC110" t="s">
        <v>658</v>
      </c>
      <c r="BD110" t="s">
        <v>544</v>
      </c>
      <c r="BE110" t="s">
        <v>544</v>
      </c>
      <c r="BF110" t="s">
        <v>544</v>
      </c>
      <c r="BG110" t="s">
        <v>544</v>
      </c>
      <c r="BH110" t="s">
        <v>544</v>
      </c>
      <c r="BI110" t="s">
        <v>544</v>
      </c>
      <c r="BJ110" t="s">
        <v>544</v>
      </c>
      <c r="BK110" t="s">
        <v>544</v>
      </c>
      <c r="BL110" t="s">
        <v>544</v>
      </c>
      <c r="BM110" t="s">
        <v>544</v>
      </c>
      <c r="BN110" t="s">
        <v>544</v>
      </c>
      <c r="BO110" t="s">
        <v>544</v>
      </c>
      <c r="BP110" t="s">
        <v>544</v>
      </c>
      <c r="BQ110" t="s">
        <v>544</v>
      </c>
    </row>
    <row r="111" spans="1:69" x14ac:dyDescent="0.3">
      <c r="A111" t="s">
        <v>812</v>
      </c>
      <c r="B111" t="s">
        <v>539</v>
      </c>
      <c r="C111" t="s">
        <v>540</v>
      </c>
      <c r="D111" t="s">
        <v>541</v>
      </c>
      <c r="E111" t="s">
        <v>542</v>
      </c>
      <c r="F111" t="s">
        <v>543</v>
      </c>
      <c r="G111" t="s">
        <v>544</v>
      </c>
      <c r="H111" s="453"/>
      <c r="I111" t="s">
        <v>544</v>
      </c>
      <c r="J111">
        <v>2522</v>
      </c>
      <c r="K111" t="s">
        <v>585</v>
      </c>
      <c r="L111" t="s">
        <v>660</v>
      </c>
      <c r="M111" t="s">
        <v>547</v>
      </c>
      <c r="N111" t="s">
        <v>548</v>
      </c>
      <c r="O111" t="s">
        <v>544</v>
      </c>
      <c r="P111" t="s">
        <v>690</v>
      </c>
      <c r="Q111" t="s">
        <v>595</v>
      </c>
      <c r="R111" t="s">
        <v>544</v>
      </c>
      <c r="S111" t="s">
        <v>660</v>
      </c>
      <c r="T111" t="s">
        <v>552</v>
      </c>
      <c r="U111" t="s">
        <v>553</v>
      </c>
      <c r="V111" t="s">
        <v>554</v>
      </c>
      <c r="W111" t="s">
        <v>373</v>
      </c>
      <c r="X111">
        <v>1.25</v>
      </c>
      <c r="Y111" t="s">
        <v>469</v>
      </c>
      <c r="Z111">
        <v>1.25</v>
      </c>
      <c r="AA111" t="s">
        <v>544</v>
      </c>
      <c r="AB111" t="s">
        <v>544</v>
      </c>
      <c r="AC111" t="s">
        <v>544</v>
      </c>
      <c r="AD111" t="s">
        <v>544</v>
      </c>
      <c r="AE111" t="s">
        <v>544</v>
      </c>
      <c r="AG111">
        <v>1</v>
      </c>
      <c r="AH111" t="s">
        <v>544</v>
      </c>
      <c r="AI111" t="s">
        <v>544</v>
      </c>
      <c r="AJ111" t="s">
        <v>804</v>
      </c>
      <c r="AK111" t="s">
        <v>804</v>
      </c>
      <c r="AL111" t="s">
        <v>557</v>
      </c>
      <c r="AM111" t="s">
        <v>558</v>
      </c>
      <c r="AN111" t="s">
        <v>544</v>
      </c>
      <c r="AO111" t="s">
        <v>544</v>
      </c>
      <c r="AP111" t="s">
        <v>544</v>
      </c>
      <c r="AQ111" t="s">
        <v>560</v>
      </c>
      <c r="AR111" t="s">
        <v>561</v>
      </c>
      <c r="AS111" t="s">
        <v>544</v>
      </c>
      <c r="AT111" t="s">
        <v>767</v>
      </c>
      <c r="AU111" t="s">
        <v>544</v>
      </c>
      <c r="AV111" t="s">
        <v>544</v>
      </c>
      <c r="AW111" t="s">
        <v>544</v>
      </c>
      <c r="AY111" t="s">
        <v>544</v>
      </c>
      <c r="AZ111" t="s">
        <v>544</v>
      </c>
      <c r="BB111" t="s">
        <v>693</v>
      </c>
      <c r="BC111" t="s">
        <v>692</v>
      </c>
      <c r="BD111" t="s">
        <v>544</v>
      </c>
      <c r="BE111" t="s">
        <v>544</v>
      </c>
      <c r="BF111" t="s">
        <v>544</v>
      </c>
      <c r="BG111" t="s">
        <v>544</v>
      </c>
      <c r="BH111" t="s">
        <v>544</v>
      </c>
      <c r="BI111" t="s">
        <v>544</v>
      </c>
      <c r="BJ111" t="s">
        <v>544</v>
      </c>
      <c r="BK111" t="s">
        <v>544</v>
      </c>
      <c r="BL111" t="s">
        <v>544</v>
      </c>
      <c r="BM111" t="s">
        <v>544</v>
      </c>
      <c r="BN111" t="s">
        <v>544</v>
      </c>
      <c r="BO111" t="s">
        <v>544</v>
      </c>
      <c r="BP111" t="s">
        <v>544</v>
      </c>
      <c r="BQ111" t="s">
        <v>544</v>
      </c>
    </row>
    <row r="112" spans="1:69" x14ac:dyDescent="0.3">
      <c r="A112" t="s">
        <v>813</v>
      </c>
      <c r="B112" t="s">
        <v>539</v>
      </c>
      <c r="C112" t="s">
        <v>540</v>
      </c>
      <c r="D112" t="s">
        <v>541</v>
      </c>
      <c r="E112" t="s">
        <v>542</v>
      </c>
      <c r="F112" t="s">
        <v>543</v>
      </c>
      <c r="G112" t="s">
        <v>544</v>
      </c>
      <c r="H112" s="453"/>
      <c r="I112" t="s">
        <v>544</v>
      </c>
      <c r="J112">
        <v>2051</v>
      </c>
      <c r="K112" t="s">
        <v>585</v>
      </c>
      <c r="L112" t="s">
        <v>593</v>
      </c>
      <c r="M112" t="s">
        <v>547</v>
      </c>
      <c r="N112" t="s">
        <v>548</v>
      </c>
      <c r="O112" t="s">
        <v>544</v>
      </c>
      <c r="P112" t="s">
        <v>814</v>
      </c>
      <c r="Q112" t="s">
        <v>595</v>
      </c>
      <c r="R112" t="s">
        <v>544</v>
      </c>
      <c r="S112" t="s">
        <v>588</v>
      </c>
      <c r="T112" t="s">
        <v>552</v>
      </c>
      <c r="U112" t="s">
        <v>553</v>
      </c>
      <c r="V112" t="s">
        <v>554</v>
      </c>
      <c r="W112" t="s">
        <v>815</v>
      </c>
      <c r="X112">
        <v>1.25</v>
      </c>
      <c r="Y112" t="s">
        <v>469</v>
      </c>
      <c r="Z112">
        <v>0.75</v>
      </c>
      <c r="AA112" t="s">
        <v>544</v>
      </c>
      <c r="AB112" t="s">
        <v>544</v>
      </c>
      <c r="AC112" t="s">
        <v>544</v>
      </c>
      <c r="AD112" t="s">
        <v>544</v>
      </c>
      <c r="AE112" t="s">
        <v>544</v>
      </c>
      <c r="AG112">
        <v>1</v>
      </c>
      <c r="AH112" t="s">
        <v>544</v>
      </c>
      <c r="AI112" t="s">
        <v>544</v>
      </c>
      <c r="AJ112" t="s">
        <v>715</v>
      </c>
      <c r="AK112" t="s">
        <v>715</v>
      </c>
      <c r="AL112" t="s">
        <v>557</v>
      </c>
      <c r="AM112" t="s">
        <v>558</v>
      </c>
      <c r="AN112" t="s">
        <v>392</v>
      </c>
      <c r="AO112" t="s">
        <v>544</v>
      </c>
      <c r="AP112" t="s">
        <v>651</v>
      </c>
      <c r="AQ112" t="s">
        <v>560</v>
      </c>
      <c r="AR112" t="s">
        <v>561</v>
      </c>
      <c r="AS112" t="s">
        <v>544</v>
      </c>
      <c r="AT112" t="s">
        <v>816</v>
      </c>
      <c r="AU112" t="s">
        <v>544</v>
      </c>
      <c r="AV112" t="s">
        <v>544</v>
      </c>
      <c r="AW112" t="s">
        <v>544</v>
      </c>
      <c r="AY112" t="s">
        <v>544</v>
      </c>
      <c r="AZ112" t="s">
        <v>544</v>
      </c>
      <c r="BB112" t="s">
        <v>658</v>
      </c>
      <c r="BC112" t="s">
        <v>600</v>
      </c>
      <c r="BD112" t="s">
        <v>544</v>
      </c>
      <c r="BE112" t="s">
        <v>544</v>
      </c>
      <c r="BF112" t="s">
        <v>544</v>
      </c>
      <c r="BG112" t="s">
        <v>544</v>
      </c>
      <c r="BH112" t="s">
        <v>544</v>
      </c>
      <c r="BI112" t="s">
        <v>544</v>
      </c>
      <c r="BJ112" t="s">
        <v>544</v>
      </c>
      <c r="BK112" t="s">
        <v>544</v>
      </c>
      <c r="BL112" t="s">
        <v>544</v>
      </c>
      <c r="BM112" t="s">
        <v>544</v>
      </c>
      <c r="BN112" t="s">
        <v>544</v>
      </c>
      <c r="BO112" t="s">
        <v>544</v>
      </c>
      <c r="BP112" t="s">
        <v>544</v>
      </c>
      <c r="BQ112" t="s">
        <v>544</v>
      </c>
    </row>
    <row r="113" spans="1:69" x14ac:dyDescent="0.3">
      <c r="A113" t="s">
        <v>817</v>
      </c>
      <c r="B113" t="s">
        <v>539</v>
      </c>
      <c r="C113" t="s">
        <v>540</v>
      </c>
      <c r="D113" t="s">
        <v>541</v>
      </c>
      <c r="E113" t="s">
        <v>542</v>
      </c>
      <c r="F113" t="s">
        <v>543</v>
      </c>
      <c r="G113" t="s">
        <v>544</v>
      </c>
      <c r="H113" s="453"/>
      <c r="I113" t="s">
        <v>544</v>
      </c>
      <c r="J113">
        <v>2522</v>
      </c>
      <c r="K113" t="s">
        <v>585</v>
      </c>
      <c r="L113" t="s">
        <v>660</v>
      </c>
      <c r="M113" t="s">
        <v>547</v>
      </c>
      <c r="N113" t="s">
        <v>548</v>
      </c>
      <c r="O113" t="s">
        <v>544</v>
      </c>
      <c r="P113" t="s">
        <v>690</v>
      </c>
      <c r="Q113" t="s">
        <v>595</v>
      </c>
      <c r="R113" t="s">
        <v>544</v>
      </c>
      <c r="S113" t="s">
        <v>660</v>
      </c>
      <c r="T113" t="s">
        <v>552</v>
      </c>
      <c r="U113" t="s">
        <v>553</v>
      </c>
      <c r="V113" t="s">
        <v>554</v>
      </c>
      <c r="W113" t="s">
        <v>373</v>
      </c>
      <c r="X113">
        <v>1.25</v>
      </c>
      <c r="Y113" t="s">
        <v>469</v>
      </c>
      <c r="Z113">
        <v>1.25</v>
      </c>
      <c r="AA113" t="s">
        <v>544</v>
      </c>
      <c r="AB113" t="s">
        <v>544</v>
      </c>
      <c r="AC113" t="s">
        <v>544</v>
      </c>
      <c r="AD113" t="s">
        <v>544</v>
      </c>
      <c r="AE113" t="s">
        <v>544</v>
      </c>
      <c r="AG113">
        <v>1</v>
      </c>
      <c r="AH113" t="s">
        <v>544</v>
      </c>
      <c r="AI113" t="s">
        <v>544</v>
      </c>
      <c r="AJ113" t="s">
        <v>715</v>
      </c>
      <c r="AK113" t="s">
        <v>715</v>
      </c>
      <c r="AL113" t="s">
        <v>557</v>
      </c>
      <c r="AM113" t="s">
        <v>558</v>
      </c>
      <c r="AN113" t="s">
        <v>544</v>
      </c>
      <c r="AO113" t="s">
        <v>544</v>
      </c>
      <c r="AP113" t="s">
        <v>544</v>
      </c>
      <c r="AQ113" t="s">
        <v>560</v>
      </c>
      <c r="AR113" t="s">
        <v>561</v>
      </c>
      <c r="AS113" t="s">
        <v>544</v>
      </c>
      <c r="AT113" t="s">
        <v>767</v>
      </c>
      <c r="AU113" t="s">
        <v>544</v>
      </c>
      <c r="AV113" t="s">
        <v>544</v>
      </c>
      <c r="AW113" t="s">
        <v>544</v>
      </c>
      <c r="AY113" t="s">
        <v>544</v>
      </c>
      <c r="AZ113" t="s">
        <v>544</v>
      </c>
      <c r="BB113" t="s">
        <v>693</v>
      </c>
      <c r="BC113" t="s">
        <v>692</v>
      </c>
      <c r="BD113" t="s">
        <v>544</v>
      </c>
      <c r="BE113" t="s">
        <v>544</v>
      </c>
      <c r="BF113" t="s">
        <v>544</v>
      </c>
      <c r="BG113" t="s">
        <v>544</v>
      </c>
      <c r="BH113" t="s">
        <v>544</v>
      </c>
      <c r="BI113" t="s">
        <v>544</v>
      </c>
      <c r="BJ113" t="s">
        <v>544</v>
      </c>
      <c r="BK113" t="s">
        <v>544</v>
      </c>
      <c r="BL113" t="s">
        <v>544</v>
      </c>
      <c r="BM113" t="s">
        <v>544</v>
      </c>
      <c r="BN113" t="s">
        <v>544</v>
      </c>
      <c r="BO113" t="s">
        <v>544</v>
      </c>
      <c r="BP113" t="s">
        <v>544</v>
      </c>
      <c r="BQ113" t="s">
        <v>544</v>
      </c>
    </row>
    <row r="114" spans="1:69" x14ac:dyDescent="0.3">
      <c r="A114" t="s">
        <v>818</v>
      </c>
      <c r="B114" t="s">
        <v>539</v>
      </c>
      <c r="C114" t="s">
        <v>540</v>
      </c>
      <c r="D114" t="s">
        <v>541</v>
      </c>
      <c r="E114" t="s">
        <v>542</v>
      </c>
      <c r="F114" t="s">
        <v>543</v>
      </c>
      <c r="G114" t="s">
        <v>544</v>
      </c>
      <c r="H114" s="453"/>
      <c r="I114" t="s">
        <v>544</v>
      </c>
      <c r="J114">
        <v>2522</v>
      </c>
      <c r="K114" t="s">
        <v>585</v>
      </c>
      <c r="L114" t="s">
        <v>660</v>
      </c>
      <c r="M114" t="s">
        <v>547</v>
      </c>
      <c r="N114" t="s">
        <v>548</v>
      </c>
      <c r="O114" t="s">
        <v>544</v>
      </c>
      <c r="P114" t="s">
        <v>690</v>
      </c>
      <c r="Q114" t="s">
        <v>595</v>
      </c>
      <c r="R114" t="s">
        <v>544</v>
      </c>
      <c r="S114" t="s">
        <v>660</v>
      </c>
      <c r="T114" t="s">
        <v>552</v>
      </c>
      <c r="U114" t="s">
        <v>553</v>
      </c>
      <c r="V114" t="s">
        <v>554</v>
      </c>
      <c r="W114" t="s">
        <v>372</v>
      </c>
      <c r="X114">
        <v>0.75</v>
      </c>
      <c r="Y114" t="s">
        <v>470</v>
      </c>
      <c r="Z114">
        <v>0.75</v>
      </c>
      <c r="AA114" t="s">
        <v>544</v>
      </c>
      <c r="AB114" t="s">
        <v>544</v>
      </c>
      <c r="AC114" t="s">
        <v>544</v>
      </c>
      <c r="AD114" t="s">
        <v>544</v>
      </c>
      <c r="AE114" t="s">
        <v>544</v>
      </c>
      <c r="AG114">
        <v>1</v>
      </c>
      <c r="AH114" t="s">
        <v>544</v>
      </c>
      <c r="AI114" t="s">
        <v>544</v>
      </c>
      <c r="AJ114" t="s">
        <v>715</v>
      </c>
      <c r="AK114" t="s">
        <v>715</v>
      </c>
      <c r="AL114" t="s">
        <v>557</v>
      </c>
      <c r="AM114" t="s">
        <v>558</v>
      </c>
      <c r="AN114" t="s">
        <v>544</v>
      </c>
      <c r="AO114" t="s">
        <v>544</v>
      </c>
      <c r="AP114" t="s">
        <v>544</v>
      </c>
      <c r="AQ114" t="s">
        <v>560</v>
      </c>
      <c r="AR114" t="s">
        <v>561</v>
      </c>
      <c r="AS114" t="s">
        <v>544</v>
      </c>
      <c r="AT114" t="s">
        <v>691</v>
      </c>
      <c r="AU114" t="s">
        <v>544</v>
      </c>
      <c r="AV114" t="s">
        <v>544</v>
      </c>
      <c r="AW114" t="s">
        <v>544</v>
      </c>
      <c r="AY114" t="s">
        <v>544</v>
      </c>
      <c r="AZ114" t="s">
        <v>544</v>
      </c>
      <c r="BB114" t="s">
        <v>693</v>
      </c>
      <c r="BC114" t="s">
        <v>692</v>
      </c>
      <c r="BD114" t="s">
        <v>544</v>
      </c>
      <c r="BE114" t="s">
        <v>544</v>
      </c>
      <c r="BF114" t="s">
        <v>544</v>
      </c>
      <c r="BG114" t="s">
        <v>544</v>
      </c>
      <c r="BH114" t="s">
        <v>544</v>
      </c>
      <c r="BI114" t="s">
        <v>544</v>
      </c>
      <c r="BJ114" t="s">
        <v>544</v>
      </c>
      <c r="BK114" t="s">
        <v>544</v>
      </c>
      <c r="BL114" t="s">
        <v>544</v>
      </c>
      <c r="BM114" t="s">
        <v>544</v>
      </c>
      <c r="BN114" t="s">
        <v>544</v>
      </c>
      <c r="BO114" t="s">
        <v>544</v>
      </c>
      <c r="BP114" t="s">
        <v>544</v>
      </c>
      <c r="BQ114" t="s">
        <v>544</v>
      </c>
    </row>
    <row r="115" spans="1:69" x14ac:dyDescent="0.3">
      <c r="A115" t="s">
        <v>819</v>
      </c>
      <c r="B115" t="s">
        <v>539</v>
      </c>
      <c r="C115" t="s">
        <v>540</v>
      </c>
      <c r="D115" t="s">
        <v>541</v>
      </c>
      <c r="E115" t="s">
        <v>542</v>
      </c>
      <c r="F115" t="s">
        <v>543</v>
      </c>
      <c r="G115" t="s">
        <v>544</v>
      </c>
      <c r="H115" s="453"/>
      <c r="I115" t="s">
        <v>544</v>
      </c>
      <c r="J115">
        <v>2041</v>
      </c>
      <c r="K115" t="s">
        <v>545</v>
      </c>
      <c r="L115" t="s">
        <v>593</v>
      </c>
      <c r="M115" t="s">
        <v>547</v>
      </c>
      <c r="N115" t="s">
        <v>548</v>
      </c>
      <c r="O115" t="s">
        <v>544</v>
      </c>
      <c r="P115" t="s">
        <v>623</v>
      </c>
      <c r="Q115" t="s">
        <v>624</v>
      </c>
      <c r="R115" t="s">
        <v>544</v>
      </c>
      <c r="S115" t="s">
        <v>625</v>
      </c>
      <c r="T115" t="s">
        <v>552</v>
      </c>
      <c r="U115" t="s">
        <v>553</v>
      </c>
      <c r="V115" t="s">
        <v>554</v>
      </c>
      <c r="W115" t="s">
        <v>373</v>
      </c>
      <c r="X115">
        <v>1.25</v>
      </c>
      <c r="Y115" t="s">
        <v>469</v>
      </c>
      <c r="Z115">
        <v>1.25</v>
      </c>
      <c r="AA115" t="s">
        <v>544</v>
      </c>
      <c r="AB115" t="s">
        <v>544</v>
      </c>
      <c r="AC115" t="s">
        <v>544</v>
      </c>
      <c r="AD115" t="s">
        <v>544</v>
      </c>
      <c r="AE115" t="s">
        <v>820</v>
      </c>
      <c r="AF115">
        <v>7.3197000000000001</v>
      </c>
      <c r="AG115">
        <v>1</v>
      </c>
      <c r="AH115" t="s">
        <v>544</v>
      </c>
      <c r="AI115" t="s">
        <v>544</v>
      </c>
      <c r="AJ115" t="s">
        <v>611</v>
      </c>
      <c r="AK115" t="s">
        <v>611</v>
      </c>
      <c r="AL115" t="s">
        <v>557</v>
      </c>
      <c r="AM115" t="s">
        <v>558</v>
      </c>
      <c r="AN115" t="s">
        <v>389</v>
      </c>
      <c r="AO115" t="s">
        <v>544</v>
      </c>
      <c r="AP115" t="s">
        <v>821</v>
      </c>
      <c r="AQ115" t="s">
        <v>560</v>
      </c>
      <c r="AR115" t="s">
        <v>561</v>
      </c>
      <c r="AS115" t="s">
        <v>544</v>
      </c>
      <c r="AT115" t="s">
        <v>808</v>
      </c>
      <c r="AU115" t="s">
        <v>544</v>
      </c>
      <c r="AV115" t="s">
        <v>544</v>
      </c>
      <c r="AW115" t="s">
        <v>544</v>
      </c>
      <c r="AY115" t="s">
        <v>544</v>
      </c>
      <c r="AZ115" t="s">
        <v>544</v>
      </c>
      <c r="BB115" t="s">
        <v>629</v>
      </c>
      <c r="BC115" t="s">
        <v>629</v>
      </c>
      <c r="BD115" t="s">
        <v>544</v>
      </c>
      <c r="BE115" t="s">
        <v>544</v>
      </c>
      <c r="BF115" t="s">
        <v>544</v>
      </c>
      <c r="BG115" t="s">
        <v>544</v>
      </c>
      <c r="BH115" t="s">
        <v>544</v>
      </c>
      <c r="BI115" t="s">
        <v>544</v>
      </c>
      <c r="BJ115" t="s">
        <v>544</v>
      </c>
      <c r="BK115" t="s">
        <v>544</v>
      </c>
      <c r="BL115" t="s">
        <v>544</v>
      </c>
      <c r="BM115" t="s">
        <v>544</v>
      </c>
      <c r="BN115" t="s">
        <v>544</v>
      </c>
      <c r="BO115" t="s">
        <v>544</v>
      </c>
      <c r="BP115" t="s">
        <v>544</v>
      </c>
      <c r="BQ115" t="s">
        <v>544</v>
      </c>
    </row>
    <row r="116" spans="1:69" x14ac:dyDescent="0.3">
      <c r="A116" t="s">
        <v>822</v>
      </c>
      <c r="B116" t="s">
        <v>539</v>
      </c>
      <c r="C116" t="s">
        <v>540</v>
      </c>
      <c r="D116" t="s">
        <v>541</v>
      </c>
      <c r="E116" t="s">
        <v>542</v>
      </c>
      <c r="F116" t="s">
        <v>543</v>
      </c>
      <c r="G116" t="s">
        <v>544</v>
      </c>
      <c r="H116" s="453"/>
      <c r="I116" t="s">
        <v>544</v>
      </c>
      <c r="J116">
        <v>2522</v>
      </c>
      <c r="K116" t="s">
        <v>585</v>
      </c>
      <c r="L116" t="s">
        <v>660</v>
      </c>
      <c r="M116" t="s">
        <v>547</v>
      </c>
      <c r="N116" t="s">
        <v>548</v>
      </c>
      <c r="O116" t="s">
        <v>544</v>
      </c>
      <c r="P116" t="s">
        <v>690</v>
      </c>
      <c r="Q116" t="s">
        <v>595</v>
      </c>
      <c r="R116" t="s">
        <v>544</v>
      </c>
      <c r="S116" t="s">
        <v>660</v>
      </c>
      <c r="T116" t="s">
        <v>552</v>
      </c>
      <c r="U116" t="s">
        <v>553</v>
      </c>
      <c r="V116" t="s">
        <v>554</v>
      </c>
      <c r="W116" t="s">
        <v>373</v>
      </c>
      <c r="X116">
        <v>1.25</v>
      </c>
      <c r="Y116" t="s">
        <v>469</v>
      </c>
      <c r="Z116">
        <v>1.25</v>
      </c>
      <c r="AA116" t="s">
        <v>544</v>
      </c>
      <c r="AB116" t="s">
        <v>544</v>
      </c>
      <c r="AC116" t="s">
        <v>544</v>
      </c>
      <c r="AD116" t="s">
        <v>544</v>
      </c>
      <c r="AE116" t="s">
        <v>544</v>
      </c>
      <c r="AG116">
        <v>1</v>
      </c>
      <c r="AH116" t="s">
        <v>544</v>
      </c>
      <c r="AI116" t="s">
        <v>544</v>
      </c>
      <c r="AJ116" t="s">
        <v>611</v>
      </c>
      <c r="AK116" t="s">
        <v>611</v>
      </c>
      <c r="AL116" t="s">
        <v>557</v>
      </c>
      <c r="AM116" t="s">
        <v>558</v>
      </c>
      <c r="AN116" t="s">
        <v>544</v>
      </c>
      <c r="AO116" t="s">
        <v>544</v>
      </c>
      <c r="AP116" t="s">
        <v>544</v>
      </c>
      <c r="AQ116" t="s">
        <v>560</v>
      </c>
      <c r="AR116" t="s">
        <v>561</v>
      </c>
      <c r="AS116" t="s">
        <v>544</v>
      </c>
      <c r="AT116" t="s">
        <v>767</v>
      </c>
      <c r="AU116" t="s">
        <v>544</v>
      </c>
      <c r="AV116" t="s">
        <v>544</v>
      </c>
      <c r="AW116" t="s">
        <v>544</v>
      </c>
      <c r="AY116" t="s">
        <v>544</v>
      </c>
      <c r="AZ116" t="s">
        <v>544</v>
      </c>
      <c r="BB116" t="s">
        <v>693</v>
      </c>
      <c r="BC116" t="s">
        <v>692</v>
      </c>
      <c r="BD116" t="s">
        <v>544</v>
      </c>
      <c r="BE116" t="s">
        <v>544</v>
      </c>
      <c r="BF116" t="s">
        <v>544</v>
      </c>
      <c r="BG116" t="s">
        <v>544</v>
      </c>
      <c r="BH116" t="s">
        <v>544</v>
      </c>
      <c r="BI116" t="s">
        <v>544</v>
      </c>
      <c r="BJ116" t="s">
        <v>544</v>
      </c>
      <c r="BK116" t="s">
        <v>544</v>
      </c>
      <c r="BL116" t="s">
        <v>544</v>
      </c>
      <c r="BM116" t="s">
        <v>544</v>
      </c>
      <c r="BN116" t="s">
        <v>544</v>
      </c>
      <c r="BO116" t="s">
        <v>544</v>
      </c>
      <c r="BP116" t="s">
        <v>544</v>
      </c>
      <c r="BQ116" t="s">
        <v>544</v>
      </c>
    </row>
    <row r="117" spans="1:69" x14ac:dyDescent="0.3">
      <c r="A117" t="s">
        <v>823</v>
      </c>
      <c r="B117" t="s">
        <v>539</v>
      </c>
      <c r="C117" t="s">
        <v>540</v>
      </c>
      <c r="D117" t="s">
        <v>541</v>
      </c>
      <c r="E117" t="s">
        <v>542</v>
      </c>
      <c r="F117" t="s">
        <v>543</v>
      </c>
      <c r="G117" t="s">
        <v>544</v>
      </c>
      <c r="H117" s="453"/>
      <c r="I117" t="s">
        <v>544</v>
      </c>
      <c r="J117">
        <v>2522</v>
      </c>
      <c r="K117" t="s">
        <v>585</v>
      </c>
      <c r="L117" t="s">
        <v>660</v>
      </c>
      <c r="M117" t="s">
        <v>547</v>
      </c>
      <c r="N117" t="s">
        <v>548</v>
      </c>
      <c r="O117" t="s">
        <v>544</v>
      </c>
      <c r="P117" t="s">
        <v>690</v>
      </c>
      <c r="Q117" t="s">
        <v>595</v>
      </c>
      <c r="R117" t="s">
        <v>544</v>
      </c>
      <c r="S117" t="s">
        <v>660</v>
      </c>
      <c r="T117" t="s">
        <v>552</v>
      </c>
      <c r="U117" t="s">
        <v>553</v>
      </c>
      <c r="V117" t="s">
        <v>554</v>
      </c>
      <c r="W117" t="s">
        <v>372</v>
      </c>
      <c r="X117">
        <v>0.75</v>
      </c>
      <c r="Y117" t="s">
        <v>470</v>
      </c>
      <c r="Z117">
        <v>0.75</v>
      </c>
      <c r="AA117" t="s">
        <v>544</v>
      </c>
      <c r="AB117" t="s">
        <v>544</v>
      </c>
      <c r="AC117" t="s">
        <v>544</v>
      </c>
      <c r="AD117" t="s">
        <v>544</v>
      </c>
      <c r="AE117" t="s">
        <v>544</v>
      </c>
      <c r="AG117">
        <v>1</v>
      </c>
      <c r="AH117" t="s">
        <v>544</v>
      </c>
      <c r="AI117" t="s">
        <v>544</v>
      </c>
      <c r="AJ117" t="s">
        <v>544</v>
      </c>
      <c r="AK117" t="s">
        <v>544</v>
      </c>
      <c r="AL117" t="s">
        <v>557</v>
      </c>
      <c r="AM117" t="s">
        <v>558</v>
      </c>
      <c r="AN117" t="s">
        <v>544</v>
      </c>
      <c r="AO117" t="s">
        <v>544</v>
      </c>
      <c r="AP117" t="s">
        <v>544</v>
      </c>
      <c r="AQ117" t="s">
        <v>560</v>
      </c>
      <c r="AR117" t="s">
        <v>561</v>
      </c>
      <c r="AS117" t="s">
        <v>544</v>
      </c>
      <c r="AT117" t="s">
        <v>691</v>
      </c>
      <c r="AU117" t="s">
        <v>544</v>
      </c>
      <c r="AV117" t="s">
        <v>544</v>
      </c>
      <c r="AW117" t="s">
        <v>544</v>
      </c>
      <c r="AY117" t="s">
        <v>544</v>
      </c>
      <c r="AZ117" t="s">
        <v>544</v>
      </c>
      <c r="BB117" t="s">
        <v>692</v>
      </c>
      <c r="BC117" t="s">
        <v>693</v>
      </c>
      <c r="BD117" t="s">
        <v>544</v>
      </c>
      <c r="BE117" t="s">
        <v>544</v>
      </c>
      <c r="BF117" t="s">
        <v>544</v>
      </c>
      <c r="BG117" t="s">
        <v>544</v>
      </c>
      <c r="BH117" t="s">
        <v>544</v>
      </c>
      <c r="BI117" t="s">
        <v>544</v>
      </c>
      <c r="BJ117" t="s">
        <v>544</v>
      </c>
      <c r="BK117" t="s">
        <v>544</v>
      </c>
      <c r="BL117" t="s">
        <v>544</v>
      </c>
      <c r="BM117" t="s">
        <v>544</v>
      </c>
      <c r="BN117" t="s">
        <v>544</v>
      </c>
      <c r="BO117" t="s">
        <v>544</v>
      </c>
      <c r="BP117" t="s">
        <v>544</v>
      </c>
      <c r="BQ117" t="s">
        <v>544</v>
      </c>
    </row>
    <row r="118" spans="1:69" x14ac:dyDescent="0.3">
      <c r="A118" t="s">
        <v>824</v>
      </c>
      <c r="B118" t="s">
        <v>539</v>
      </c>
      <c r="C118" t="s">
        <v>540</v>
      </c>
      <c r="D118" t="s">
        <v>541</v>
      </c>
      <c r="E118" t="s">
        <v>542</v>
      </c>
      <c r="F118" t="s">
        <v>543</v>
      </c>
      <c r="G118" t="s">
        <v>544</v>
      </c>
      <c r="H118" s="453"/>
      <c r="I118" t="s">
        <v>544</v>
      </c>
      <c r="J118">
        <v>2522</v>
      </c>
      <c r="K118" t="s">
        <v>585</v>
      </c>
      <c r="L118" t="s">
        <v>660</v>
      </c>
      <c r="M118" t="s">
        <v>547</v>
      </c>
      <c r="N118" t="s">
        <v>548</v>
      </c>
      <c r="O118" t="s">
        <v>544</v>
      </c>
      <c r="P118" t="s">
        <v>690</v>
      </c>
      <c r="Q118" t="s">
        <v>595</v>
      </c>
      <c r="R118" t="s">
        <v>544</v>
      </c>
      <c r="S118" t="s">
        <v>660</v>
      </c>
      <c r="T118" t="s">
        <v>552</v>
      </c>
      <c r="U118" t="s">
        <v>553</v>
      </c>
      <c r="V118" t="s">
        <v>554</v>
      </c>
      <c r="W118" t="s">
        <v>372</v>
      </c>
      <c r="X118">
        <v>0.75</v>
      </c>
      <c r="Y118" t="s">
        <v>470</v>
      </c>
      <c r="Z118">
        <v>0.75</v>
      </c>
      <c r="AA118" t="s">
        <v>544</v>
      </c>
      <c r="AB118" t="s">
        <v>544</v>
      </c>
      <c r="AC118" t="s">
        <v>544</v>
      </c>
      <c r="AD118" t="s">
        <v>544</v>
      </c>
      <c r="AE118" t="s">
        <v>544</v>
      </c>
      <c r="AG118">
        <v>1</v>
      </c>
      <c r="AH118" t="s">
        <v>544</v>
      </c>
      <c r="AI118" t="s">
        <v>544</v>
      </c>
      <c r="AJ118" t="s">
        <v>650</v>
      </c>
      <c r="AK118" t="s">
        <v>650</v>
      </c>
      <c r="AL118" t="s">
        <v>557</v>
      </c>
      <c r="AM118" t="s">
        <v>558</v>
      </c>
      <c r="AN118" t="s">
        <v>544</v>
      </c>
      <c r="AO118" t="s">
        <v>544</v>
      </c>
      <c r="AP118" t="s">
        <v>544</v>
      </c>
      <c r="AQ118" t="s">
        <v>560</v>
      </c>
      <c r="AR118" t="s">
        <v>561</v>
      </c>
      <c r="AS118" t="s">
        <v>544</v>
      </c>
      <c r="AT118" t="s">
        <v>691</v>
      </c>
      <c r="AU118" t="s">
        <v>544</v>
      </c>
      <c r="AV118" t="s">
        <v>544</v>
      </c>
      <c r="AW118" t="s">
        <v>544</v>
      </c>
      <c r="AY118" t="s">
        <v>544</v>
      </c>
      <c r="AZ118" t="s">
        <v>544</v>
      </c>
      <c r="BB118" t="s">
        <v>692</v>
      </c>
      <c r="BC118" t="s">
        <v>693</v>
      </c>
      <c r="BD118" t="s">
        <v>544</v>
      </c>
      <c r="BE118" t="s">
        <v>544</v>
      </c>
      <c r="BF118" t="s">
        <v>544</v>
      </c>
      <c r="BG118" t="s">
        <v>544</v>
      </c>
      <c r="BH118" t="s">
        <v>544</v>
      </c>
      <c r="BI118" t="s">
        <v>544</v>
      </c>
      <c r="BJ118" t="s">
        <v>544</v>
      </c>
      <c r="BK118" t="s">
        <v>544</v>
      </c>
      <c r="BL118" t="s">
        <v>544</v>
      </c>
      <c r="BM118" t="s">
        <v>544</v>
      </c>
      <c r="BN118" t="s">
        <v>544</v>
      </c>
      <c r="BO118" t="s">
        <v>544</v>
      </c>
      <c r="BP118" t="s">
        <v>544</v>
      </c>
      <c r="BQ118" t="s">
        <v>544</v>
      </c>
    </row>
    <row r="119" spans="1:69" x14ac:dyDescent="0.3">
      <c r="A119" t="s">
        <v>825</v>
      </c>
      <c r="B119" t="s">
        <v>539</v>
      </c>
      <c r="C119" t="s">
        <v>540</v>
      </c>
      <c r="D119" t="s">
        <v>541</v>
      </c>
      <c r="E119" t="s">
        <v>542</v>
      </c>
      <c r="F119" t="s">
        <v>543</v>
      </c>
      <c r="G119" t="s">
        <v>544</v>
      </c>
      <c r="H119" s="453"/>
      <c r="I119" t="s">
        <v>544</v>
      </c>
      <c r="J119">
        <v>2060</v>
      </c>
      <c r="K119" t="s">
        <v>585</v>
      </c>
      <c r="L119" t="s">
        <v>546</v>
      </c>
      <c r="M119" t="s">
        <v>547</v>
      </c>
      <c r="N119" t="s">
        <v>548</v>
      </c>
      <c r="O119" t="s">
        <v>544</v>
      </c>
      <c r="P119" t="s">
        <v>826</v>
      </c>
      <c r="Q119" t="s">
        <v>550</v>
      </c>
      <c r="R119" t="s">
        <v>544</v>
      </c>
      <c r="S119" t="s">
        <v>588</v>
      </c>
      <c r="T119" t="s">
        <v>552</v>
      </c>
      <c r="U119" t="s">
        <v>553</v>
      </c>
      <c r="V119" t="s">
        <v>554</v>
      </c>
      <c r="W119" t="s">
        <v>374</v>
      </c>
      <c r="X119">
        <v>1.5</v>
      </c>
      <c r="Y119" t="s">
        <v>472</v>
      </c>
      <c r="AA119" t="s">
        <v>544</v>
      </c>
      <c r="AB119" t="s">
        <v>544</v>
      </c>
      <c r="AC119" t="s">
        <v>544</v>
      </c>
      <c r="AD119" t="s">
        <v>544</v>
      </c>
      <c r="AE119" t="s">
        <v>544</v>
      </c>
      <c r="AG119">
        <v>1</v>
      </c>
      <c r="AH119" t="s">
        <v>544</v>
      </c>
      <c r="AI119" t="s">
        <v>544</v>
      </c>
      <c r="AJ119" t="s">
        <v>756</v>
      </c>
      <c r="AK119" t="s">
        <v>756</v>
      </c>
      <c r="AL119" t="s">
        <v>557</v>
      </c>
      <c r="AM119" t="s">
        <v>558</v>
      </c>
      <c r="AN119" t="s">
        <v>392</v>
      </c>
      <c r="AO119" t="s">
        <v>544</v>
      </c>
      <c r="AP119" t="s">
        <v>827</v>
      </c>
      <c r="AQ119" t="s">
        <v>560</v>
      </c>
      <c r="AR119" t="s">
        <v>561</v>
      </c>
      <c r="AS119" t="s">
        <v>544</v>
      </c>
      <c r="AT119" t="s">
        <v>828</v>
      </c>
      <c r="AU119" t="s">
        <v>544</v>
      </c>
      <c r="AV119" t="s">
        <v>544</v>
      </c>
      <c r="AW119" t="s">
        <v>544</v>
      </c>
      <c r="AY119" t="s">
        <v>544</v>
      </c>
      <c r="AZ119" t="s">
        <v>544</v>
      </c>
      <c r="BB119" t="s">
        <v>829</v>
      </c>
      <c r="BC119" t="s">
        <v>544</v>
      </c>
      <c r="BD119" t="s">
        <v>544</v>
      </c>
      <c r="BE119" t="s">
        <v>544</v>
      </c>
      <c r="BF119" t="s">
        <v>544</v>
      </c>
      <c r="BG119" t="s">
        <v>544</v>
      </c>
      <c r="BH119" t="s">
        <v>544</v>
      </c>
      <c r="BI119" t="s">
        <v>544</v>
      </c>
      <c r="BJ119" t="s">
        <v>544</v>
      </c>
      <c r="BK119" t="s">
        <v>544</v>
      </c>
      <c r="BL119" t="s">
        <v>544</v>
      </c>
      <c r="BM119" t="s">
        <v>544</v>
      </c>
      <c r="BN119" t="s">
        <v>544</v>
      </c>
      <c r="BO119" t="s">
        <v>544</v>
      </c>
      <c r="BP119" t="s">
        <v>544</v>
      </c>
      <c r="BQ119" t="s">
        <v>544</v>
      </c>
    </row>
    <row r="120" spans="1:69" x14ac:dyDescent="0.3">
      <c r="A120" t="s">
        <v>830</v>
      </c>
      <c r="B120" t="s">
        <v>539</v>
      </c>
      <c r="C120" t="s">
        <v>540</v>
      </c>
      <c r="D120" t="s">
        <v>541</v>
      </c>
      <c r="E120" t="s">
        <v>542</v>
      </c>
      <c r="F120" t="s">
        <v>543</v>
      </c>
      <c r="G120" t="s">
        <v>544</v>
      </c>
      <c r="H120" s="453"/>
      <c r="I120" t="s">
        <v>544</v>
      </c>
      <c r="J120">
        <v>2522</v>
      </c>
      <c r="K120" t="s">
        <v>585</v>
      </c>
      <c r="L120" t="s">
        <v>660</v>
      </c>
      <c r="M120" t="s">
        <v>547</v>
      </c>
      <c r="N120" t="s">
        <v>548</v>
      </c>
      <c r="O120" t="s">
        <v>544</v>
      </c>
      <c r="P120" t="s">
        <v>690</v>
      </c>
      <c r="Q120" t="s">
        <v>595</v>
      </c>
      <c r="R120" t="s">
        <v>544</v>
      </c>
      <c r="S120" t="s">
        <v>660</v>
      </c>
      <c r="T120" t="s">
        <v>552</v>
      </c>
      <c r="U120" t="s">
        <v>553</v>
      </c>
      <c r="V120" t="s">
        <v>554</v>
      </c>
      <c r="W120" t="s">
        <v>374</v>
      </c>
      <c r="X120">
        <v>1.5</v>
      </c>
      <c r="Y120" t="s">
        <v>472</v>
      </c>
      <c r="Z120">
        <v>1.5</v>
      </c>
      <c r="AA120" t="s">
        <v>544</v>
      </c>
      <c r="AB120" t="s">
        <v>544</v>
      </c>
      <c r="AC120" t="s">
        <v>544</v>
      </c>
      <c r="AD120" t="s">
        <v>544</v>
      </c>
      <c r="AE120" t="s">
        <v>544</v>
      </c>
      <c r="AG120">
        <v>1</v>
      </c>
      <c r="AH120" t="s">
        <v>544</v>
      </c>
      <c r="AI120" t="s">
        <v>544</v>
      </c>
      <c r="AJ120" t="s">
        <v>756</v>
      </c>
      <c r="AK120" t="s">
        <v>756</v>
      </c>
      <c r="AL120" t="s">
        <v>557</v>
      </c>
      <c r="AM120" t="s">
        <v>558</v>
      </c>
      <c r="AN120" t="s">
        <v>544</v>
      </c>
      <c r="AO120" t="s">
        <v>544</v>
      </c>
      <c r="AP120" t="s">
        <v>544</v>
      </c>
      <c r="AQ120" t="s">
        <v>560</v>
      </c>
      <c r="AR120" t="s">
        <v>561</v>
      </c>
      <c r="AS120" t="s">
        <v>544</v>
      </c>
      <c r="AT120" t="s">
        <v>719</v>
      </c>
      <c r="AU120" t="s">
        <v>544</v>
      </c>
      <c r="AV120" t="s">
        <v>544</v>
      </c>
      <c r="AW120" t="s">
        <v>544</v>
      </c>
      <c r="AY120" t="s">
        <v>544</v>
      </c>
      <c r="AZ120" t="s">
        <v>544</v>
      </c>
      <c r="BB120" t="s">
        <v>692</v>
      </c>
      <c r="BC120" t="s">
        <v>693</v>
      </c>
      <c r="BD120" t="s">
        <v>544</v>
      </c>
      <c r="BE120" t="s">
        <v>544</v>
      </c>
      <c r="BF120" t="s">
        <v>544</v>
      </c>
      <c r="BG120" t="s">
        <v>544</v>
      </c>
      <c r="BH120" t="s">
        <v>544</v>
      </c>
      <c r="BI120" t="s">
        <v>544</v>
      </c>
      <c r="BJ120" t="s">
        <v>544</v>
      </c>
      <c r="BK120" t="s">
        <v>544</v>
      </c>
      <c r="BL120" t="s">
        <v>544</v>
      </c>
      <c r="BM120" t="s">
        <v>544</v>
      </c>
      <c r="BN120" t="s">
        <v>544</v>
      </c>
      <c r="BO120" t="s">
        <v>544</v>
      </c>
      <c r="BP120" t="s">
        <v>544</v>
      </c>
      <c r="BQ120" t="s">
        <v>544</v>
      </c>
    </row>
    <row r="121" spans="1:69" x14ac:dyDescent="0.3">
      <c r="A121" t="s">
        <v>831</v>
      </c>
      <c r="B121" t="s">
        <v>539</v>
      </c>
      <c r="C121" t="s">
        <v>540</v>
      </c>
      <c r="D121" t="s">
        <v>541</v>
      </c>
      <c r="E121" t="s">
        <v>542</v>
      </c>
      <c r="F121" t="s">
        <v>543</v>
      </c>
      <c r="G121" t="s">
        <v>544</v>
      </c>
      <c r="H121" s="453"/>
      <c r="I121" t="s">
        <v>544</v>
      </c>
      <c r="J121">
        <v>2060</v>
      </c>
      <c r="K121" t="s">
        <v>585</v>
      </c>
      <c r="L121" t="s">
        <v>546</v>
      </c>
      <c r="M121" t="s">
        <v>547</v>
      </c>
      <c r="N121" t="s">
        <v>548</v>
      </c>
      <c r="O121" t="s">
        <v>544</v>
      </c>
      <c r="P121" t="s">
        <v>826</v>
      </c>
      <c r="Q121" t="s">
        <v>550</v>
      </c>
      <c r="R121" t="s">
        <v>544</v>
      </c>
      <c r="S121" t="s">
        <v>588</v>
      </c>
      <c r="T121" t="s">
        <v>552</v>
      </c>
      <c r="U121" t="s">
        <v>553</v>
      </c>
      <c r="V121" t="s">
        <v>554</v>
      </c>
      <c r="W121" t="s">
        <v>374</v>
      </c>
      <c r="X121">
        <v>1.5</v>
      </c>
      <c r="Y121" t="s">
        <v>472</v>
      </c>
      <c r="AA121" t="s">
        <v>544</v>
      </c>
      <c r="AB121" t="s">
        <v>544</v>
      </c>
      <c r="AC121" t="s">
        <v>544</v>
      </c>
      <c r="AD121" t="s">
        <v>544</v>
      </c>
      <c r="AE121" t="s">
        <v>544</v>
      </c>
      <c r="AG121">
        <v>1</v>
      </c>
      <c r="AH121" t="s">
        <v>544</v>
      </c>
      <c r="AI121" t="s">
        <v>544</v>
      </c>
      <c r="AJ121" t="s">
        <v>578</v>
      </c>
      <c r="AK121" t="s">
        <v>578</v>
      </c>
      <c r="AL121" t="s">
        <v>557</v>
      </c>
      <c r="AM121" t="s">
        <v>558</v>
      </c>
      <c r="AN121" t="s">
        <v>390</v>
      </c>
      <c r="AO121" t="s">
        <v>544</v>
      </c>
      <c r="AP121" t="s">
        <v>827</v>
      </c>
      <c r="AQ121" t="s">
        <v>560</v>
      </c>
      <c r="AR121" t="s">
        <v>561</v>
      </c>
      <c r="AS121" t="s">
        <v>544</v>
      </c>
      <c r="AT121" t="s">
        <v>828</v>
      </c>
      <c r="AU121" t="s">
        <v>544</v>
      </c>
      <c r="AV121" t="s">
        <v>544</v>
      </c>
      <c r="AW121" t="s">
        <v>544</v>
      </c>
      <c r="AY121" t="s">
        <v>544</v>
      </c>
      <c r="AZ121" t="s">
        <v>544</v>
      </c>
      <c r="BB121" t="s">
        <v>829</v>
      </c>
      <c r="BC121" t="s">
        <v>544</v>
      </c>
      <c r="BD121" t="s">
        <v>544</v>
      </c>
      <c r="BE121" t="s">
        <v>544</v>
      </c>
      <c r="BF121" t="s">
        <v>544</v>
      </c>
      <c r="BG121" t="s">
        <v>544</v>
      </c>
      <c r="BH121" t="s">
        <v>544</v>
      </c>
      <c r="BI121" t="s">
        <v>544</v>
      </c>
      <c r="BJ121" t="s">
        <v>544</v>
      </c>
      <c r="BK121" t="s">
        <v>544</v>
      </c>
      <c r="BL121" t="s">
        <v>544</v>
      </c>
      <c r="BM121" t="s">
        <v>544</v>
      </c>
      <c r="BN121" t="s">
        <v>544</v>
      </c>
      <c r="BO121" t="s">
        <v>544</v>
      </c>
      <c r="BP121" t="s">
        <v>544</v>
      </c>
      <c r="BQ121" t="s">
        <v>544</v>
      </c>
    </row>
    <row r="122" spans="1:69" x14ac:dyDescent="0.3">
      <c r="A122" t="s">
        <v>832</v>
      </c>
      <c r="B122" t="s">
        <v>539</v>
      </c>
      <c r="C122" t="s">
        <v>540</v>
      </c>
      <c r="D122" t="s">
        <v>541</v>
      </c>
      <c r="E122" t="s">
        <v>542</v>
      </c>
      <c r="F122" t="s">
        <v>543</v>
      </c>
      <c r="G122" t="s">
        <v>544</v>
      </c>
      <c r="H122" s="453"/>
      <c r="I122" t="s">
        <v>544</v>
      </c>
      <c r="J122">
        <v>2522</v>
      </c>
      <c r="K122" t="s">
        <v>585</v>
      </c>
      <c r="L122" t="s">
        <v>660</v>
      </c>
      <c r="M122" t="s">
        <v>547</v>
      </c>
      <c r="N122" t="s">
        <v>548</v>
      </c>
      <c r="O122" t="s">
        <v>544</v>
      </c>
      <c r="P122" t="s">
        <v>690</v>
      </c>
      <c r="Q122" t="s">
        <v>595</v>
      </c>
      <c r="R122" t="s">
        <v>544</v>
      </c>
      <c r="S122" t="s">
        <v>660</v>
      </c>
      <c r="T122" t="s">
        <v>552</v>
      </c>
      <c r="U122" t="s">
        <v>553</v>
      </c>
      <c r="V122" t="s">
        <v>554</v>
      </c>
      <c r="W122" t="s">
        <v>374</v>
      </c>
      <c r="X122">
        <v>1.5</v>
      </c>
      <c r="Y122" t="s">
        <v>472</v>
      </c>
      <c r="Z122">
        <v>1.5</v>
      </c>
      <c r="AA122" t="s">
        <v>544</v>
      </c>
      <c r="AB122" t="s">
        <v>544</v>
      </c>
      <c r="AC122" t="s">
        <v>544</v>
      </c>
      <c r="AD122" t="s">
        <v>544</v>
      </c>
      <c r="AE122" t="s">
        <v>544</v>
      </c>
      <c r="AG122">
        <v>1</v>
      </c>
      <c r="AH122" t="s">
        <v>544</v>
      </c>
      <c r="AI122" t="s">
        <v>544</v>
      </c>
      <c r="AJ122" t="s">
        <v>578</v>
      </c>
      <c r="AK122" t="s">
        <v>578</v>
      </c>
      <c r="AL122" t="s">
        <v>557</v>
      </c>
      <c r="AM122" t="s">
        <v>558</v>
      </c>
      <c r="AN122" t="s">
        <v>544</v>
      </c>
      <c r="AO122" t="s">
        <v>544</v>
      </c>
      <c r="AP122" t="s">
        <v>544</v>
      </c>
      <c r="AQ122" t="s">
        <v>560</v>
      </c>
      <c r="AR122" t="s">
        <v>561</v>
      </c>
      <c r="AS122" t="s">
        <v>544</v>
      </c>
      <c r="AT122" t="s">
        <v>719</v>
      </c>
      <c r="AU122" t="s">
        <v>544</v>
      </c>
      <c r="AV122" t="s">
        <v>544</v>
      </c>
      <c r="AW122" t="s">
        <v>544</v>
      </c>
      <c r="AY122" t="s">
        <v>544</v>
      </c>
      <c r="AZ122" t="s">
        <v>544</v>
      </c>
      <c r="BB122" t="s">
        <v>693</v>
      </c>
      <c r="BC122" t="s">
        <v>692</v>
      </c>
      <c r="BD122" t="s">
        <v>544</v>
      </c>
      <c r="BE122" t="s">
        <v>544</v>
      </c>
      <c r="BF122" t="s">
        <v>544</v>
      </c>
      <c r="BG122" t="s">
        <v>544</v>
      </c>
      <c r="BH122" t="s">
        <v>544</v>
      </c>
      <c r="BI122" t="s">
        <v>544</v>
      </c>
      <c r="BJ122" t="s">
        <v>544</v>
      </c>
      <c r="BK122" t="s">
        <v>544</v>
      </c>
      <c r="BL122" t="s">
        <v>544</v>
      </c>
      <c r="BM122" t="s">
        <v>544</v>
      </c>
      <c r="BN122" t="s">
        <v>544</v>
      </c>
      <c r="BO122" t="s">
        <v>544</v>
      </c>
      <c r="BP122" t="s">
        <v>544</v>
      </c>
      <c r="BQ122" t="s">
        <v>544</v>
      </c>
    </row>
    <row r="123" spans="1:69" x14ac:dyDescent="0.3">
      <c r="A123" t="s">
        <v>833</v>
      </c>
      <c r="B123" t="s">
        <v>539</v>
      </c>
      <c r="C123" t="s">
        <v>540</v>
      </c>
      <c r="D123" t="s">
        <v>541</v>
      </c>
      <c r="E123" t="s">
        <v>542</v>
      </c>
      <c r="F123" t="s">
        <v>543</v>
      </c>
      <c r="G123" t="s">
        <v>544</v>
      </c>
      <c r="H123" s="453"/>
      <c r="I123" t="s">
        <v>544</v>
      </c>
      <c r="J123">
        <v>2060</v>
      </c>
      <c r="K123" t="s">
        <v>585</v>
      </c>
      <c r="L123" t="s">
        <v>546</v>
      </c>
      <c r="M123" t="s">
        <v>547</v>
      </c>
      <c r="N123" t="s">
        <v>548</v>
      </c>
      <c r="O123" t="s">
        <v>544</v>
      </c>
      <c r="P123" t="s">
        <v>826</v>
      </c>
      <c r="Q123" t="s">
        <v>550</v>
      </c>
      <c r="R123" t="s">
        <v>544</v>
      </c>
      <c r="S123" t="s">
        <v>588</v>
      </c>
      <c r="T123" t="s">
        <v>552</v>
      </c>
      <c r="U123" t="s">
        <v>553</v>
      </c>
      <c r="V123" t="s">
        <v>554</v>
      </c>
      <c r="W123" t="s">
        <v>374</v>
      </c>
      <c r="X123">
        <v>1.5</v>
      </c>
      <c r="Y123" t="s">
        <v>472</v>
      </c>
      <c r="AA123" t="s">
        <v>544</v>
      </c>
      <c r="AB123" t="s">
        <v>544</v>
      </c>
      <c r="AC123" t="s">
        <v>544</v>
      </c>
      <c r="AD123" t="s">
        <v>544</v>
      </c>
      <c r="AE123" t="s">
        <v>544</v>
      </c>
      <c r="AG123">
        <v>1</v>
      </c>
      <c r="AH123" t="s">
        <v>544</v>
      </c>
      <c r="AI123" t="s">
        <v>544</v>
      </c>
      <c r="AJ123" t="s">
        <v>636</v>
      </c>
      <c r="AK123" t="s">
        <v>636</v>
      </c>
      <c r="AL123" t="s">
        <v>557</v>
      </c>
      <c r="AM123" t="s">
        <v>558</v>
      </c>
      <c r="AN123" t="s">
        <v>391</v>
      </c>
      <c r="AO123" t="s">
        <v>544</v>
      </c>
      <c r="AP123" t="s">
        <v>827</v>
      </c>
      <c r="AQ123" t="s">
        <v>560</v>
      </c>
      <c r="AR123" t="s">
        <v>561</v>
      </c>
      <c r="AS123" t="s">
        <v>544</v>
      </c>
      <c r="AT123" t="s">
        <v>828</v>
      </c>
      <c r="AU123" t="s">
        <v>544</v>
      </c>
      <c r="AV123" t="s">
        <v>544</v>
      </c>
      <c r="AW123" t="s">
        <v>544</v>
      </c>
      <c r="AY123" t="s">
        <v>544</v>
      </c>
      <c r="AZ123" t="s">
        <v>544</v>
      </c>
      <c r="BB123" t="s">
        <v>829</v>
      </c>
      <c r="BC123" t="s">
        <v>544</v>
      </c>
      <c r="BD123" t="s">
        <v>544</v>
      </c>
      <c r="BE123" t="s">
        <v>544</v>
      </c>
      <c r="BF123" t="s">
        <v>544</v>
      </c>
      <c r="BG123" t="s">
        <v>544</v>
      </c>
      <c r="BH123" t="s">
        <v>544</v>
      </c>
      <c r="BI123" t="s">
        <v>544</v>
      </c>
      <c r="BJ123" t="s">
        <v>544</v>
      </c>
      <c r="BK123" t="s">
        <v>544</v>
      </c>
      <c r="BL123" t="s">
        <v>544</v>
      </c>
      <c r="BM123" t="s">
        <v>544</v>
      </c>
      <c r="BN123" t="s">
        <v>544</v>
      </c>
      <c r="BO123" t="s">
        <v>544</v>
      </c>
      <c r="BP123" t="s">
        <v>544</v>
      </c>
      <c r="BQ123" t="s">
        <v>544</v>
      </c>
    </row>
    <row r="124" spans="1:69" x14ac:dyDescent="0.3">
      <c r="A124" t="s">
        <v>834</v>
      </c>
      <c r="B124" t="s">
        <v>539</v>
      </c>
      <c r="C124" t="s">
        <v>540</v>
      </c>
      <c r="D124" t="s">
        <v>541</v>
      </c>
      <c r="E124" t="s">
        <v>542</v>
      </c>
      <c r="F124" t="s">
        <v>543</v>
      </c>
      <c r="G124" t="s">
        <v>544</v>
      </c>
      <c r="H124" s="453"/>
      <c r="I124" t="s">
        <v>544</v>
      </c>
      <c r="J124">
        <v>2522</v>
      </c>
      <c r="K124" t="s">
        <v>585</v>
      </c>
      <c r="L124" t="s">
        <v>660</v>
      </c>
      <c r="M124" t="s">
        <v>547</v>
      </c>
      <c r="N124" t="s">
        <v>548</v>
      </c>
      <c r="O124" t="s">
        <v>544</v>
      </c>
      <c r="P124" t="s">
        <v>690</v>
      </c>
      <c r="Q124" t="s">
        <v>595</v>
      </c>
      <c r="R124" t="s">
        <v>544</v>
      </c>
      <c r="S124" t="s">
        <v>660</v>
      </c>
      <c r="T124" t="s">
        <v>552</v>
      </c>
      <c r="U124" t="s">
        <v>553</v>
      </c>
      <c r="V124" t="s">
        <v>554</v>
      </c>
      <c r="W124" t="s">
        <v>374</v>
      </c>
      <c r="X124">
        <v>1.5</v>
      </c>
      <c r="Y124" t="s">
        <v>472</v>
      </c>
      <c r="Z124">
        <v>1.5</v>
      </c>
      <c r="AA124" t="s">
        <v>544</v>
      </c>
      <c r="AB124" t="s">
        <v>544</v>
      </c>
      <c r="AC124" t="s">
        <v>544</v>
      </c>
      <c r="AD124" t="s">
        <v>544</v>
      </c>
      <c r="AE124" t="s">
        <v>544</v>
      </c>
      <c r="AG124">
        <v>1</v>
      </c>
      <c r="AH124" t="s">
        <v>544</v>
      </c>
      <c r="AI124" t="s">
        <v>544</v>
      </c>
      <c r="AJ124" t="s">
        <v>636</v>
      </c>
      <c r="AK124" t="s">
        <v>636</v>
      </c>
      <c r="AL124" t="s">
        <v>557</v>
      </c>
      <c r="AM124" t="s">
        <v>558</v>
      </c>
      <c r="AN124" t="s">
        <v>544</v>
      </c>
      <c r="AO124" t="s">
        <v>544</v>
      </c>
      <c r="AP124" t="s">
        <v>544</v>
      </c>
      <c r="AQ124" t="s">
        <v>560</v>
      </c>
      <c r="AR124" t="s">
        <v>561</v>
      </c>
      <c r="AS124" t="s">
        <v>544</v>
      </c>
      <c r="AT124" t="s">
        <v>719</v>
      </c>
      <c r="AU124" t="s">
        <v>544</v>
      </c>
      <c r="AV124" t="s">
        <v>544</v>
      </c>
      <c r="AW124" t="s">
        <v>544</v>
      </c>
      <c r="AY124" t="s">
        <v>544</v>
      </c>
      <c r="AZ124" t="s">
        <v>544</v>
      </c>
      <c r="BB124" t="s">
        <v>693</v>
      </c>
      <c r="BC124" t="s">
        <v>692</v>
      </c>
      <c r="BD124" t="s">
        <v>544</v>
      </c>
      <c r="BE124" t="s">
        <v>544</v>
      </c>
      <c r="BF124" t="s">
        <v>544</v>
      </c>
      <c r="BG124" t="s">
        <v>544</v>
      </c>
      <c r="BH124" t="s">
        <v>544</v>
      </c>
      <c r="BI124" t="s">
        <v>544</v>
      </c>
      <c r="BJ124" t="s">
        <v>544</v>
      </c>
      <c r="BK124" t="s">
        <v>544</v>
      </c>
      <c r="BL124" t="s">
        <v>544</v>
      </c>
      <c r="BM124" t="s">
        <v>544</v>
      </c>
      <c r="BN124" t="s">
        <v>544</v>
      </c>
      <c r="BO124" t="s">
        <v>544</v>
      </c>
      <c r="BP124" t="s">
        <v>544</v>
      </c>
      <c r="BQ124" t="s">
        <v>544</v>
      </c>
    </row>
    <row r="125" spans="1:69" x14ac:dyDescent="0.3">
      <c r="A125" t="s">
        <v>835</v>
      </c>
      <c r="B125" t="s">
        <v>539</v>
      </c>
      <c r="C125" t="s">
        <v>540</v>
      </c>
      <c r="D125" t="s">
        <v>541</v>
      </c>
      <c r="E125" t="s">
        <v>542</v>
      </c>
      <c r="F125" t="s">
        <v>543</v>
      </c>
      <c r="G125" t="s">
        <v>544</v>
      </c>
      <c r="H125" s="453"/>
      <c r="I125" t="s">
        <v>544</v>
      </c>
      <c r="J125">
        <v>2041</v>
      </c>
      <c r="K125" t="s">
        <v>545</v>
      </c>
      <c r="L125" t="s">
        <v>546</v>
      </c>
      <c r="M125" t="s">
        <v>547</v>
      </c>
      <c r="N125" t="s">
        <v>548</v>
      </c>
      <c r="O125" t="s">
        <v>544</v>
      </c>
      <c r="P125" t="s">
        <v>549</v>
      </c>
      <c r="Q125" t="s">
        <v>550</v>
      </c>
      <c r="R125" t="s">
        <v>544</v>
      </c>
      <c r="S125" t="s">
        <v>551</v>
      </c>
      <c r="T125" t="s">
        <v>552</v>
      </c>
      <c r="U125" t="s">
        <v>553</v>
      </c>
      <c r="V125" t="s">
        <v>554</v>
      </c>
      <c r="W125" t="s">
        <v>374</v>
      </c>
      <c r="X125">
        <v>1.5</v>
      </c>
      <c r="Y125" t="s">
        <v>472</v>
      </c>
      <c r="Z125">
        <v>1.5</v>
      </c>
      <c r="AA125" t="s">
        <v>544</v>
      </c>
      <c r="AB125" t="s">
        <v>544</v>
      </c>
      <c r="AC125" t="s">
        <v>544</v>
      </c>
      <c r="AD125" t="s">
        <v>544</v>
      </c>
      <c r="AE125" t="s">
        <v>836</v>
      </c>
      <c r="AF125">
        <v>18.603899999999999</v>
      </c>
      <c r="AG125">
        <v>1</v>
      </c>
      <c r="AH125" t="s">
        <v>544</v>
      </c>
      <c r="AI125" t="s">
        <v>544</v>
      </c>
      <c r="AJ125" t="s">
        <v>748</v>
      </c>
      <c r="AK125" t="s">
        <v>748</v>
      </c>
      <c r="AL125" t="s">
        <v>557</v>
      </c>
      <c r="AM125" t="s">
        <v>558</v>
      </c>
      <c r="AN125" t="s">
        <v>389</v>
      </c>
      <c r="AO125" t="s">
        <v>544</v>
      </c>
      <c r="AP125" t="s">
        <v>837</v>
      </c>
      <c r="AQ125" t="s">
        <v>560</v>
      </c>
      <c r="AR125" t="s">
        <v>561</v>
      </c>
      <c r="AS125" t="s">
        <v>544</v>
      </c>
      <c r="AT125" t="s">
        <v>562</v>
      </c>
      <c r="AU125" t="s">
        <v>544</v>
      </c>
      <c r="AV125" t="s">
        <v>544</v>
      </c>
      <c r="AW125" t="s">
        <v>544</v>
      </c>
      <c r="AY125" t="s">
        <v>544</v>
      </c>
      <c r="AZ125" t="s">
        <v>544</v>
      </c>
      <c r="BB125" t="s">
        <v>563</v>
      </c>
      <c r="BC125" t="s">
        <v>563</v>
      </c>
      <c r="BD125" t="s">
        <v>544</v>
      </c>
      <c r="BE125" t="s">
        <v>544</v>
      </c>
      <c r="BF125" t="s">
        <v>544</v>
      </c>
      <c r="BG125" t="s">
        <v>544</v>
      </c>
      <c r="BH125" t="s">
        <v>544</v>
      </c>
      <c r="BI125" t="s">
        <v>544</v>
      </c>
      <c r="BJ125" t="s">
        <v>544</v>
      </c>
      <c r="BK125" t="s">
        <v>544</v>
      </c>
      <c r="BL125" t="s">
        <v>544</v>
      </c>
      <c r="BM125" t="s">
        <v>544</v>
      </c>
      <c r="BN125" t="s">
        <v>544</v>
      </c>
      <c r="BO125" t="s">
        <v>544</v>
      </c>
      <c r="BP125" t="s">
        <v>544</v>
      </c>
      <c r="BQ125" t="s">
        <v>544</v>
      </c>
    </row>
    <row r="126" spans="1:69" x14ac:dyDescent="0.3">
      <c r="A126" t="s">
        <v>838</v>
      </c>
      <c r="B126" t="s">
        <v>539</v>
      </c>
      <c r="C126" t="s">
        <v>540</v>
      </c>
      <c r="D126" t="s">
        <v>541</v>
      </c>
      <c r="E126" t="s">
        <v>542</v>
      </c>
      <c r="F126" t="s">
        <v>543</v>
      </c>
      <c r="G126" t="s">
        <v>544</v>
      </c>
      <c r="H126" s="453"/>
      <c r="I126" t="s">
        <v>544</v>
      </c>
      <c r="J126">
        <v>2522</v>
      </c>
      <c r="K126" t="s">
        <v>585</v>
      </c>
      <c r="L126" t="s">
        <v>660</v>
      </c>
      <c r="M126" t="s">
        <v>547</v>
      </c>
      <c r="N126" t="s">
        <v>548</v>
      </c>
      <c r="O126" t="s">
        <v>544</v>
      </c>
      <c r="P126" t="s">
        <v>690</v>
      </c>
      <c r="Q126" t="s">
        <v>595</v>
      </c>
      <c r="R126" t="s">
        <v>544</v>
      </c>
      <c r="S126" t="s">
        <v>660</v>
      </c>
      <c r="T126" t="s">
        <v>552</v>
      </c>
      <c r="U126" t="s">
        <v>553</v>
      </c>
      <c r="V126" t="s">
        <v>554</v>
      </c>
      <c r="W126" t="s">
        <v>374</v>
      </c>
      <c r="X126">
        <v>1.5</v>
      </c>
      <c r="Y126" t="s">
        <v>472</v>
      </c>
      <c r="Z126">
        <v>1.5</v>
      </c>
      <c r="AA126" t="s">
        <v>544</v>
      </c>
      <c r="AB126" t="s">
        <v>544</v>
      </c>
      <c r="AC126" t="s">
        <v>544</v>
      </c>
      <c r="AD126" t="s">
        <v>544</v>
      </c>
      <c r="AE126" t="s">
        <v>544</v>
      </c>
      <c r="AG126">
        <v>1</v>
      </c>
      <c r="AH126" t="s">
        <v>544</v>
      </c>
      <c r="AI126" t="s">
        <v>544</v>
      </c>
      <c r="AJ126" t="s">
        <v>748</v>
      </c>
      <c r="AK126" t="s">
        <v>748</v>
      </c>
      <c r="AL126" t="s">
        <v>557</v>
      </c>
      <c r="AM126" t="s">
        <v>558</v>
      </c>
      <c r="AN126" t="s">
        <v>544</v>
      </c>
      <c r="AO126" t="s">
        <v>544</v>
      </c>
      <c r="AP126" t="s">
        <v>544</v>
      </c>
      <c r="AQ126" t="s">
        <v>560</v>
      </c>
      <c r="AR126" t="s">
        <v>561</v>
      </c>
      <c r="AS126" t="s">
        <v>544</v>
      </c>
      <c r="AT126" t="s">
        <v>719</v>
      </c>
      <c r="AU126" t="s">
        <v>544</v>
      </c>
      <c r="AV126" t="s">
        <v>544</v>
      </c>
      <c r="AW126" t="s">
        <v>544</v>
      </c>
      <c r="AY126" t="s">
        <v>544</v>
      </c>
      <c r="AZ126" t="s">
        <v>544</v>
      </c>
      <c r="BB126" t="s">
        <v>693</v>
      </c>
      <c r="BC126" t="s">
        <v>692</v>
      </c>
      <c r="BD126" t="s">
        <v>544</v>
      </c>
      <c r="BE126" t="s">
        <v>544</v>
      </c>
      <c r="BF126" t="s">
        <v>544</v>
      </c>
      <c r="BG126" t="s">
        <v>544</v>
      </c>
      <c r="BH126" t="s">
        <v>544</v>
      </c>
      <c r="BI126" t="s">
        <v>544</v>
      </c>
      <c r="BJ126" t="s">
        <v>544</v>
      </c>
      <c r="BK126" t="s">
        <v>544</v>
      </c>
      <c r="BL126" t="s">
        <v>544</v>
      </c>
      <c r="BM126" t="s">
        <v>544</v>
      </c>
      <c r="BN126" t="s">
        <v>544</v>
      </c>
      <c r="BO126" t="s">
        <v>544</v>
      </c>
      <c r="BP126" t="s">
        <v>544</v>
      </c>
      <c r="BQ126" t="s">
        <v>544</v>
      </c>
    </row>
    <row r="127" spans="1:69" x14ac:dyDescent="0.3">
      <c r="A127" t="s">
        <v>839</v>
      </c>
      <c r="B127" t="s">
        <v>539</v>
      </c>
      <c r="C127" t="s">
        <v>540</v>
      </c>
      <c r="D127" t="s">
        <v>541</v>
      </c>
      <c r="E127" t="s">
        <v>542</v>
      </c>
      <c r="F127" t="s">
        <v>543</v>
      </c>
      <c r="G127" t="s">
        <v>544</v>
      </c>
      <c r="H127" s="453"/>
      <c r="I127" t="s">
        <v>544</v>
      </c>
      <c r="J127">
        <v>2522</v>
      </c>
      <c r="K127" t="s">
        <v>585</v>
      </c>
      <c r="L127" t="s">
        <v>660</v>
      </c>
      <c r="M127" t="s">
        <v>547</v>
      </c>
      <c r="N127" t="s">
        <v>548</v>
      </c>
      <c r="O127" t="s">
        <v>544</v>
      </c>
      <c r="P127" t="s">
        <v>690</v>
      </c>
      <c r="Q127" t="s">
        <v>595</v>
      </c>
      <c r="R127" t="s">
        <v>544</v>
      </c>
      <c r="S127" t="s">
        <v>660</v>
      </c>
      <c r="T127" t="s">
        <v>552</v>
      </c>
      <c r="U127" t="s">
        <v>553</v>
      </c>
      <c r="V127" t="s">
        <v>554</v>
      </c>
      <c r="W127" t="s">
        <v>374</v>
      </c>
      <c r="X127">
        <v>1.5</v>
      </c>
      <c r="Y127" t="s">
        <v>472</v>
      </c>
      <c r="Z127">
        <v>1.5</v>
      </c>
      <c r="AA127" t="s">
        <v>544</v>
      </c>
      <c r="AB127" t="s">
        <v>544</v>
      </c>
      <c r="AC127" t="s">
        <v>544</v>
      </c>
      <c r="AD127" t="s">
        <v>544</v>
      </c>
      <c r="AE127" t="s">
        <v>544</v>
      </c>
      <c r="AG127">
        <v>1</v>
      </c>
      <c r="AH127" t="s">
        <v>544</v>
      </c>
      <c r="AI127" t="s">
        <v>544</v>
      </c>
      <c r="AJ127" t="s">
        <v>544</v>
      </c>
      <c r="AK127" t="s">
        <v>544</v>
      </c>
      <c r="AL127" t="s">
        <v>557</v>
      </c>
      <c r="AM127" t="s">
        <v>558</v>
      </c>
      <c r="AN127" t="s">
        <v>544</v>
      </c>
      <c r="AO127" t="s">
        <v>544</v>
      </c>
      <c r="AP127" t="s">
        <v>544</v>
      </c>
      <c r="AQ127" t="s">
        <v>560</v>
      </c>
      <c r="AR127" t="s">
        <v>561</v>
      </c>
      <c r="AS127" t="s">
        <v>544</v>
      </c>
      <c r="AT127" t="s">
        <v>719</v>
      </c>
      <c r="AU127" t="s">
        <v>544</v>
      </c>
      <c r="AV127" t="s">
        <v>544</v>
      </c>
      <c r="AW127" t="s">
        <v>544</v>
      </c>
      <c r="AY127" t="s">
        <v>544</v>
      </c>
      <c r="AZ127" t="s">
        <v>544</v>
      </c>
      <c r="BB127" t="s">
        <v>693</v>
      </c>
      <c r="BC127" t="s">
        <v>692</v>
      </c>
      <c r="BD127" t="s">
        <v>544</v>
      </c>
      <c r="BE127" t="s">
        <v>544</v>
      </c>
      <c r="BF127" t="s">
        <v>544</v>
      </c>
      <c r="BG127" t="s">
        <v>544</v>
      </c>
      <c r="BH127" t="s">
        <v>544</v>
      </c>
      <c r="BI127" t="s">
        <v>544</v>
      </c>
      <c r="BJ127" t="s">
        <v>544</v>
      </c>
      <c r="BK127" t="s">
        <v>544</v>
      </c>
      <c r="BL127" t="s">
        <v>544</v>
      </c>
      <c r="BM127" t="s">
        <v>544</v>
      </c>
      <c r="BN127" t="s">
        <v>544</v>
      </c>
      <c r="BO127" t="s">
        <v>544</v>
      </c>
      <c r="BP127" t="s">
        <v>544</v>
      </c>
      <c r="BQ127" t="s">
        <v>544</v>
      </c>
    </row>
    <row r="128" spans="1:69" x14ac:dyDescent="0.3">
      <c r="A128" t="s">
        <v>840</v>
      </c>
      <c r="B128" t="s">
        <v>539</v>
      </c>
      <c r="C128" t="s">
        <v>540</v>
      </c>
      <c r="D128" t="s">
        <v>541</v>
      </c>
      <c r="E128" t="s">
        <v>542</v>
      </c>
      <c r="F128" t="s">
        <v>543</v>
      </c>
      <c r="G128" t="s">
        <v>544</v>
      </c>
      <c r="H128" s="453"/>
      <c r="I128" t="s">
        <v>544</v>
      </c>
      <c r="J128">
        <v>2060</v>
      </c>
      <c r="K128" t="s">
        <v>585</v>
      </c>
      <c r="L128" t="s">
        <v>593</v>
      </c>
      <c r="M128" t="s">
        <v>547</v>
      </c>
      <c r="N128" t="s">
        <v>548</v>
      </c>
      <c r="O128" t="s">
        <v>544</v>
      </c>
      <c r="P128" t="s">
        <v>841</v>
      </c>
      <c r="Q128" t="s">
        <v>595</v>
      </c>
      <c r="R128" t="s">
        <v>544</v>
      </c>
      <c r="S128" t="s">
        <v>588</v>
      </c>
      <c r="T128" t="s">
        <v>552</v>
      </c>
      <c r="U128" t="s">
        <v>553</v>
      </c>
      <c r="V128" t="s">
        <v>554</v>
      </c>
      <c r="W128" t="s">
        <v>372</v>
      </c>
      <c r="X128">
        <v>0.75</v>
      </c>
      <c r="Y128" t="s">
        <v>470</v>
      </c>
      <c r="AA128" t="s">
        <v>544</v>
      </c>
      <c r="AB128" t="s">
        <v>544</v>
      </c>
      <c r="AC128" t="s">
        <v>544</v>
      </c>
      <c r="AD128" t="s">
        <v>544</v>
      </c>
      <c r="AE128" t="s">
        <v>544</v>
      </c>
      <c r="AG128">
        <v>1</v>
      </c>
      <c r="AH128" t="s">
        <v>544</v>
      </c>
      <c r="AI128" t="s">
        <v>544</v>
      </c>
      <c r="AJ128" t="s">
        <v>597</v>
      </c>
      <c r="AK128" t="s">
        <v>597</v>
      </c>
      <c r="AL128" t="s">
        <v>557</v>
      </c>
      <c r="AM128" t="s">
        <v>558</v>
      </c>
      <c r="AN128" t="s">
        <v>392</v>
      </c>
      <c r="AO128" t="s">
        <v>544</v>
      </c>
      <c r="AP128" t="s">
        <v>842</v>
      </c>
      <c r="AQ128" t="s">
        <v>560</v>
      </c>
      <c r="AR128" t="s">
        <v>561</v>
      </c>
      <c r="AS128" t="s">
        <v>544</v>
      </c>
      <c r="AT128" t="s">
        <v>843</v>
      </c>
      <c r="AU128" t="s">
        <v>544</v>
      </c>
      <c r="AV128" t="s">
        <v>544</v>
      </c>
      <c r="AW128" t="s">
        <v>544</v>
      </c>
      <c r="AY128" t="s">
        <v>544</v>
      </c>
      <c r="AZ128" t="s">
        <v>544</v>
      </c>
      <c r="BB128" t="s">
        <v>600</v>
      </c>
      <c r="BC128" t="s">
        <v>544</v>
      </c>
      <c r="BD128" t="s">
        <v>544</v>
      </c>
      <c r="BE128" t="s">
        <v>544</v>
      </c>
      <c r="BF128" t="s">
        <v>544</v>
      </c>
      <c r="BG128" t="s">
        <v>544</v>
      </c>
      <c r="BH128" t="s">
        <v>544</v>
      </c>
      <c r="BI128" t="s">
        <v>544</v>
      </c>
      <c r="BJ128" t="s">
        <v>544</v>
      </c>
      <c r="BK128" t="s">
        <v>544</v>
      </c>
      <c r="BL128" t="s">
        <v>544</v>
      </c>
      <c r="BM128" t="s">
        <v>544</v>
      </c>
      <c r="BN128" t="s">
        <v>544</v>
      </c>
      <c r="BO128" t="s">
        <v>544</v>
      </c>
      <c r="BP128" t="s">
        <v>544</v>
      </c>
      <c r="BQ128" t="s">
        <v>544</v>
      </c>
    </row>
    <row r="129" spans="1:69" x14ac:dyDescent="0.3">
      <c r="A129" t="s">
        <v>844</v>
      </c>
      <c r="B129" t="s">
        <v>539</v>
      </c>
      <c r="C129" t="s">
        <v>540</v>
      </c>
      <c r="D129" t="s">
        <v>541</v>
      </c>
      <c r="E129" t="s">
        <v>542</v>
      </c>
      <c r="F129" t="s">
        <v>543</v>
      </c>
      <c r="G129" t="s">
        <v>544</v>
      </c>
      <c r="H129" s="453"/>
      <c r="I129" t="s">
        <v>544</v>
      </c>
      <c r="J129">
        <v>2522</v>
      </c>
      <c r="K129" t="s">
        <v>585</v>
      </c>
      <c r="L129" t="s">
        <v>660</v>
      </c>
      <c r="M129" t="s">
        <v>547</v>
      </c>
      <c r="N129" t="s">
        <v>548</v>
      </c>
      <c r="O129" t="s">
        <v>544</v>
      </c>
      <c r="P129" t="s">
        <v>690</v>
      </c>
      <c r="Q129" t="s">
        <v>595</v>
      </c>
      <c r="R129" t="s">
        <v>544</v>
      </c>
      <c r="S129" t="s">
        <v>660</v>
      </c>
      <c r="T129" t="s">
        <v>552</v>
      </c>
      <c r="U129" t="s">
        <v>553</v>
      </c>
      <c r="V129" t="s">
        <v>554</v>
      </c>
      <c r="W129" t="s">
        <v>372</v>
      </c>
      <c r="X129">
        <v>0.75</v>
      </c>
      <c r="Y129" t="s">
        <v>470</v>
      </c>
      <c r="Z129">
        <v>0.75</v>
      </c>
      <c r="AA129" t="s">
        <v>544</v>
      </c>
      <c r="AB129" t="s">
        <v>544</v>
      </c>
      <c r="AC129" t="s">
        <v>544</v>
      </c>
      <c r="AD129" t="s">
        <v>544</v>
      </c>
      <c r="AE129" t="s">
        <v>544</v>
      </c>
      <c r="AG129">
        <v>1</v>
      </c>
      <c r="AH129" t="s">
        <v>544</v>
      </c>
      <c r="AI129" t="s">
        <v>544</v>
      </c>
      <c r="AJ129" t="s">
        <v>597</v>
      </c>
      <c r="AK129" t="s">
        <v>597</v>
      </c>
      <c r="AL129" t="s">
        <v>557</v>
      </c>
      <c r="AM129" t="s">
        <v>558</v>
      </c>
      <c r="AN129" t="s">
        <v>544</v>
      </c>
      <c r="AO129" t="s">
        <v>544</v>
      </c>
      <c r="AP129" t="s">
        <v>544</v>
      </c>
      <c r="AQ129" t="s">
        <v>560</v>
      </c>
      <c r="AR129" t="s">
        <v>561</v>
      </c>
      <c r="AS129" t="s">
        <v>544</v>
      </c>
      <c r="AT129" t="s">
        <v>691</v>
      </c>
      <c r="AU129" t="s">
        <v>544</v>
      </c>
      <c r="AV129" t="s">
        <v>544</v>
      </c>
      <c r="AW129" t="s">
        <v>544</v>
      </c>
      <c r="AY129" t="s">
        <v>544</v>
      </c>
      <c r="AZ129" t="s">
        <v>544</v>
      </c>
      <c r="BB129" t="s">
        <v>693</v>
      </c>
      <c r="BC129" t="s">
        <v>692</v>
      </c>
      <c r="BD129" t="s">
        <v>544</v>
      </c>
      <c r="BE129" t="s">
        <v>544</v>
      </c>
      <c r="BF129" t="s">
        <v>544</v>
      </c>
      <c r="BG129" t="s">
        <v>544</v>
      </c>
      <c r="BH129" t="s">
        <v>544</v>
      </c>
      <c r="BI129" t="s">
        <v>544</v>
      </c>
      <c r="BJ129" t="s">
        <v>544</v>
      </c>
      <c r="BK129" t="s">
        <v>544</v>
      </c>
      <c r="BL129" t="s">
        <v>544</v>
      </c>
      <c r="BM129" t="s">
        <v>544</v>
      </c>
      <c r="BN129" t="s">
        <v>544</v>
      </c>
      <c r="BO129" t="s">
        <v>544</v>
      </c>
      <c r="BP129" t="s">
        <v>544</v>
      </c>
      <c r="BQ129" t="s">
        <v>544</v>
      </c>
    </row>
    <row r="130" spans="1:69" x14ac:dyDescent="0.3">
      <c r="A130" t="s">
        <v>845</v>
      </c>
      <c r="B130" t="s">
        <v>539</v>
      </c>
      <c r="C130" t="s">
        <v>540</v>
      </c>
      <c r="D130" t="s">
        <v>541</v>
      </c>
      <c r="E130" t="s">
        <v>542</v>
      </c>
      <c r="F130" t="s">
        <v>543</v>
      </c>
      <c r="G130" t="s">
        <v>544</v>
      </c>
      <c r="H130" s="453"/>
      <c r="I130" t="s">
        <v>544</v>
      </c>
      <c r="J130">
        <v>2060</v>
      </c>
      <c r="K130" t="s">
        <v>585</v>
      </c>
      <c r="L130" t="s">
        <v>593</v>
      </c>
      <c r="M130" t="s">
        <v>547</v>
      </c>
      <c r="N130" t="s">
        <v>548</v>
      </c>
      <c r="O130" t="s">
        <v>544</v>
      </c>
      <c r="P130" t="s">
        <v>841</v>
      </c>
      <c r="Q130" t="s">
        <v>595</v>
      </c>
      <c r="R130" t="s">
        <v>544</v>
      </c>
      <c r="S130" t="s">
        <v>588</v>
      </c>
      <c r="T130" t="s">
        <v>552</v>
      </c>
      <c r="U130" t="s">
        <v>553</v>
      </c>
      <c r="V130" t="s">
        <v>554</v>
      </c>
      <c r="W130" t="s">
        <v>372</v>
      </c>
      <c r="X130">
        <v>0.75</v>
      </c>
      <c r="Y130" t="s">
        <v>470</v>
      </c>
      <c r="AA130" t="s">
        <v>544</v>
      </c>
      <c r="AB130" t="s">
        <v>544</v>
      </c>
      <c r="AC130" t="s">
        <v>544</v>
      </c>
      <c r="AD130" t="s">
        <v>544</v>
      </c>
      <c r="AE130" t="s">
        <v>544</v>
      </c>
      <c r="AG130">
        <v>1</v>
      </c>
      <c r="AH130" t="s">
        <v>544</v>
      </c>
      <c r="AI130" t="s">
        <v>544</v>
      </c>
      <c r="AJ130" t="s">
        <v>703</v>
      </c>
      <c r="AK130" t="s">
        <v>703</v>
      </c>
      <c r="AL130" t="s">
        <v>557</v>
      </c>
      <c r="AM130" t="s">
        <v>558</v>
      </c>
      <c r="AN130" t="s">
        <v>390</v>
      </c>
      <c r="AO130" t="s">
        <v>544</v>
      </c>
      <c r="AP130" t="s">
        <v>842</v>
      </c>
      <c r="AQ130" t="s">
        <v>560</v>
      </c>
      <c r="AR130" t="s">
        <v>561</v>
      </c>
      <c r="AS130" t="s">
        <v>544</v>
      </c>
      <c r="AT130" t="s">
        <v>843</v>
      </c>
      <c r="AU130" t="s">
        <v>544</v>
      </c>
      <c r="AV130" t="s">
        <v>544</v>
      </c>
      <c r="AW130" t="s">
        <v>544</v>
      </c>
      <c r="AY130" t="s">
        <v>544</v>
      </c>
      <c r="AZ130" t="s">
        <v>544</v>
      </c>
      <c r="BB130" t="s">
        <v>600</v>
      </c>
      <c r="BC130" t="s">
        <v>544</v>
      </c>
      <c r="BD130" t="s">
        <v>544</v>
      </c>
      <c r="BE130" t="s">
        <v>544</v>
      </c>
      <c r="BF130" t="s">
        <v>544</v>
      </c>
      <c r="BG130" t="s">
        <v>544</v>
      </c>
      <c r="BH130" t="s">
        <v>544</v>
      </c>
      <c r="BI130" t="s">
        <v>544</v>
      </c>
      <c r="BJ130" t="s">
        <v>544</v>
      </c>
      <c r="BK130" t="s">
        <v>544</v>
      </c>
      <c r="BL130" t="s">
        <v>544</v>
      </c>
      <c r="BM130" t="s">
        <v>544</v>
      </c>
      <c r="BN130" t="s">
        <v>544</v>
      </c>
      <c r="BO130" t="s">
        <v>544</v>
      </c>
      <c r="BP130" t="s">
        <v>544</v>
      </c>
      <c r="BQ130" t="s">
        <v>544</v>
      </c>
    </row>
    <row r="131" spans="1:69" x14ac:dyDescent="0.3">
      <c r="A131" t="s">
        <v>846</v>
      </c>
      <c r="B131" t="s">
        <v>539</v>
      </c>
      <c r="C131" t="s">
        <v>540</v>
      </c>
      <c r="D131" t="s">
        <v>541</v>
      </c>
      <c r="E131" t="s">
        <v>542</v>
      </c>
      <c r="F131" t="s">
        <v>543</v>
      </c>
      <c r="G131" t="s">
        <v>544</v>
      </c>
      <c r="H131" s="453"/>
      <c r="I131" t="s">
        <v>544</v>
      </c>
      <c r="J131">
        <v>2522</v>
      </c>
      <c r="K131" t="s">
        <v>585</v>
      </c>
      <c r="L131" t="s">
        <v>660</v>
      </c>
      <c r="M131" t="s">
        <v>547</v>
      </c>
      <c r="N131" t="s">
        <v>548</v>
      </c>
      <c r="O131" t="s">
        <v>544</v>
      </c>
      <c r="P131" t="s">
        <v>690</v>
      </c>
      <c r="Q131" t="s">
        <v>595</v>
      </c>
      <c r="R131" t="s">
        <v>544</v>
      </c>
      <c r="S131" t="s">
        <v>660</v>
      </c>
      <c r="T131" t="s">
        <v>552</v>
      </c>
      <c r="U131" t="s">
        <v>553</v>
      </c>
      <c r="V131" t="s">
        <v>554</v>
      </c>
      <c r="W131" t="s">
        <v>372</v>
      </c>
      <c r="X131">
        <v>0.75</v>
      </c>
      <c r="Y131" t="s">
        <v>470</v>
      </c>
      <c r="Z131">
        <v>0.75</v>
      </c>
      <c r="AA131" t="s">
        <v>544</v>
      </c>
      <c r="AB131" t="s">
        <v>544</v>
      </c>
      <c r="AC131" t="s">
        <v>544</v>
      </c>
      <c r="AD131" t="s">
        <v>544</v>
      </c>
      <c r="AE131" t="s">
        <v>544</v>
      </c>
      <c r="AG131">
        <v>1</v>
      </c>
      <c r="AH131" t="s">
        <v>544</v>
      </c>
      <c r="AI131" t="s">
        <v>544</v>
      </c>
      <c r="AJ131" t="s">
        <v>703</v>
      </c>
      <c r="AK131" t="s">
        <v>703</v>
      </c>
      <c r="AL131" t="s">
        <v>557</v>
      </c>
      <c r="AM131" t="s">
        <v>558</v>
      </c>
      <c r="AN131" t="s">
        <v>544</v>
      </c>
      <c r="AO131" t="s">
        <v>544</v>
      </c>
      <c r="AP131" t="s">
        <v>544</v>
      </c>
      <c r="AQ131" t="s">
        <v>560</v>
      </c>
      <c r="AR131" t="s">
        <v>561</v>
      </c>
      <c r="AS131" t="s">
        <v>544</v>
      </c>
      <c r="AT131" t="s">
        <v>691</v>
      </c>
      <c r="AU131" t="s">
        <v>544</v>
      </c>
      <c r="AV131" t="s">
        <v>544</v>
      </c>
      <c r="AW131" t="s">
        <v>544</v>
      </c>
      <c r="AY131" t="s">
        <v>544</v>
      </c>
      <c r="AZ131" t="s">
        <v>544</v>
      </c>
      <c r="BB131" t="s">
        <v>692</v>
      </c>
      <c r="BC131" t="s">
        <v>693</v>
      </c>
      <c r="BD131" t="s">
        <v>544</v>
      </c>
      <c r="BE131" t="s">
        <v>544</v>
      </c>
      <c r="BF131" t="s">
        <v>544</v>
      </c>
      <c r="BG131" t="s">
        <v>544</v>
      </c>
      <c r="BH131" t="s">
        <v>544</v>
      </c>
      <c r="BI131" t="s">
        <v>544</v>
      </c>
      <c r="BJ131" t="s">
        <v>544</v>
      </c>
      <c r="BK131" t="s">
        <v>544</v>
      </c>
      <c r="BL131" t="s">
        <v>544</v>
      </c>
      <c r="BM131" t="s">
        <v>544</v>
      </c>
      <c r="BN131" t="s">
        <v>544</v>
      </c>
      <c r="BO131" t="s">
        <v>544</v>
      </c>
      <c r="BP131" t="s">
        <v>544</v>
      </c>
      <c r="BQ131" t="s">
        <v>544</v>
      </c>
    </row>
    <row r="132" spans="1:69" x14ac:dyDescent="0.3">
      <c r="A132" t="s">
        <v>847</v>
      </c>
      <c r="B132" t="s">
        <v>539</v>
      </c>
      <c r="C132" t="s">
        <v>540</v>
      </c>
      <c r="D132" t="s">
        <v>541</v>
      </c>
      <c r="E132" t="s">
        <v>542</v>
      </c>
      <c r="F132" t="s">
        <v>543</v>
      </c>
      <c r="G132" t="s">
        <v>544</v>
      </c>
      <c r="H132" s="453"/>
      <c r="I132" t="s">
        <v>544</v>
      </c>
      <c r="J132">
        <v>2522</v>
      </c>
      <c r="K132" t="s">
        <v>585</v>
      </c>
      <c r="L132" t="s">
        <v>660</v>
      </c>
      <c r="M132" t="s">
        <v>547</v>
      </c>
      <c r="N132" t="s">
        <v>548</v>
      </c>
      <c r="O132" t="s">
        <v>544</v>
      </c>
      <c r="P132" t="s">
        <v>690</v>
      </c>
      <c r="Q132" t="s">
        <v>595</v>
      </c>
      <c r="R132" t="s">
        <v>544</v>
      </c>
      <c r="S132" t="s">
        <v>660</v>
      </c>
      <c r="T132" t="s">
        <v>552</v>
      </c>
      <c r="U132" t="s">
        <v>553</v>
      </c>
      <c r="V132" t="s">
        <v>554</v>
      </c>
      <c r="W132" t="s">
        <v>372</v>
      </c>
      <c r="X132">
        <v>0.75</v>
      </c>
      <c r="Y132" t="s">
        <v>470</v>
      </c>
      <c r="Z132">
        <v>0.75</v>
      </c>
      <c r="AA132" t="s">
        <v>544</v>
      </c>
      <c r="AB132" t="s">
        <v>544</v>
      </c>
      <c r="AC132" t="s">
        <v>544</v>
      </c>
      <c r="AD132" t="s">
        <v>544</v>
      </c>
      <c r="AE132" t="s">
        <v>544</v>
      </c>
      <c r="AG132">
        <v>1</v>
      </c>
      <c r="AH132" t="s">
        <v>544</v>
      </c>
      <c r="AI132" t="s">
        <v>544</v>
      </c>
      <c r="AJ132" t="s">
        <v>710</v>
      </c>
      <c r="AK132" t="s">
        <v>710</v>
      </c>
      <c r="AL132" t="s">
        <v>557</v>
      </c>
      <c r="AM132" t="s">
        <v>558</v>
      </c>
      <c r="AN132" t="s">
        <v>544</v>
      </c>
      <c r="AO132" t="s">
        <v>544</v>
      </c>
      <c r="AP132" t="s">
        <v>544</v>
      </c>
      <c r="AQ132" t="s">
        <v>560</v>
      </c>
      <c r="AR132" t="s">
        <v>561</v>
      </c>
      <c r="AS132" t="s">
        <v>544</v>
      </c>
      <c r="AT132" t="s">
        <v>691</v>
      </c>
      <c r="AU132" t="s">
        <v>544</v>
      </c>
      <c r="AV132" t="s">
        <v>544</v>
      </c>
      <c r="AW132" t="s">
        <v>544</v>
      </c>
      <c r="AY132" t="s">
        <v>544</v>
      </c>
      <c r="AZ132" t="s">
        <v>544</v>
      </c>
      <c r="BB132" t="s">
        <v>692</v>
      </c>
      <c r="BC132" t="s">
        <v>693</v>
      </c>
      <c r="BD132" t="s">
        <v>544</v>
      </c>
      <c r="BE132" t="s">
        <v>544</v>
      </c>
      <c r="BF132" t="s">
        <v>544</v>
      </c>
      <c r="BG132" t="s">
        <v>544</v>
      </c>
      <c r="BH132" t="s">
        <v>544</v>
      </c>
      <c r="BI132" t="s">
        <v>544</v>
      </c>
      <c r="BJ132" t="s">
        <v>544</v>
      </c>
      <c r="BK132" t="s">
        <v>544</v>
      </c>
      <c r="BL132" t="s">
        <v>544</v>
      </c>
      <c r="BM132" t="s">
        <v>544</v>
      </c>
      <c r="BN132" t="s">
        <v>544</v>
      </c>
      <c r="BO132" t="s">
        <v>544</v>
      </c>
      <c r="BP132" t="s">
        <v>544</v>
      </c>
      <c r="BQ132" t="s">
        <v>544</v>
      </c>
    </row>
    <row r="133" spans="1:69" x14ac:dyDescent="0.3">
      <c r="A133" t="s">
        <v>848</v>
      </c>
      <c r="B133" t="s">
        <v>539</v>
      </c>
      <c r="C133" t="s">
        <v>540</v>
      </c>
      <c r="D133" t="s">
        <v>541</v>
      </c>
      <c r="E133" t="s">
        <v>542</v>
      </c>
      <c r="F133" t="s">
        <v>543</v>
      </c>
      <c r="G133" t="s">
        <v>544</v>
      </c>
      <c r="H133" s="453"/>
      <c r="I133" t="s">
        <v>544</v>
      </c>
      <c r="J133">
        <v>2522</v>
      </c>
      <c r="K133" t="s">
        <v>585</v>
      </c>
      <c r="L133" t="s">
        <v>593</v>
      </c>
      <c r="M133" t="s">
        <v>547</v>
      </c>
      <c r="N133" t="s">
        <v>548</v>
      </c>
      <c r="O133" t="s">
        <v>544</v>
      </c>
      <c r="P133" t="s">
        <v>729</v>
      </c>
      <c r="Q133" t="s">
        <v>595</v>
      </c>
      <c r="R133" t="s">
        <v>544</v>
      </c>
      <c r="S133" t="s">
        <v>588</v>
      </c>
      <c r="T133" t="s">
        <v>552</v>
      </c>
      <c r="U133" t="s">
        <v>553</v>
      </c>
      <c r="V133" t="s">
        <v>554</v>
      </c>
      <c r="W133" t="s">
        <v>372</v>
      </c>
      <c r="X133">
        <v>0.75</v>
      </c>
      <c r="Y133" t="s">
        <v>470</v>
      </c>
      <c r="Z133">
        <v>0.75</v>
      </c>
      <c r="AA133" t="s">
        <v>544</v>
      </c>
      <c r="AB133" t="s">
        <v>544</v>
      </c>
      <c r="AC133" t="s">
        <v>544</v>
      </c>
      <c r="AD133" t="s">
        <v>544</v>
      </c>
      <c r="AE133" t="s">
        <v>544</v>
      </c>
      <c r="AG133">
        <v>1</v>
      </c>
      <c r="AH133" t="s">
        <v>544</v>
      </c>
      <c r="AI133" t="s">
        <v>544</v>
      </c>
      <c r="AJ133" t="s">
        <v>710</v>
      </c>
      <c r="AK133" t="s">
        <v>710</v>
      </c>
      <c r="AL133" t="s">
        <v>557</v>
      </c>
      <c r="AM133" t="s">
        <v>558</v>
      </c>
      <c r="AN133" t="s">
        <v>390</v>
      </c>
      <c r="AO133" t="s">
        <v>544</v>
      </c>
      <c r="AP133" t="s">
        <v>849</v>
      </c>
      <c r="AQ133" t="s">
        <v>560</v>
      </c>
      <c r="AR133" t="s">
        <v>561</v>
      </c>
      <c r="AS133" t="s">
        <v>544</v>
      </c>
      <c r="AT133" t="s">
        <v>850</v>
      </c>
      <c r="AU133" t="s">
        <v>544</v>
      </c>
      <c r="AV133" t="s">
        <v>544</v>
      </c>
      <c r="AW133" t="s">
        <v>544</v>
      </c>
      <c r="AY133" t="s">
        <v>544</v>
      </c>
      <c r="AZ133" t="s">
        <v>544</v>
      </c>
      <c r="BB133" t="s">
        <v>732</v>
      </c>
      <c r="BC133" t="s">
        <v>732</v>
      </c>
      <c r="BD133" t="s">
        <v>544</v>
      </c>
      <c r="BE133" t="s">
        <v>544</v>
      </c>
      <c r="BF133" t="s">
        <v>544</v>
      </c>
      <c r="BG133" t="s">
        <v>544</v>
      </c>
      <c r="BH133" t="s">
        <v>544</v>
      </c>
      <c r="BI133" t="s">
        <v>544</v>
      </c>
      <c r="BJ133" t="s">
        <v>544</v>
      </c>
      <c r="BK133" t="s">
        <v>544</v>
      </c>
      <c r="BL133" t="s">
        <v>544</v>
      </c>
      <c r="BM133" t="s">
        <v>544</v>
      </c>
      <c r="BN133" t="s">
        <v>544</v>
      </c>
      <c r="BO133" t="s">
        <v>544</v>
      </c>
      <c r="BP133" t="s">
        <v>544</v>
      </c>
      <c r="BQ133" t="s">
        <v>544</v>
      </c>
    </row>
    <row r="134" spans="1:69" x14ac:dyDescent="0.3">
      <c r="A134" t="s">
        <v>851</v>
      </c>
      <c r="B134" t="s">
        <v>539</v>
      </c>
      <c r="C134" t="s">
        <v>540</v>
      </c>
      <c r="D134" t="s">
        <v>541</v>
      </c>
      <c r="E134" t="s">
        <v>542</v>
      </c>
      <c r="F134" t="s">
        <v>543</v>
      </c>
      <c r="G134" t="s">
        <v>544</v>
      </c>
      <c r="H134" s="453"/>
      <c r="I134" t="s">
        <v>544</v>
      </c>
      <c r="J134">
        <v>2522</v>
      </c>
      <c r="K134" t="s">
        <v>585</v>
      </c>
      <c r="L134" t="s">
        <v>660</v>
      </c>
      <c r="M134" t="s">
        <v>547</v>
      </c>
      <c r="N134" t="s">
        <v>548</v>
      </c>
      <c r="O134" t="s">
        <v>544</v>
      </c>
      <c r="P134" t="s">
        <v>690</v>
      </c>
      <c r="Q134" t="s">
        <v>595</v>
      </c>
      <c r="R134" t="s">
        <v>544</v>
      </c>
      <c r="S134" t="s">
        <v>660</v>
      </c>
      <c r="T134" t="s">
        <v>552</v>
      </c>
      <c r="U134" t="s">
        <v>553</v>
      </c>
      <c r="V134" t="s">
        <v>554</v>
      </c>
      <c r="W134" t="s">
        <v>372</v>
      </c>
      <c r="X134">
        <v>0.75</v>
      </c>
      <c r="Y134" t="s">
        <v>470</v>
      </c>
      <c r="Z134">
        <v>0.75</v>
      </c>
      <c r="AA134" t="s">
        <v>544</v>
      </c>
      <c r="AB134" t="s">
        <v>544</v>
      </c>
      <c r="AC134" t="s">
        <v>544</v>
      </c>
      <c r="AD134" t="s">
        <v>544</v>
      </c>
      <c r="AE134" t="s">
        <v>544</v>
      </c>
      <c r="AG134">
        <v>1</v>
      </c>
      <c r="AH134" t="s">
        <v>544</v>
      </c>
      <c r="AI134" t="s">
        <v>544</v>
      </c>
      <c r="AJ134" t="s">
        <v>544</v>
      </c>
      <c r="AK134" t="s">
        <v>544</v>
      </c>
      <c r="AL134" t="s">
        <v>557</v>
      </c>
      <c r="AM134" t="s">
        <v>558</v>
      </c>
      <c r="AN134" t="s">
        <v>544</v>
      </c>
      <c r="AO134" t="s">
        <v>544</v>
      </c>
      <c r="AP134" t="s">
        <v>544</v>
      </c>
      <c r="AQ134" t="s">
        <v>560</v>
      </c>
      <c r="AR134" t="s">
        <v>561</v>
      </c>
      <c r="AS134" t="s">
        <v>544</v>
      </c>
      <c r="AT134" t="s">
        <v>691</v>
      </c>
      <c r="AU134" t="s">
        <v>544</v>
      </c>
      <c r="AV134" t="s">
        <v>544</v>
      </c>
      <c r="AW134" t="s">
        <v>544</v>
      </c>
      <c r="AY134" t="s">
        <v>544</v>
      </c>
      <c r="AZ134" t="s">
        <v>544</v>
      </c>
      <c r="BB134" t="s">
        <v>693</v>
      </c>
      <c r="BC134" t="s">
        <v>692</v>
      </c>
      <c r="BD134" t="s">
        <v>544</v>
      </c>
      <c r="BE134" t="s">
        <v>544</v>
      </c>
      <c r="BF134" t="s">
        <v>544</v>
      </c>
      <c r="BG134" t="s">
        <v>544</v>
      </c>
      <c r="BH134" t="s">
        <v>544</v>
      </c>
      <c r="BI134" t="s">
        <v>544</v>
      </c>
      <c r="BJ134" t="s">
        <v>544</v>
      </c>
      <c r="BK134" t="s">
        <v>544</v>
      </c>
      <c r="BL134" t="s">
        <v>544</v>
      </c>
      <c r="BM134" t="s">
        <v>544</v>
      </c>
      <c r="BN134" t="s">
        <v>544</v>
      </c>
      <c r="BO134" t="s">
        <v>544</v>
      </c>
      <c r="BP134" t="s">
        <v>544</v>
      </c>
      <c r="BQ134" t="s">
        <v>544</v>
      </c>
    </row>
    <row r="135" spans="1:69" x14ac:dyDescent="0.3">
      <c r="A135" t="s">
        <v>852</v>
      </c>
      <c r="B135" t="s">
        <v>539</v>
      </c>
      <c r="C135" t="s">
        <v>540</v>
      </c>
      <c r="D135" t="s">
        <v>541</v>
      </c>
      <c r="E135" t="s">
        <v>542</v>
      </c>
      <c r="F135" t="s">
        <v>543</v>
      </c>
      <c r="G135" t="s">
        <v>544</v>
      </c>
      <c r="H135" s="453"/>
      <c r="I135" t="s">
        <v>544</v>
      </c>
      <c r="J135">
        <v>2041</v>
      </c>
      <c r="K135" t="s">
        <v>545</v>
      </c>
      <c r="L135" t="s">
        <v>593</v>
      </c>
      <c r="M135" t="s">
        <v>547</v>
      </c>
      <c r="N135" t="s">
        <v>548</v>
      </c>
      <c r="O135" t="s">
        <v>544</v>
      </c>
      <c r="P135" t="s">
        <v>623</v>
      </c>
      <c r="Q135" t="s">
        <v>624</v>
      </c>
      <c r="R135" t="s">
        <v>544</v>
      </c>
      <c r="S135" t="s">
        <v>625</v>
      </c>
      <c r="T135" t="s">
        <v>552</v>
      </c>
      <c r="U135" t="s">
        <v>553</v>
      </c>
      <c r="V135" t="s">
        <v>554</v>
      </c>
      <c r="W135" t="s">
        <v>372</v>
      </c>
      <c r="X135">
        <v>0.75</v>
      </c>
      <c r="Y135" t="s">
        <v>470</v>
      </c>
      <c r="Z135">
        <v>0.75</v>
      </c>
      <c r="AA135" t="s">
        <v>544</v>
      </c>
      <c r="AB135" t="s">
        <v>544</v>
      </c>
      <c r="AC135" t="s">
        <v>544</v>
      </c>
      <c r="AD135" t="s">
        <v>544</v>
      </c>
      <c r="AE135" t="s">
        <v>853</v>
      </c>
      <c r="AF135">
        <v>0.26100000000000001</v>
      </c>
      <c r="AG135">
        <v>1</v>
      </c>
      <c r="AH135" t="s">
        <v>544</v>
      </c>
      <c r="AI135" t="s">
        <v>544</v>
      </c>
      <c r="AJ135" t="s">
        <v>715</v>
      </c>
      <c r="AK135" t="s">
        <v>715</v>
      </c>
      <c r="AL135" t="s">
        <v>557</v>
      </c>
      <c r="AM135" t="s">
        <v>558</v>
      </c>
      <c r="AN135" t="s">
        <v>390</v>
      </c>
      <c r="AO135" t="s">
        <v>544</v>
      </c>
      <c r="AP135" t="s">
        <v>854</v>
      </c>
      <c r="AQ135" t="s">
        <v>560</v>
      </c>
      <c r="AR135" t="s">
        <v>561</v>
      </c>
      <c r="AS135" t="s">
        <v>544</v>
      </c>
      <c r="AT135" t="s">
        <v>688</v>
      </c>
      <c r="AU135" t="s">
        <v>544</v>
      </c>
      <c r="AV135" t="s">
        <v>544</v>
      </c>
      <c r="AW135" t="s">
        <v>544</v>
      </c>
      <c r="AY135" t="s">
        <v>544</v>
      </c>
      <c r="AZ135" t="s">
        <v>544</v>
      </c>
      <c r="BB135" t="s">
        <v>629</v>
      </c>
      <c r="BC135" t="s">
        <v>629</v>
      </c>
      <c r="BD135" t="s">
        <v>544</v>
      </c>
      <c r="BE135" t="s">
        <v>544</v>
      </c>
      <c r="BF135" t="s">
        <v>544</v>
      </c>
      <c r="BG135" t="s">
        <v>544</v>
      </c>
      <c r="BH135" t="s">
        <v>544</v>
      </c>
      <c r="BI135" t="s">
        <v>544</v>
      </c>
      <c r="BJ135" t="s">
        <v>544</v>
      </c>
      <c r="BK135" t="s">
        <v>544</v>
      </c>
      <c r="BL135" t="s">
        <v>544</v>
      </c>
      <c r="BM135" t="s">
        <v>544</v>
      </c>
      <c r="BN135" t="s">
        <v>544</v>
      </c>
      <c r="BO135" t="s">
        <v>544</v>
      </c>
      <c r="BP135" t="s">
        <v>544</v>
      </c>
      <c r="BQ135" t="s">
        <v>544</v>
      </c>
    </row>
    <row r="136" spans="1:69" x14ac:dyDescent="0.3">
      <c r="A136" t="s">
        <v>855</v>
      </c>
      <c r="B136" t="s">
        <v>539</v>
      </c>
      <c r="C136" t="s">
        <v>540</v>
      </c>
      <c r="D136" t="s">
        <v>541</v>
      </c>
      <c r="E136" t="s">
        <v>542</v>
      </c>
      <c r="F136" t="s">
        <v>543</v>
      </c>
      <c r="G136" t="s">
        <v>544</v>
      </c>
      <c r="H136" s="453"/>
      <c r="I136" t="s">
        <v>544</v>
      </c>
      <c r="J136">
        <v>2522</v>
      </c>
      <c r="K136" t="s">
        <v>585</v>
      </c>
      <c r="L136" t="s">
        <v>660</v>
      </c>
      <c r="M136" t="s">
        <v>547</v>
      </c>
      <c r="N136" t="s">
        <v>548</v>
      </c>
      <c r="O136" t="s">
        <v>544</v>
      </c>
      <c r="P136" t="s">
        <v>690</v>
      </c>
      <c r="Q136" t="s">
        <v>595</v>
      </c>
      <c r="R136" t="s">
        <v>544</v>
      </c>
      <c r="S136" t="s">
        <v>660</v>
      </c>
      <c r="T136" t="s">
        <v>552</v>
      </c>
      <c r="U136" t="s">
        <v>553</v>
      </c>
      <c r="V136" t="s">
        <v>554</v>
      </c>
      <c r="W136" t="s">
        <v>374</v>
      </c>
      <c r="X136">
        <v>1.5</v>
      </c>
      <c r="Y136" t="s">
        <v>472</v>
      </c>
      <c r="Z136">
        <v>1.5</v>
      </c>
      <c r="AA136" t="s">
        <v>544</v>
      </c>
      <c r="AB136" t="s">
        <v>544</v>
      </c>
      <c r="AC136" t="s">
        <v>544</v>
      </c>
      <c r="AD136" t="s">
        <v>544</v>
      </c>
      <c r="AE136" t="s">
        <v>544</v>
      </c>
      <c r="AG136">
        <v>1</v>
      </c>
      <c r="AH136" t="s">
        <v>544</v>
      </c>
      <c r="AI136" t="s">
        <v>544</v>
      </c>
      <c r="AJ136" t="s">
        <v>556</v>
      </c>
      <c r="AK136" t="s">
        <v>556</v>
      </c>
      <c r="AL136" t="s">
        <v>557</v>
      </c>
      <c r="AM136" t="s">
        <v>558</v>
      </c>
      <c r="AN136" t="s">
        <v>544</v>
      </c>
      <c r="AO136" t="s">
        <v>544</v>
      </c>
      <c r="AP136" t="s">
        <v>544</v>
      </c>
      <c r="AQ136" t="s">
        <v>560</v>
      </c>
      <c r="AR136" t="s">
        <v>561</v>
      </c>
      <c r="AS136" t="s">
        <v>544</v>
      </c>
      <c r="AT136" t="s">
        <v>719</v>
      </c>
      <c r="AU136" t="s">
        <v>544</v>
      </c>
      <c r="AV136" t="s">
        <v>544</v>
      </c>
      <c r="AW136" t="s">
        <v>544</v>
      </c>
      <c r="AY136" t="s">
        <v>544</v>
      </c>
      <c r="AZ136" t="s">
        <v>544</v>
      </c>
      <c r="BB136" t="s">
        <v>693</v>
      </c>
      <c r="BC136" t="s">
        <v>692</v>
      </c>
      <c r="BD136" t="s">
        <v>544</v>
      </c>
      <c r="BE136" t="s">
        <v>544</v>
      </c>
      <c r="BF136" t="s">
        <v>544</v>
      </c>
      <c r="BG136" t="s">
        <v>544</v>
      </c>
      <c r="BH136" t="s">
        <v>544</v>
      </c>
      <c r="BI136" t="s">
        <v>544</v>
      </c>
      <c r="BJ136" t="s">
        <v>544</v>
      </c>
      <c r="BK136" t="s">
        <v>544</v>
      </c>
      <c r="BL136" t="s">
        <v>544</v>
      </c>
      <c r="BM136" t="s">
        <v>544</v>
      </c>
      <c r="BN136" t="s">
        <v>544</v>
      </c>
      <c r="BO136" t="s">
        <v>544</v>
      </c>
      <c r="BP136" t="s">
        <v>544</v>
      </c>
      <c r="BQ136" t="s">
        <v>544</v>
      </c>
    </row>
    <row r="137" spans="1:69" x14ac:dyDescent="0.3">
      <c r="H137" s="453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9310-2E60-4CB9-BB9B-A7F725F0FDB4}">
  <sheetPr codeName="Sheet12"/>
  <dimension ref="A1:UM97"/>
  <sheetViews>
    <sheetView zoomScale="68" zoomScaleNormal="68" workbookViewId="0"/>
  </sheetViews>
  <sheetFormatPr defaultRowHeight="14.4" x14ac:dyDescent="0.3"/>
  <cols>
    <col min="1" max="1" width="6.5546875" bestFit="1" customWidth="1"/>
    <col min="2" max="2" width="6.109375" bestFit="1" customWidth="1"/>
    <col min="3" max="3" width="7.109375" bestFit="1" customWidth="1"/>
    <col min="4" max="4" width="6.21875" bestFit="1" customWidth="1"/>
    <col min="5" max="6" width="6.21875" style="229" bestFit="1" customWidth="1"/>
    <col min="7" max="7" width="8" style="229" bestFit="1" customWidth="1"/>
    <col min="8" max="12" width="6.21875" style="229" bestFit="1" customWidth="1"/>
    <col min="13" max="14" width="6.21875" style="169" bestFit="1" customWidth="1"/>
    <col min="15" max="15" width="6.6640625" style="169" bestFit="1" customWidth="1"/>
    <col min="16" max="19" width="6.21875" style="169" bestFit="1" customWidth="1"/>
    <col min="20" max="20" width="6.6640625" style="169" bestFit="1" customWidth="1"/>
    <col min="21" max="23" width="6.21875" style="169" bestFit="1" customWidth="1"/>
    <col min="24" max="24" width="6.6640625" style="169" bestFit="1" customWidth="1"/>
    <col min="25" max="37" width="6.21875" style="169" bestFit="1" customWidth="1"/>
    <col min="38" max="38" width="6.109375" style="169" bestFit="1" customWidth="1"/>
    <col min="39" max="53" width="6.21875" style="169" bestFit="1" customWidth="1"/>
    <col min="54" max="54" width="8" style="169" bestFit="1" customWidth="1"/>
    <col min="55" max="62" width="6.21875" style="169" bestFit="1" customWidth="1"/>
    <col min="63" max="63" width="6.6640625" style="169" bestFit="1" customWidth="1"/>
    <col min="64" max="82" width="6.21875" style="169" bestFit="1" customWidth="1"/>
    <col min="83" max="83" width="6" style="169" bestFit="1" customWidth="1"/>
    <col min="84" max="84" width="15" bestFit="1" customWidth="1"/>
    <col min="85" max="85" width="13.88671875" bestFit="1" customWidth="1"/>
    <col min="86" max="86" width="16.88671875" bestFit="1" customWidth="1"/>
    <col min="87" max="87" width="6.6640625" bestFit="1" customWidth="1"/>
    <col min="88" max="88" width="27.44140625" bestFit="1" customWidth="1"/>
    <col min="89" max="89" width="6" style="169" bestFit="1" customWidth="1"/>
    <col min="90" max="90" width="17.44140625" bestFit="1" customWidth="1"/>
    <col min="91" max="91" width="9.5546875" style="229" bestFit="1" customWidth="1"/>
    <col min="92" max="92" width="16.6640625" bestFit="1" customWidth="1"/>
    <col min="93" max="93" width="16.88671875" bestFit="1" customWidth="1"/>
    <col min="94" max="94" width="6.6640625" bestFit="1" customWidth="1"/>
    <col min="95" max="95" width="6" bestFit="1" customWidth="1"/>
    <col min="96" max="96" width="15" bestFit="1" customWidth="1"/>
    <col min="97" max="97" width="13.88671875" bestFit="1" customWidth="1"/>
    <col min="98" max="98" width="16.88671875" bestFit="1" customWidth="1"/>
    <col min="99" max="99" width="17.109375" bestFit="1" customWidth="1"/>
    <col min="100" max="100" width="6.6640625" bestFit="1" customWidth="1"/>
    <col min="101" max="101" width="6" bestFit="1" customWidth="1"/>
    <col min="102" max="102" width="15" bestFit="1" customWidth="1"/>
    <col min="103" max="103" width="13.88671875" bestFit="1" customWidth="1"/>
    <col min="104" max="104" width="16.88671875" bestFit="1" customWidth="1"/>
    <col min="105" max="105" width="17.44140625" bestFit="1" customWidth="1"/>
    <col min="106" max="106" width="6.6640625" bestFit="1" customWidth="1"/>
    <col min="107" max="107" width="6" bestFit="1" customWidth="1"/>
    <col min="108" max="108" width="15" bestFit="1" customWidth="1"/>
    <col min="109" max="109" width="13.88671875" bestFit="1" customWidth="1"/>
    <col min="110" max="110" width="16.88671875" bestFit="1" customWidth="1"/>
    <col min="111" max="111" width="17.109375" bestFit="1" customWidth="1"/>
    <col min="112" max="112" width="6.6640625" bestFit="1" customWidth="1"/>
    <col min="113" max="113" width="6" bestFit="1" customWidth="1"/>
    <col min="114" max="114" width="15" bestFit="1" customWidth="1"/>
    <col min="115" max="115" width="13.88671875" bestFit="1" customWidth="1"/>
    <col min="116" max="116" width="16.88671875" bestFit="1" customWidth="1"/>
    <col min="117" max="117" width="17.44140625" bestFit="1" customWidth="1"/>
    <col min="118" max="118" width="6.6640625" bestFit="1" customWidth="1"/>
    <col min="119" max="119" width="6" bestFit="1" customWidth="1"/>
    <col min="120" max="120" width="15" bestFit="1" customWidth="1"/>
    <col min="121" max="121" width="16.6640625" bestFit="1" customWidth="1"/>
    <col min="122" max="122" width="16.88671875" bestFit="1" customWidth="1"/>
    <col min="123" max="123" width="6.6640625" bestFit="1" customWidth="1"/>
    <col min="124" max="124" width="6" bestFit="1" customWidth="1"/>
    <col min="125" max="125" width="15.44140625" bestFit="1" customWidth="1"/>
    <col min="126" max="126" width="16.88671875" bestFit="1" customWidth="1"/>
    <col min="127" max="127" width="18.44140625" bestFit="1" customWidth="1"/>
    <col min="128" max="128" width="6.6640625" bestFit="1" customWidth="1"/>
    <col min="129" max="129" width="6" bestFit="1" customWidth="1"/>
    <col min="130" max="130" width="15" bestFit="1" customWidth="1"/>
    <col min="131" max="131" width="16.88671875" bestFit="1" customWidth="1"/>
    <col min="132" max="132" width="17.109375" bestFit="1" customWidth="1"/>
    <col min="133" max="133" width="6.6640625" bestFit="1" customWidth="1"/>
    <col min="134" max="134" width="6" bestFit="1" customWidth="1"/>
    <col min="135" max="135" width="15" bestFit="1" customWidth="1"/>
    <col min="136" max="136" width="16.88671875" bestFit="1" customWidth="1"/>
    <col min="137" max="137" width="17.44140625" bestFit="1" customWidth="1"/>
    <col min="138" max="138" width="6.6640625" bestFit="1" customWidth="1"/>
    <col min="139" max="139" width="6" bestFit="1" customWidth="1"/>
    <col min="140" max="140" width="15" bestFit="1" customWidth="1"/>
    <col min="141" max="141" width="16.88671875" bestFit="1" customWidth="1"/>
    <col min="142" max="142" width="17.44140625" bestFit="1" customWidth="1"/>
    <col min="143" max="143" width="6.6640625" bestFit="1" customWidth="1"/>
    <col min="144" max="144" width="6" bestFit="1" customWidth="1"/>
    <col min="145" max="145" width="15" bestFit="1" customWidth="1"/>
    <col min="146" max="146" width="16.6640625" bestFit="1" customWidth="1"/>
    <col min="147" max="147" width="16.88671875" bestFit="1" customWidth="1"/>
    <col min="148" max="148" width="18.44140625" bestFit="1" customWidth="1"/>
    <col min="149" max="149" width="6.6640625" bestFit="1" customWidth="1"/>
    <col min="150" max="150" width="6" bestFit="1" customWidth="1"/>
    <col min="151" max="151" width="15" bestFit="1" customWidth="1"/>
    <col min="152" max="152" width="16.6640625" bestFit="1" customWidth="1"/>
    <col min="153" max="153" width="16.88671875" bestFit="1" customWidth="1"/>
    <col min="154" max="154" width="18.44140625" bestFit="1" customWidth="1"/>
    <col min="155" max="155" width="6.6640625" bestFit="1" customWidth="1"/>
    <col min="156" max="156" width="6" bestFit="1" customWidth="1"/>
    <col min="157" max="157" width="15" bestFit="1" customWidth="1"/>
    <col min="158" max="158" width="16.88671875" bestFit="1" customWidth="1"/>
    <col min="159" max="159" width="18.44140625" bestFit="1" customWidth="1"/>
    <col min="160" max="160" width="17.44140625" bestFit="1" customWidth="1"/>
    <col min="161" max="161" width="6.6640625" bestFit="1" customWidth="1"/>
    <col min="162" max="162" width="6" bestFit="1" customWidth="1"/>
    <col min="163" max="163" width="15" bestFit="1" customWidth="1"/>
    <col min="164" max="164" width="18.44140625" bestFit="1" customWidth="1"/>
    <col min="165" max="165" width="16.88671875" bestFit="1" customWidth="1"/>
    <col min="166" max="166" width="17.109375" bestFit="1" customWidth="1"/>
    <col min="167" max="167" width="6.6640625" bestFit="1" customWidth="1"/>
    <col min="168" max="168" width="6" bestFit="1" customWidth="1"/>
    <col min="169" max="169" width="15" bestFit="1" customWidth="1"/>
    <col min="170" max="170" width="18.44140625" bestFit="1" customWidth="1"/>
    <col min="171" max="171" width="16.88671875" bestFit="1" customWidth="1"/>
    <col min="172" max="172" width="17.109375" bestFit="1" customWidth="1"/>
    <col min="173" max="173" width="6.6640625" bestFit="1" customWidth="1"/>
    <col min="174" max="174" width="6" bestFit="1" customWidth="1"/>
    <col min="175" max="175" width="15" bestFit="1" customWidth="1"/>
    <col min="176" max="176" width="18.44140625" bestFit="1" customWidth="1"/>
    <col min="177" max="177" width="16.88671875" bestFit="1" customWidth="1"/>
    <col min="178" max="178" width="17.109375" bestFit="1" customWidth="1"/>
    <col min="179" max="179" width="6.6640625" bestFit="1" customWidth="1"/>
    <col min="180" max="180" width="6" bestFit="1" customWidth="1"/>
    <col min="181" max="181" width="15" bestFit="1" customWidth="1"/>
    <col min="182" max="182" width="18.44140625" bestFit="1" customWidth="1"/>
    <col min="183" max="183" width="16.88671875" bestFit="1" customWidth="1"/>
    <col min="184" max="184" width="17.109375" bestFit="1" customWidth="1"/>
    <col min="185" max="185" width="6.6640625" bestFit="1" customWidth="1"/>
    <col min="186" max="186" width="6" bestFit="1" customWidth="1"/>
    <col min="187" max="187" width="15" bestFit="1" customWidth="1"/>
    <col min="188" max="188" width="18.44140625" bestFit="1" customWidth="1"/>
    <col min="189" max="189" width="16.88671875" bestFit="1" customWidth="1"/>
    <col min="190" max="190" width="17.109375" bestFit="1" customWidth="1"/>
    <col min="191" max="191" width="6.6640625" bestFit="1" customWidth="1"/>
    <col min="192" max="192" width="6" bestFit="1" customWidth="1"/>
    <col min="193" max="193" width="15" bestFit="1" customWidth="1"/>
    <col min="194" max="194" width="18.44140625" bestFit="1" customWidth="1"/>
    <col min="195" max="195" width="16.88671875" bestFit="1" customWidth="1"/>
    <col min="196" max="196" width="17.109375" bestFit="1" customWidth="1"/>
    <col min="197" max="197" width="6.6640625" bestFit="1" customWidth="1"/>
    <col min="198" max="198" width="6" bestFit="1" customWidth="1"/>
    <col min="199" max="199" width="15" bestFit="1" customWidth="1"/>
    <col min="200" max="200" width="13.88671875" bestFit="1" customWidth="1"/>
    <col min="201" max="201" width="16.88671875" bestFit="1" customWidth="1"/>
    <col min="202" max="202" width="6.6640625" bestFit="1" customWidth="1"/>
    <col min="203" max="203" width="27.44140625" bestFit="1" customWidth="1"/>
    <col min="204" max="204" width="6" style="169" bestFit="1" customWidth="1"/>
    <col min="205" max="205" width="17.44140625" bestFit="1" customWidth="1"/>
    <col min="206" max="206" width="9.5546875" style="229" bestFit="1" customWidth="1"/>
    <col min="207" max="207" width="16.6640625" bestFit="1" customWidth="1"/>
    <col min="208" max="208" width="16.88671875" bestFit="1" customWidth="1"/>
    <col min="209" max="209" width="6.6640625" bestFit="1" customWidth="1"/>
    <col min="210" max="210" width="6" bestFit="1" customWidth="1"/>
    <col min="211" max="211" width="15" bestFit="1" customWidth="1"/>
    <col min="212" max="212" width="13.88671875" bestFit="1" customWidth="1"/>
    <col min="213" max="213" width="16.88671875" bestFit="1" customWidth="1"/>
    <col min="214" max="214" width="17.109375" bestFit="1" customWidth="1"/>
    <col min="215" max="215" width="6.6640625" bestFit="1" customWidth="1"/>
    <col min="216" max="216" width="6" bestFit="1" customWidth="1"/>
    <col min="217" max="217" width="15" bestFit="1" customWidth="1"/>
    <col min="218" max="218" width="13.88671875" bestFit="1" customWidth="1"/>
    <col min="219" max="219" width="16.88671875" bestFit="1" customWidth="1"/>
    <col min="220" max="220" width="17.44140625" bestFit="1" customWidth="1"/>
    <col min="221" max="221" width="6.6640625" bestFit="1" customWidth="1"/>
    <col min="222" max="222" width="6" bestFit="1" customWidth="1"/>
    <col min="223" max="223" width="15" bestFit="1" customWidth="1"/>
    <col min="224" max="224" width="13.88671875" bestFit="1" customWidth="1"/>
    <col min="225" max="225" width="16.88671875" bestFit="1" customWidth="1"/>
    <col min="226" max="226" width="17.109375" bestFit="1" customWidth="1"/>
    <col min="227" max="227" width="6.6640625" bestFit="1" customWidth="1"/>
    <col min="228" max="228" width="6" bestFit="1" customWidth="1"/>
    <col min="229" max="229" width="15" bestFit="1" customWidth="1"/>
    <col min="230" max="230" width="13.88671875" bestFit="1" customWidth="1"/>
    <col min="231" max="231" width="16.88671875" bestFit="1" customWidth="1"/>
    <col min="232" max="232" width="17.44140625" bestFit="1" customWidth="1"/>
    <col min="233" max="233" width="6.6640625" bestFit="1" customWidth="1"/>
    <col min="234" max="234" width="6" bestFit="1" customWidth="1"/>
    <col min="235" max="235" width="15" bestFit="1" customWidth="1"/>
    <col min="236" max="236" width="16.6640625" bestFit="1" customWidth="1"/>
    <col min="237" max="237" width="16.88671875" bestFit="1" customWidth="1"/>
    <col min="238" max="238" width="6.6640625" bestFit="1" customWidth="1"/>
    <col min="239" max="239" width="6" bestFit="1" customWidth="1"/>
    <col min="240" max="240" width="15.44140625" bestFit="1" customWidth="1"/>
    <col min="241" max="241" width="16.88671875" bestFit="1" customWidth="1"/>
    <col min="242" max="242" width="18.44140625" bestFit="1" customWidth="1"/>
    <col min="243" max="243" width="6.6640625" bestFit="1" customWidth="1"/>
    <col min="244" max="244" width="6" bestFit="1" customWidth="1"/>
    <col min="245" max="245" width="15" bestFit="1" customWidth="1"/>
    <col min="246" max="246" width="16.88671875" bestFit="1" customWidth="1"/>
    <col min="247" max="247" width="17.109375" bestFit="1" customWidth="1"/>
    <col min="248" max="248" width="6.6640625" bestFit="1" customWidth="1"/>
    <col min="249" max="249" width="6" bestFit="1" customWidth="1"/>
    <col min="250" max="250" width="15" bestFit="1" customWidth="1"/>
    <col min="251" max="251" width="16.88671875" bestFit="1" customWidth="1"/>
    <col min="252" max="252" width="17.44140625" bestFit="1" customWidth="1"/>
    <col min="253" max="253" width="6.6640625" bestFit="1" customWidth="1"/>
    <col min="254" max="254" width="6" bestFit="1" customWidth="1"/>
    <col min="255" max="255" width="15" bestFit="1" customWidth="1"/>
    <col min="256" max="256" width="16.88671875" bestFit="1" customWidth="1"/>
    <col min="257" max="257" width="17.44140625" bestFit="1" customWidth="1"/>
    <col min="258" max="258" width="6.6640625" bestFit="1" customWidth="1"/>
    <col min="259" max="259" width="6" bestFit="1" customWidth="1"/>
    <col min="260" max="260" width="20.44140625" bestFit="1" customWidth="1"/>
    <col min="261" max="261" width="20" bestFit="1" customWidth="1"/>
    <col min="262" max="262" width="20.109375" bestFit="1" customWidth="1"/>
    <col min="263" max="263" width="21.77734375" bestFit="1" customWidth="1"/>
    <col min="264" max="264" width="6.6640625" bestFit="1" customWidth="1"/>
    <col min="265" max="265" width="6" bestFit="1" customWidth="1"/>
    <col min="266" max="266" width="15" bestFit="1" customWidth="1"/>
    <col min="267" max="267" width="16.6640625" bestFit="1" customWidth="1"/>
    <col min="268" max="268" width="16.88671875" bestFit="1" customWidth="1"/>
    <col min="269" max="269" width="18.44140625" bestFit="1" customWidth="1"/>
    <col min="270" max="270" width="6.6640625" bestFit="1" customWidth="1"/>
    <col min="271" max="271" width="6" bestFit="1" customWidth="1"/>
    <col min="272" max="272" width="15" bestFit="1" customWidth="1"/>
    <col min="273" max="273" width="16.88671875" bestFit="1" customWidth="1"/>
    <col min="274" max="274" width="18.44140625" bestFit="1" customWidth="1"/>
    <col min="275" max="275" width="17.44140625" bestFit="1" customWidth="1"/>
    <col min="276" max="276" width="6.6640625" bestFit="1" customWidth="1"/>
    <col min="277" max="277" width="6" bestFit="1" customWidth="1"/>
    <col min="278" max="278" width="15" bestFit="1" customWidth="1"/>
    <col min="279" max="279" width="18.44140625" bestFit="1" customWidth="1"/>
    <col min="280" max="280" width="16.88671875" bestFit="1" customWidth="1"/>
    <col min="281" max="281" width="17.109375" bestFit="1" customWidth="1"/>
    <col min="282" max="282" width="6.6640625" bestFit="1" customWidth="1"/>
    <col min="283" max="283" width="6" bestFit="1" customWidth="1"/>
    <col min="284" max="284" width="15" bestFit="1" customWidth="1"/>
    <col min="285" max="285" width="18.44140625" bestFit="1" customWidth="1"/>
    <col min="286" max="286" width="16.88671875" bestFit="1" customWidth="1"/>
    <col min="287" max="287" width="17.109375" bestFit="1" customWidth="1"/>
    <col min="288" max="288" width="6.6640625" bestFit="1" customWidth="1"/>
    <col min="289" max="289" width="6" bestFit="1" customWidth="1"/>
    <col min="290" max="290" width="15" bestFit="1" customWidth="1"/>
    <col min="291" max="291" width="18.44140625" bestFit="1" customWidth="1"/>
    <col min="292" max="292" width="16.88671875" bestFit="1" customWidth="1"/>
    <col min="293" max="293" width="17.109375" bestFit="1" customWidth="1"/>
    <col min="294" max="294" width="6.6640625" bestFit="1" customWidth="1"/>
    <col min="295" max="295" width="6" bestFit="1" customWidth="1"/>
    <col min="296" max="296" width="15" bestFit="1" customWidth="1"/>
    <col min="297" max="297" width="18.44140625" bestFit="1" customWidth="1"/>
    <col min="298" max="298" width="16.88671875" bestFit="1" customWidth="1"/>
    <col min="299" max="299" width="17.109375" bestFit="1" customWidth="1"/>
    <col min="300" max="300" width="6.6640625" bestFit="1" customWidth="1"/>
    <col min="301" max="301" width="6" bestFit="1" customWidth="1"/>
    <col min="302" max="302" width="15" bestFit="1" customWidth="1"/>
    <col min="303" max="303" width="18.44140625" bestFit="1" customWidth="1"/>
    <col min="304" max="304" width="16.88671875" bestFit="1" customWidth="1"/>
    <col min="305" max="305" width="17.109375" bestFit="1" customWidth="1"/>
    <col min="306" max="306" width="6.6640625" bestFit="1" customWidth="1"/>
    <col min="307" max="307" width="6" bestFit="1" customWidth="1"/>
    <col min="308" max="308" width="15" bestFit="1" customWidth="1"/>
    <col min="309" max="309" width="18.44140625" bestFit="1" customWidth="1"/>
    <col min="310" max="310" width="16.88671875" bestFit="1" customWidth="1"/>
    <col min="311" max="311" width="17.109375" bestFit="1" customWidth="1"/>
    <col min="312" max="312" width="6.6640625" bestFit="1" customWidth="1"/>
    <col min="313" max="313" width="6" bestFit="1" customWidth="1"/>
    <col min="314" max="314" width="15" bestFit="1" customWidth="1"/>
    <col min="315" max="315" width="13.88671875" bestFit="1" customWidth="1"/>
    <col min="316" max="316" width="16.88671875" bestFit="1" customWidth="1"/>
    <col min="317" max="317" width="34.88671875" bestFit="1" customWidth="1"/>
    <col min="318" max="318" width="6.6640625" bestFit="1" customWidth="1"/>
    <col min="319" max="319" width="27.44140625" bestFit="1" customWidth="1"/>
    <col min="320" max="320" width="6" style="169" bestFit="1" customWidth="1"/>
    <col min="321" max="321" width="17.44140625" bestFit="1" customWidth="1"/>
    <col min="322" max="322" width="9.5546875" style="229" bestFit="1" customWidth="1"/>
    <col min="323" max="323" width="16.6640625" bestFit="1" customWidth="1"/>
    <col min="324" max="324" width="16.88671875" bestFit="1" customWidth="1"/>
    <col min="325" max="325" width="34.88671875" bestFit="1" customWidth="1"/>
    <col min="326" max="326" width="6.6640625" bestFit="1" customWidth="1"/>
    <col min="327" max="327" width="6" bestFit="1" customWidth="1"/>
    <col min="328" max="328" width="15" bestFit="1" customWidth="1"/>
    <col min="329" max="329" width="43.6640625" bestFit="1" customWidth="1"/>
    <col min="330" max="330" width="16.88671875" bestFit="1" customWidth="1"/>
    <col min="331" max="331" width="29.44140625" bestFit="1" customWidth="1"/>
    <col min="332" max="332" width="16.6640625" bestFit="1" customWidth="1"/>
    <col min="333" max="333" width="6.6640625" bestFit="1" customWidth="1"/>
    <col min="334" max="334" width="6" bestFit="1" customWidth="1"/>
    <col min="335" max="335" width="15" bestFit="1" customWidth="1"/>
    <col min="336" max="336" width="16.88671875" bestFit="1" customWidth="1"/>
    <col min="337" max="337" width="10.44140625" bestFit="1" customWidth="1"/>
    <col min="338" max="338" width="17.109375" bestFit="1" customWidth="1"/>
    <col min="339" max="339" width="6.6640625" bestFit="1" customWidth="1"/>
    <col min="340" max="340" width="6" bestFit="1" customWidth="1"/>
    <col min="341" max="341" width="15" bestFit="1" customWidth="1"/>
    <col min="342" max="342" width="16.88671875" bestFit="1" customWidth="1"/>
    <col min="343" max="343" width="10.44140625" bestFit="1" customWidth="1"/>
    <col min="344" max="344" width="17.44140625" bestFit="1" customWidth="1"/>
    <col min="345" max="345" width="6.6640625" bestFit="1" customWidth="1"/>
    <col min="346" max="346" width="6" bestFit="1" customWidth="1"/>
    <col min="347" max="347" width="15" bestFit="1" customWidth="1"/>
    <col min="348" max="348" width="16.88671875" bestFit="1" customWidth="1"/>
    <col min="349" max="349" width="10.44140625" bestFit="1" customWidth="1"/>
    <col min="350" max="350" width="17.44140625" bestFit="1" customWidth="1"/>
    <col min="351" max="351" width="6.6640625" bestFit="1" customWidth="1"/>
    <col min="352" max="352" width="6" bestFit="1" customWidth="1"/>
    <col min="353" max="353" width="15" bestFit="1" customWidth="1"/>
    <col min="354" max="354" width="16.6640625" bestFit="1" customWidth="1"/>
    <col min="355" max="355" width="16.88671875" bestFit="1" customWidth="1"/>
    <col min="356" max="356" width="43.6640625" bestFit="1" customWidth="1"/>
    <col min="357" max="357" width="23.21875" bestFit="1" customWidth="1"/>
    <col min="358" max="358" width="6.6640625" bestFit="1" customWidth="1"/>
    <col min="359" max="359" width="6" bestFit="1" customWidth="1"/>
    <col min="360" max="360" width="15" bestFit="1" customWidth="1"/>
    <col min="361" max="361" width="16.6640625" bestFit="1" customWidth="1"/>
    <col min="362" max="362" width="16.88671875" bestFit="1" customWidth="1"/>
    <col min="363" max="363" width="42.21875" bestFit="1" customWidth="1"/>
    <col min="364" max="364" width="18.44140625" bestFit="1" customWidth="1"/>
    <col min="365" max="365" width="6.6640625" bestFit="1" customWidth="1"/>
    <col min="366" max="366" width="6" bestFit="1" customWidth="1"/>
    <col min="367" max="367" width="15" bestFit="1" customWidth="1"/>
    <col min="368" max="368" width="16.88671875" bestFit="1" customWidth="1"/>
    <col min="369" max="369" width="18.44140625" bestFit="1" customWidth="1"/>
    <col min="370" max="370" width="10.44140625" bestFit="1" customWidth="1"/>
    <col min="371" max="371" width="17.44140625" bestFit="1" customWidth="1"/>
    <col min="372" max="372" width="6.6640625" bestFit="1" customWidth="1"/>
    <col min="373" max="373" width="6" style="169" bestFit="1" customWidth="1"/>
    <col min="374" max="374" width="16.6640625" bestFit="1" customWidth="1"/>
    <col min="375" max="375" width="18.44140625" style="229" bestFit="1" customWidth="1"/>
    <col min="376" max="376" width="15.44140625" bestFit="1" customWidth="1"/>
    <col min="377" max="377" width="6.6640625" bestFit="1" customWidth="1"/>
    <col min="378" max="378" width="6" bestFit="1" customWidth="1"/>
    <col min="379" max="379" width="15" bestFit="1" customWidth="1"/>
    <col min="380" max="380" width="16.88671875" bestFit="1" customWidth="1"/>
    <col min="381" max="381" width="18.44140625" bestFit="1" customWidth="1"/>
    <col min="382" max="382" width="17.109375" bestFit="1" customWidth="1"/>
    <col min="383" max="383" width="6.6640625" customWidth="1"/>
    <col min="384" max="384" width="6" bestFit="1" customWidth="1"/>
    <col min="385" max="385" width="15" bestFit="1" customWidth="1"/>
    <col min="386" max="386" width="16.88671875" bestFit="1" customWidth="1"/>
    <col min="387" max="387" width="18.44140625" bestFit="1" customWidth="1"/>
    <col min="388" max="388" width="17.44140625" bestFit="1" customWidth="1"/>
    <col min="389" max="389" width="6.6640625" bestFit="1" customWidth="1"/>
    <col min="390" max="390" width="6" bestFit="1" customWidth="1"/>
    <col min="391" max="391" width="15" bestFit="1" customWidth="1"/>
    <col min="392" max="392" width="18.44140625" bestFit="1" customWidth="1"/>
    <col min="393" max="393" width="16.88671875" bestFit="1" customWidth="1"/>
    <col min="394" max="394" width="17.109375" bestFit="1" customWidth="1"/>
    <col min="395" max="395" width="6.6640625" bestFit="1" customWidth="1"/>
    <col min="396" max="396" width="6" bestFit="1" customWidth="1"/>
    <col min="397" max="397" width="15" bestFit="1" customWidth="1"/>
    <col min="398" max="398" width="18.44140625" bestFit="1" customWidth="1"/>
    <col min="399" max="399" width="16.88671875" bestFit="1" customWidth="1"/>
    <col min="400" max="400" width="17.109375" bestFit="1" customWidth="1"/>
    <col min="401" max="401" width="6.6640625" bestFit="1" customWidth="1"/>
    <col min="402" max="402" width="6" bestFit="1" customWidth="1"/>
    <col min="403" max="403" width="15" bestFit="1" customWidth="1"/>
    <col min="404" max="404" width="18.44140625" bestFit="1" customWidth="1"/>
    <col min="405" max="405" width="16.88671875" bestFit="1" customWidth="1"/>
    <col min="406" max="406" width="17.109375" bestFit="1" customWidth="1"/>
    <col min="407" max="407" width="6.6640625" bestFit="1" customWidth="1"/>
    <col min="408" max="408" width="6" bestFit="1" customWidth="1"/>
    <col min="409" max="409" width="15" bestFit="1" customWidth="1"/>
    <col min="410" max="410" width="18.44140625" bestFit="1" customWidth="1"/>
    <col min="411" max="411" width="16.88671875" bestFit="1" customWidth="1"/>
    <col min="412" max="412" width="17.109375" bestFit="1" customWidth="1"/>
    <col min="413" max="413" width="6.6640625" bestFit="1" customWidth="1"/>
    <col min="414" max="414" width="6" bestFit="1" customWidth="1"/>
    <col min="415" max="415" width="15" bestFit="1" customWidth="1"/>
    <col min="416" max="416" width="18.44140625" bestFit="1" customWidth="1"/>
    <col min="417" max="417" width="16.88671875" bestFit="1" customWidth="1"/>
    <col min="418" max="418" width="17.109375" bestFit="1" customWidth="1"/>
    <col min="419" max="419" width="6.6640625" bestFit="1" customWidth="1"/>
    <col min="420" max="420" width="6" bestFit="1" customWidth="1"/>
    <col min="421" max="421" width="15" bestFit="1" customWidth="1"/>
    <col min="422" max="422" width="18.44140625" bestFit="1" customWidth="1"/>
    <col min="423" max="423" width="16.88671875" bestFit="1" customWidth="1"/>
    <col min="424" max="424" width="17.109375" bestFit="1" customWidth="1"/>
    <col min="425" max="425" width="6.6640625" bestFit="1" customWidth="1"/>
    <col min="426" max="426" width="6" bestFit="1" customWidth="1"/>
    <col min="427" max="427" width="15" bestFit="1" customWidth="1"/>
    <col min="428" max="428" width="13.88671875" bestFit="1" customWidth="1"/>
    <col min="429" max="429" width="16.88671875" bestFit="1" customWidth="1"/>
    <col min="430" max="430" width="10.44140625" bestFit="1" customWidth="1"/>
    <col min="431" max="431" width="6.6640625" bestFit="1" customWidth="1"/>
    <col min="432" max="432" width="27.44140625" bestFit="1" customWidth="1"/>
    <col min="433" max="433" width="6" style="169" bestFit="1" customWidth="1"/>
    <col min="434" max="434" width="17.44140625" bestFit="1" customWidth="1"/>
    <col min="435" max="435" width="9.5546875" style="229" bestFit="1" customWidth="1"/>
    <col min="436" max="436" width="16.6640625" bestFit="1" customWidth="1"/>
    <col min="437" max="437" width="16.88671875" bestFit="1" customWidth="1"/>
    <col min="438" max="438" width="10.44140625" bestFit="1" customWidth="1"/>
    <col min="439" max="439" width="6.6640625" bestFit="1" customWidth="1"/>
    <col min="440" max="440" width="6" bestFit="1" customWidth="1"/>
    <col min="441" max="441" width="15" bestFit="1" customWidth="1"/>
    <col min="442" max="442" width="16.6640625" bestFit="1" customWidth="1"/>
    <col min="443" max="443" width="16.88671875" bestFit="1" customWidth="1"/>
    <col min="444" max="444" width="18.44140625" bestFit="1" customWidth="1"/>
    <col min="445" max="445" width="10.44140625" bestFit="1" customWidth="1"/>
    <col min="446" max="446" width="6.6640625" bestFit="1" customWidth="1"/>
    <col min="447" max="447" width="6" bestFit="1" customWidth="1"/>
    <col min="448" max="448" width="15" bestFit="1" customWidth="1"/>
    <col min="449" max="449" width="16.88671875" bestFit="1" customWidth="1"/>
    <col min="450" max="450" width="10.44140625" bestFit="1" customWidth="1"/>
    <col min="451" max="451" width="17.109375" bestFit="1" customWidth="1"/>
    <col min="452" max="452" width="6.6640625" bestFit="1" customWidth="1"/>
    <col min="453" max="453" width="6" bestFit="1" customWidth="1"/>
    <col min="454" max="454" width="15" bestFit="1" customWidth="1"/>
    <col min="455" max="455" width="16.88671875" bestFit="1" customWidth="1"/>
    <col min="456" max="456" width="10.44140625" bestFit="1" customWidth="1"/>
    <col min="457" max="457" width="17.44140625" bestFit="1" customWidth="1"/>
    <col min="458" max="458" width="6.6640625" bestFit="1" customWidth="1"/>
    <col min="459" max="459" width="6" bestFit="1" customWidth="1"/>
    <col min="460" max="460" width="15" bestFit="1" customWidth="1"/>
    <col min="461" max="461" width="16.88671875" bestFit="1" customWidth="1"/>
    <col min="462" max="462" width="10.44140625" bestFit="1" customWidth="1"/>
    <col min="463" max="463" width="17.44140625" bestFit="1" customWidth="1"/>
    <col min="464" max="464" width="6.6640625" bestFit="1" customWidth="1"/>
    <col min="465" max="465" width="6" bestFit="1" customWidth="1"/>
    <col min="466" max="466" width="15" bestFit="1" customWidth="1"/>
    <col min="467" max="467" width="16.6640625" bestFit="1" customWidth="1"/>
    <col min="468" max="468" width="16.88671875" bestFit="1" customWidth="1"/>
    <col min="469" max="469" width="10.44140625" bestFit="1" customWidth="1"/>
    <col min="470" max="470" width="18.44140625" bestFit="1" customWidth="1"/>
    <col min="471" max="471" width="6.6640625" bestFit="1" customWidth="1"/>
    <col min="472" max="472" width="6" style="169" bestFit="1" customWidth="1"/>
    <col min="473" max="473" width="15" bestFit="1" customWidth="1"/>
    <col min="474" max="474" width="13.88671875" bestFit="1" customWidth="1"/>
    <col min="475" max="475" width="16.88671875" bestFit="1" customWidth="1"/>
    <col min="476" max="476" width="10.44140625" bestFit="1" customWidth="1"/>
    <col min="477" max="477" width="6.6640625" bestFit="1" customWidth="1"/>
    <col min="478" max="478" width="27.44140625" bestFit="1" customWidth="1"/>
    <col min="479" max="479" width="6" style="169" bestFit="1" customWidth="1"/>
    <col min="480" max="480" width="17.44140625" bestFit="1" customWidth="1"/>
    <col min="481" max="481" width="9.5546875" style="229" bestFit="1" customWidth="1"/>
    <col min="482" max="482" width="16.6640625" bestFit="1" customWidth="1"/>
    <col min="483" max="483" width="16.88671875" bestFit="1" customWidth="1"/>
    <col min="484" max="484" width="10.44140625" bestFit="1" customWidth="1"/>
    <col min="485" max="485" width="6.6640625" bestFit="1" customWidth="1"/>
    <col min="486" max="486" width="6" bestFit="1" customWidth="1"/>
    <col min="487" max="487" width="15" bestFit="1" customWidth="1"/>
    <col min="488" max="488" width="16.6640625" style="229" bestFit="1" customWidth="1"/>
    <col min="489" max="489" width="18.44140625" bestFit="1" customWidth="1"/>
    <col min="490" max="490" width="16.88671875" bestFit="1" customWidth="1"/>
    <col min="491" max="491" width="10.44140625" bestFit="1" customWidth="1"/>
    <col min="492" max="492" width="6.6640625" bestFit="1" customWidth="1"/>
    <col min="493" max="493" width="6" bestFit="1" customWidth="1"/>
    <col min="494" max="494" width="15" bestFit="1" customWidth="1"/>
    <col min="495" max="495" width="13.88671875" bestFit="1" customWidth="1"/>
    <col min="496" max="496" width="16.88671875" bestFit="1" customWidth="1"/>
    <col min="497" max="497" width="10.44140625" bestFit="1" customWidth="1"/>
    <col min="498" max="498" width="6.6640625" bestFit="1" customWidth="1"/>
    <col min="499" max="499" width="27.44140625" bestFit="1" customWidth="1"/>
    <col min="500" max="500" width="6" style="169" bestFit="1" customWidth="1"/>
    <col min="501" max="501" width="17.44140625" bestFit="1" customWidth="1"/>
    <col min="502" max="502" width="9.5546875" style="229" bestFit="1" customWidth="1"/>
    <col min="503" max="503" width="16.6640625" bestFit="1" customWidth="1"/>
    <col min="504" max="504" width="16.88671875" bestFit="1" customWidth="1"/>
    <col min="505" max="505" width="10.44140625" bestFit="1" customWidth="1"/>
    <col min="506" max="506" width="6.6640625" bestFit="1" customWidth="1"/>
    <col min="507" max="507" width="6" style="169" bestFit="1" customWidth="1"/>
    <col min="508" max="508" width="15" bestFit="1" customWidth="1"/>
    <col min="509" max="509" width="16.6640625" style="229" bestFit="1" customWidth="1"/>
    <col min="510" max="510" width="16.88671875" bestFit="1" customWidth="1"/>
    <col min="511" max="511" width="10.44140625" bestFit="1" customWidth="1"/>
    <col min="512" max="512" width="6.6640625" bestFit="1" customWidth="1"/>
    <col min="513" max="513" width="6" bestFit="1" customWidth="1"/>
    <col min="514" max="514" width="15" bestFit="1" customWidth="1"/>
    <col min="515" max="515" width="16.88671875" bestFit="1" customWidth="1"/>
    <col min="516" max="516" width="13.88671875" bestFit="1" customWidth="1"/>
    <col min="517" max="517" width="6.6640625" bestFit="1" customWidth="1"/>
    <col min="518" max="518" width="27.44140625" bestFit="1" customWidth="1"/>
    <col min="519" max="519" width="6" style="169" bestFit="1" customWidth="1"/>
    <col min="520" max="520" width="17.44140625" bestFit="1" customWidth="1"/>
    <col min="521" max="521" width="9.5546875" style="229" bestFit="1" customWidth="1"/>
    <col min="522" max="522" width="16.6640625" bestFit="1" customWidth="1"/>
    <col min="523" max="523" width="16.88671875" bestFit="1" customWidth="1"/>
    <col min="524" max="524" width="6.6640625" bestFit="1" customWidth="1"/>
    <col min="525" max="525" width="6" bestFit="1" customWidth="1"/>
    <col min="526" max="526" width="15" bestFit="1" customWidth="1"/>
    <col min="527" max="527" width="16.6640625" style="229" bestFit="1" customWidth="1"/>
    <col min="528" max="528" width="16.88671875" bestFit="1" customWidth="1"/>
    <col min="529" max="529" width="6.6640625" bestFit="1" customWidth="1"/>
    <col min="530" max="530" width="6" bestFit="1" customWidth="1"/>
    <col min="531" max="531" width="15" bestFit="1" customWidth="1"/>
    <col min="532" max="532" width="13.88671875" bestFit="1" customWidth="1"/>
    <col min="533" max="533" width="16.88671875" bestFit="1" customWidth="1"/>
    <col min="534" max="534" width="6.6640625" bestFit="1" customWidth="1"/>
    <col min="535" max="535" width="27.44140625" bestFit="1" customWidth="1"/>
    <col min="536" max="536" width="6" style="169" bestFit="1" customWidth="1"/>
    <col min="537" max="537" width="17.44140625" bestFit="1" customWidth="1"/>
    <col min="538" max="538" width="9.5546875" style="229" bestFit="1" customWidth="1"/>
    <col min="539" max="539" width="16.6640625" bestFit="1" customWidth="1"/>
    <col min="540" max="540" width="16.88671875" bestFit="1" customWidth="1"/>
    <col min="541" max="541" width="6.6640625" bestFit="1" customWidth="1"/>
    <col min="542" max="542" width="6" style="169" bestFit="1" customWidth="1"/>
    <col min="543" max="543" width="15" bestFit="1" customWidth="1"/>
    <col min="544" max="544" width="16.6640625" style="229" bestFit="1" customWidth="1"/>
    <col min="545" max="545" width="16.88671875" bestFit="1" customWidth="1"/>
    <col min="546" max="546" width="6.6640625" bestFit="1" customWidth="1"/>
    <col min="549" max="549" width="20.44140625" bestFit="1" customWidth="1"/>
    <col min="550" max="550" width="22.6640625" bestFit="1" customWidth="1"/>
    <col min="551" max="551" width="27.44140625" bestFit="1" customWidth="1"/>
    <col min="552" max="552" width="18.33203125" bestFit="1" customWidth="1"/>
    <col min="553" max="553" width="13.5546875" bestFit="1" customWidth="1"/>
    <col min="555" max="555" width="18.109375" bestFit="1" customWidth="1"/>
    <col min="558" max="559" width="8.88671875" customWidth="1"/>
  </cols>
  <sheetData>
    <row r="1" spans="1:559" ht="18" customHeight="1" x14ac:dyDescent="0.3">
      <c r="E1" s="495" t="s">
        <v>457</v>
      </c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S1" s="496"/>
      <c r="T1" s="497"/>
      <c r="V1" s="498" t="s">
        <v>24</v>
      </c>
      <c r="W1" s="498"/>
      <c r="X1" s="498"/>
      <c r="Y1" s="498"/>
      <c r="Z1" s="498"/>
      <c r="AA1" s="498"/>
      <c r="AB1" s="498"/>
      <c r="AC1" s="498"/>
      <c r="AE1" s="480" t="s">
        <v>25</v>
      </c>
      <c r="AF1" s="481"/>
      <c r="AG1" s="481"/>
      <c r="AH1" s="481"/>
      <c r="AI1" s="481"/>
      <c r="AJ1" s="481"/>
      <c r="AK1" s="481"/>
      <c r="AN1" s="480" t="s">
        <v>28</v>
      </c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AY1" s="481"/>
      <c r="AZ1" s="481"/>
      <c r="BA1" s="481"/>
      <c r="BB1" s="481"/>
      <c r="BC1" s="481"/>
      <c r="BD1" s="481"/>
      <c r="BE1" s="481"/>
      <c r="BF1" s="481"/>
      <c r="BG1" s="481"/>
      <c r="BH1" s="481"/>
      <c r="BI1" s="481"/>
      <c r="BJ1" s="481"/>
      <c r="BK1" s="481"/>
      <c r="BM1" s="480" t="s">
        <v>443</v>
      </c>
      <c r="BN1" s="481"/>
      <c r="BO1" s="481"/>
      <c r="BP1" s="481"/>
      <c r="BQ1" s="481"/>
      <c r="BR1" s="481"/>
      <c r="BS1" s="481"/>
      <c r="BT1" s="481"/>
      <c r="BU1" s="481"/>
      <c r="BV1" s="481"/>
      <c r="BW1" s="481"/>
      <c r="BX1" s="481"/>
      <c r="BY1" s="481"/>
      <c r="BZ1" s="481"/>
      <c r="CA1" s="481"/>
      <c r="CB1" s="481"/>
      <c r="CC1" s="481"/>
      <c r="CD1" s="481"/>
      <c r="CF1" s="485" t="s">
        <v>377</v>
      </c>
      <c r="CG1" s="485"/>
      <c r="CH1" s="485"/>
      <c r="CI1" s="485"/>
      <c r="CJ1" s="485"/>
      <c r="CK1" s="485"/>
      <c r="CL1" s="485"/>
      <c r="CM1" s="485"/>
      <c r="CN1" s="485"/>
      <c r="CO1" s="485"/>
      <c r="CP1" s="485"/>
      <c r="CQ1" s="485"/>
      <c r="CR1" s="485"/>
      <c r="CS1" s="485"/>
      <c r="CT1" s="485"/>
      <c r="CU1" s="485"/>
      <c r="CV1" s="485"/>
      <c r="CW1" s="485"/>
      <c r="CX1" s="485"/>
      <c r="CY1" s="485"/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V1" s="485"/>
      <c r="DW1" s="485"/>
      <c r="DX1" s="485"/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  <c r="EU1" s="485"/>
      <c r="EV1" s="485"/>
      <c r="EW1" s="485"/>
      <c r="EX1" s="485"/>
      <c r="EY1" s="485"/>
      <c r="EZ1" s="485"/>
      <c r="FA1" s="485"/>
      <c r="FB1" s="485"/>
      <c r="FC1" s="485"/>
      <c r="FD1" s="485"/>
      <c r="FE1" s="485"/>
      <c r="FF1" s="485"/>
      <c r="FG1" s="485"/>
      <c r="FH1" s="485"/>
      <c r="FI1" s="485"/>
      <c r="FJ1" s="485"/>
      <c r="FK1" s="485"/>
      <c r="FL1" s="485"/>
      <c r="FM1" s="485"/>
      <c r="FN1" s="485"/>
      <c r="FO1" s="485"/>
      <c r="FP1" s="485"/>
      <c r="FQ1" s="485"/>
      <c r="FR1" s="485"/>
      <c r="FS1" s="485"/>
      <c r="FT1" s="485"/>
      <c r="FU1" s="485"/>
      <c r="FV1" s="485"/>
      <c r="FW1" s="485"/>
      <c r="FX1" s="485"/>
      <c r="FY1" s="485"/>
      <c r="FZ1" s="485"/>
      <c r="GA1" s="485"/>
      <c r="GB1" s="485"/>
      <c r="GC1" s="485"/>
      <c r="GD1" s="485"/>
      <c r="GE1" s="485"/>
      <c r="GF1" s="485"/>
      <c r="GG1" s="485"/>
      <c r="GH1" s="485"/>
      <c r="GI1" s="485"/>
      <c r="GJ1" s="485"/>
      <c r="GK1" s="485"/>
      <c r="GL1" s="485"/>
      <c r="GM1" s="485"/>
      <c r="GN1" s="485"/>
      <c r="GO1" s="485"/>
      <c r="GQ1" s="500" t="s">
        <v>380</v>
      </c>
      <c r="GR1" s="500"/>
      <c r="GS1" s="500"/>
      <c r="GT1" s="500"/>
      <c r="GU1" s="500"/>
      <c r="GV1" s="500"/>
      <c r="GW1" s="500"/>
      <c r="GX1" s="500"/>
      <c r="GY1" s="500"/>
      <c r="GZ1" s="500"/>
      <c r="HA1" s="500"/>
      <c r="HB1" s="500"/>
      <c r="HC1" s="500"/>
      <c r="HD1" s="500"/>
      <c r="HE1" s="500"/>
      <c r="HF1" s="500"/>
      <c r="HG1" s="500"/>
      <c r="HH1" s="500"/>
      <c r="HI1" s="500"/>
      <c r="HJ1" s="500"/>
      <c r="HK1" s="500"/>
      <c r="HL1" s="500"/>
      <c r="HM1" s="500"/>
      <c r="HN1" s="500"/>
      <c r="HO1" s="500"/>
      <c r="HP1" s="500"/>
      <c r="HQ1" s="500"/>
      <c r="HR1" s="500"/>
      <c r="HS1" s="500"/>
      <c r="HT1" s="500"/>
      <c r="HU1" s="500"/>
      <c r="HV1" s="500"/>
      <c r="HW1" s="500"/>
      <c r="HX1" s="500"/>
      <c r="HY1" s="500"/>
      <c r="HZ1" s="500"/>
      <c r="IA1" s="500"/>
      <c r="IB1" s="500"/>
      <c r="IC1" s="500"/>
      <c r="ID1" s="500"/>
      <c r="IE1" s="500"/>
      <c r="IF1" s="500"/>
      <c r="IG1" s="500"/>
      <c r="IH1" s="500"/>
      <c r="II1" s="500"/>
      <c r="IJ1" s="500"/>
      <c r="IK1" s="500"/>
      <c r="IL1" s="500"/>
      <c r="IM1" s="500"/>
      <c r="IN1" s="500"/>
      <c r="IO1" s="500"/>
      <c r="IP1" s="500"/>
      <c r="IQ1" s="500"/>
      <c r="IR1" s="500"/>
      <c r="IS1" s="500"/>
      <c r="IT1" s="500"/>
      <c r="IU1" s="500"/>
      <c r="IV1" s="500"/>
      <c r="IW1" s="500"/>
      <c r="IX1" s="500"/>
      <c r="IY1" s="500"/>
      <c r="IZ1" s="500"/>
      <c r="JA1" s="500"/>
      <c r="JB1" s="500"/>
      <c r="JC1" s="500"/>
      <c r="JD1" s="500"/>
      <c r="JE1" s="500"/>
      <c r="JF1" s="500"/>
      <c r="JG1" s="500"/>
      <c r="JH1" s="500"/>
      <c r="JI1" s="500"/>
      <c r="JJ1" s="500"/>
      <c r="JK1" s="500"/>
      <c r="JL1" s="500"/>
      <c r="JM1" s="500"/>
      <c r="JN1" s="500"/>
      <c r="JO1" s="500"/>
      <c r="JP1" s="500"/>
      <c r="JQ1" s="500"/>
      <c r="JR1" s="500"/>
      <c r="JS1" s="500"/>
      <c r="JT1" s="500"/>
      <c r="JU1" s="500"/>
      <c r="JV1" s="500"/>
      <c r="JW1" s="500"/>
      <c r="JX1" s="500"/>
      <c r="JY1" s="500"/>
      <c r="JZ1" s="500"/>
      <c r="KA1" s="500"/>
      <c r="KB1" s="500"/>
      <c r="KC1" s="500"/>
      <c r="KD1" s="500"/>
      <c r="KE1" s="500"/>
      <c r="KF1" s="500"/>
      <c r="KG1" s="500"/>
      <c r="KH1" s="500"/>
      <c r="KI1" s="500"/>
      <c r="KJ1" s="500"/>
      <c r="KK1" s="500"/>
      <c r="KL1" s="500"/>
      <c r="KM1" s="500"/>
      <c r="KN1" s="500"/>
      <c r="KO1" s="500"/>
      <c r="KP1" s="500"/>
      <c r="KQ1" s="500"/>
      <c r="KR1" s="500"/>
      <c r="KS1" s="500"/>
      <c r="KT1" s="500"/>
      <c r="KU1" s="500"/>
      <c r="KV1" s="500"/>
      <c r="KW1" s="500"/>
      <c r="KX1" s="500"/>
      <c r="KY1" s="500"/>
      <c r="KZ1" s="500"/>
      <c r="LB1" s="486" t="s">
        <v>408</v>
      </c>
      <c r="LC1" s="486"/>
      <c r="LD1" s="486"/>
      <c r="LE1" s="486"/>
      <c r="LF1" s="486"/>
      <c r="LG1" s="486"/>
      <c r="LH1" s="486"/>
      <c r="LI1" s="486"/>
      <c r="LJ1" s="486"/>
      <c r="LK1" s="486"/>
      <c r="LL1" s="486"/>
      <c r="LM1" s="486"/>
      <c r="LN1" s="486"/>
      <c r="LO1" s="486"/>
      <c r="LP1" s="486"/>
      <c r="LQ1" s="486"/>
      <c r="LR1" s="486"/>
      <c r="LS1" s="486"/>
      <c r="LT1" s="486"/>
      <c r="LU1" s="486"/>
      <c r="LV1" s="486"/>
      <c r="LW1" s="486"/>
      <c r="LX1" s="486"/>
      <c r="LY1" s="486"/>
      <c r="LZ1" s="486"/>
      <c r="MA1" s="486"/>
      <c r="MB1" s="486"/>
      <c r="MC1" s="486"/>
      <c r="MD1" s="486"/>
      <c r="ME1" s="486"/>
      <c r="MF1" s="486"/>
      <c r="MG1" s="486"/>
      <c r="MH1" s="486"/>
      <c r="MI1" s="486"/>
      <c r="MJ1" s="486"/>
      <c r="MK1" s="486"/>
      <c r="ML1" s="486"/>
      <c r="MM1" s="486"/>
      <c r="MN1" s="486"/>
      <c r="MO1" s="486"/>
      <c r="MP1" s="486"/>
      <c r="MQ1" s="486"/>
      <c r="MR1" s="486"/>
      <c r="MS1" s="486"/>
      <c r="MT1" s="486"/>
      <c r="MU1" s="486"/>
      <c r="MV1" s="486"/>
      <c r="MW1" s="486"/>
      <c r="MX1" s="486"/>
      <c r="MY1" s="486"/>
      <c r="MZ1" s="486"/>
      <c r="NA1" s="486"/>
      <c r="NB1" s="486"/>
      <c r="NC1" s="486"/>
      <c r="ND1" s="486"/>
      <c r="NE1" s="486"/>
      <c r="NF1" s="486"/>
      <c r="NG1" s="486"/>
      <c r="NH1" s="486"/>
      <c r="NI1"/>
      <c r="NJ1" s="486" t="s">
        <v>137</v>
      </c>
      <c r="NK1" s="486"/>
      <c r="NL1" s="486"/>
      <c r="NM1" s="486"/>
      <c r="NN1" s="486"/>
      <c r="NO1" s="486"/>
      <c r="NP1" s="486"/>
      <c r="NQ1" s="486"/>
      <c r="NR1" s="486"/>
      <c r="NS1" s="486"/>
      <c r="NT1" s="486"/>
      <c r="NU1" s="486"/>
      <c r="NV1" s="486"/>
      <c r="NW1" s="486"/>
      <c r="NX1" s="486"/>
      <c r="NY1" s="486"/>
      <c r="NZ1" s="486"/>
      <c r="OA1" s="486"/>
      <c r="OB1" s="486"/>
      <c r="OC1" s="486"/>
      <c r="OD1" s="486"/>
      <c r="OE1" s="486"/>
      <c r="OF1" s="486"/>
      <c r="OG1" s="486"/>
      <c r="OH1" s="486"/>
      <c r="OI1" s="486"/>
      <c r="OJ1" s="486"/>
      <c r="OK1" s="486"/>
      <c r="OL1" s="486"/>
      <c r="OM1" s="486"/>
      <c r="ON1" s="486"/>
      <c r="OO1" s="486"/>
      <c r="OP1" s="486"/>
      <c r="OQ1" s="486"/>
      <c r="OR1" s="486"/>
      <c r="OS1" s="486"/>
      <c r="OT1" s="486"/>
      <c r="OU1" s="486"/>
      <c r="OV1" s="486"/>
      <c r="OW1" s="486"/>
      <c r="OX1" s="486"/>
      <c r="OY1" s="486"/>
      <c r="OZ1" s="486"/>
      <c r="PA1" s="486"/>
      <c r="PB1" s="486"/>
      <c r="PC1" s="486"/>
      <c r="PD1" s="486"/>
      <c r="PE1" s="486"/>
      <c r="PF1" s="486"/>
      <c r="PG1" s="486"/>
      <c r="PH1" s="486"/>
      <c r="PI1" s="486"/>
      <c r="PK1" s="508" t="s">
        <v>409</v>
      </c>
      <c r="PL1" s="508"/>
      <c r="PM1" s="508"/>
      <c r="PN1" s="508"/>
      <c r="PO1" s="508"/>
      <c r="PP1" s="508"/>
      <c r="PQ1" s="508"/>
      <c r="PR1" s="508"/>
      <c r="PS1" s="508"/>
      <c r="PT1" s="508"/>
      <c r="PU1" s="508"/>
      <c r="PV1" s="508"/>
      <c r="PW1" s="508"/>
      <c r="PX1" s="508"/>
      <c r="PY1" s="508"/>
      <c r="PZ1" s="508"/>
      <c r="QA1" s="508"/>
      <c r="QB1" s="508"/>
      <c r="QC1" s="508"/>
      <c r="QD1" s="508"/>
      <c r="QE1" s="508"/>
      <c r="QF1" s="508"/>
      <c r="QG1" s="508"/>
      <c r="QH1" s="508"/>
      <c r="QI1" s="508"/>
      <c r="QJ1" s="508"/>
      <c r="QK1" s="508"/>
      <c r="QL1" s="508"/>
      <c r="QM1" s="508"/>
      <c r="QN1" s="508"/>
      <c r="QO1" s="508"/>
      <c r="QP1" s="508"/>
      <c r="QQ1" s="508"/>
      <c r="QR1" s="508"/>
      <c r="QS1" s="508"/>
      <c r="QT1" s="508"/>
      <c r="QU1" s="508"/>
      <c r="QV1" s="508"/>
      <c r="QW1" s="508"/>
      <c r="QX1" s="508"/>
      <c r="QY1" s="508"/>
      <c r="QZ1" s="508"/>
      <c r="RA1" s="508"/>
      <c r="RB1" s="508"/>
      <c r="RC1" s="508"/>
      <c r="RD1"/>
      <c r="RE1" s="505" t="s">
        <v>407</v>
      </c>
      <c r="RF1" s="505"/>
      <c r="RG1" s="505"/>
      <c r="RH1" s="505"/>
      <c r="RI1" s="505"/>
      <c r="RJ1" s="505"/>
      <c r="RK1" s="505"/>
      <c r="RL1" s="505"/>
      <c r="RM1" s="505"/>
      <c r="RN1" s="505"/>
      <c r="RO1" s="505"/>
      <c r="RP1" s="505"/>
      <c r="RQ1" s="505"/>
      <c r="RR1" s="505"/>
      <c r="RS1" s="505"/>
      <c r="RT1" s="505"/>
      <c r="RU1" s="505"/>
      <c r="RV1" s="505"/>
      <c r="RW1" s="505"/>
      <c r="RX1" s="505"/>
      <c r="RZ1" s="507" t="s">
        <v>407</v>
      </c>
      <c r="SA1" s="507"/>
      <c r="SB1" s="507"/>
      <c r="SC1" s="507"/>
      <c r="SD1" s="507"/>
      <c r="SE1" s="507"/>
      <c r="SF1" s="507"/>
      <c r="SG1" s="507"/>
      <c r="SH1" s="507"/>
      <c r="SI1" s="507"/>
      <c r="SJ1" s="507"/>
      <c r="SK1" s="507"/>
      <c r="SL1" s="507"/>
      <c r="SM1" s="507"/>
      <c r="SN1" s="507"/>
      <c r="SO1" s="507"/>
      <c r="SP1" s="507"/>
      <c r="SQ1" s="507"/>
      <c r="SR1" s="507"/>
      <c r="ST1" s="502" t="s">
        <v>410</v>
      </c>
      <c r="SU1" s="502"/>
      <c r="SV1" s="502"/>
      <c r="SW1" s="502"/>
      <c r="SX1" s="502"/>
      <c r="SY1" s="502"/>
      <c r="SZ1" s="502"/>
      <c r="TA1" s="502"/>
      <c r="TB1" s="502"/>
      <c r="TC1" s="502"/>
      <c r="TD1" s="502"/>
      <c r="TE1" s="502"/>
      <c r="TF1" s="502"/>
      <c r="TG1" s="502"/>
      <c r="TH1" s="502"/>
      <c r="TI1" s="502"/>
      <c r="TK1" s="503" t="s">
        <v>162</v>
      </c>
      <c r="TL1" s="503"/>
      <c r="TM1" s="503"/>
      <c r="TN1" s="503"/>
      <c r="TO1" s="503"/>
      <c r="TP1" s="503"/>
      <c r="TQ1" s="503"/>
      <c r="TR1" s="503"/>
      <c r="TS1" s="503"/>
      <c r="TT1" s="503"/>
      <c r="TU1" s="503"/>
      <c r="TV1" s="503"/>
      <c r="TW1" s="503"/>
      <c r="TX1" s="503"/>
      <c r="TY1" s="503"/>
      <c r="TZ1" s="503"/>
    </row>
    <row r="2" spans="1:559" ht="18" customHeight="1" x14ac:dyDescent="0.3">
      <c r="E2" s="487" t="s">
        <v>458</v>
      </c>
      <c r="F2" s="488"/>
      <c r="G2" s="488"/>
      <c r="H2" s="488"/>
      <c r="I2" s="488"/>
      <c r="J2" s="488"/>
      <c r="K2" s="488"/>
      <c r="L2" s="488"/>
      <c r="M2" s="491" t="s">
        <v>418</v>
      </c>
      <c r="N2" s="491"/>
      <c r="O2" s="491"/>
      <c r="P2" s="491"/>
      <c r="Q2" s="491"/>
      <c r="R2" s="491"/>
      <c r="S2" s="491"/>
      <c r="T2" s="492"/>
      <c r="V2" s="498"/>
      <c r="W2" s="498"/>
      <c r="X2" s="498"/>
      <c r="Y2" s="498"/>
      <c r="Z2" s="498"/>
      <c r="AA2" s="498"/>
      <c r="AB2" s="498"/>
      <c r="AC2" s="498"/>
      <c r="AE2" s="480"/>
      <c r="AF2" s="481"/>
      <c r="AG2" s="481"/>
      <c r="AH2" s="481"/>
      <c r="AI2" s="481"/>
      <c r="AJ2" s="481"/>
      <c r="AK2" s="481"/>
      <c r="AN2" s="480"/>
      <c r="AO2" s="481"/>
      <c r="AP2" s="481"/>
      <c r="AQ2" s="481"/>
      <c r="AR2" s="481"/>
      <c r="AS2" s="481"/>
      <c r="AT2" s="481"/>
      <c r="AU2" s="481"/>
      <c r="AV2" s="481"/>
      <c r="AW2" s="481"/>
      <c r="AX2" s="481"/>
      <c r="AY2" s="481"/>
      <c r="AZ2" s="481"/>
      <c r="BA2" s="481"/>
      <c r="BB2" s="481"/>
      <c r="BC2" s="481"/>
      <c r="BD2" s="481"/>
      <c r="BE2" s="481"/>
      <c r="BF2" s="481"/>
      <c r="BG2" s="481"/>
      <c r="BH2" s="481"/>
      <c r="BI2" s="481"/>
      <c r="BJ2" s="481"/>
      <c r="BK2" s="481"/>
      <c r="BM2" s="480"/>
      <c r="BN2" s="481"/>
      <c r="BO2" s="481"/>
      <c r="BP2" s="481"/>
      <c r="BQ2" s="481"/>
      <c r="BR2" s="481"/>
      <c r="BS2" s="481"/>
      <c r="BT2" s="481"/>
      <c r="BU2" s="481"/>
      <c r="BV2" s="481"/>
      <c r="BW2" s="481"/>
      <c r="BX2" s="481"/>
      <c r="BY2" s="481"/>
      <c r="BZ2" s="481"/>
      <c r="CA2" s="481"/>
      <c r="CB2" s="481"/>
      <c r="CC2" s="481"/>
      <c r="CD2" s="481"/>
      <c r="CF2" s="485"/>
      <c r="CG2" s="485"/>
      <c r="CH2" s="485"/>
      <c r="CI2" s="485"/>
      <c r="CJ2" s="485"/>
      <c r="CK2" s="485"/>
      <c r="CL2" s="485"/>
      <c r="CM2" s="485"/>
      <c r="CN2" s="485"/>
      <c r="CO2" s="485"/>
      <c r="CP2" s="485"/>
      <c r="CQ2" s="485"/>
      <c r="CR2" s="485"/>
      <c r="CS2" s="485"/>
      <c r="CT2" s="485"/>
      <c r="CU2" s="485"/>
      <c r="CV2" s="485"/>
      <c r="CW2" s="485"/>
      <c r="CX2" s="485"/>
      <c r="CY2" s="485"/>
      <c r="CZ2" s="485"/>
      <c r="DA2" s="485"/>
      <c r="DB2" s="485"/>
      <c r="DC2" s="485"/>
      <c r="DD2" s="485"/>
      <c r="DE2" s="485"/>
      <c r="DF2" s="485"/>
      <c r="DG2" s="485"/>
      <c r="DH2" s="485"/>
      <c r="DI2" s="485"/>
      <c r="DJ2" s="485"/>
      <c r="DK2" s="485"/>
      <c r="DL2" s="485"/>
      <c r="DM2" s="485"/>
      <c r="DN2" s="485"/>
      <c r="DO2" s="485"/>
      <c r="DP2" s="485"/>
      <c r="DQ2" s="485"/>
      <c r="DR2" s="485"/>
      <c r="DS2" s="485"/>
      <c r="DT2" s="485"/>
      <c r="DU2" s="485"/>
      <c r="DV2" s="485"/>
      <c r="DW2" s="485"/>
      <c r="DX2" s="485"/>
      <c r="DY2" s="485"/>
      <c r="DZ2" s="485"/>
      <c r="EA2" s="485"/>
      <c r="EB2" s="485"/>
      <c r="EC2" s="485"/>
      <c r="ED2" s="485"/>
      <c r="EE2" s="485"/>
      <c r="EF2" s="485"/>
      <c r="EG2" s="485"/>
      <c r="EH2" s="485"/>
      <c r="EI2" s="485"/>
      <c r="EJ2" s="485"/>
      <c r="EK2" s="485"/>
      <c r="EL2" s="485"/>
      <c r="EM2" s="485"/>
      <c r="EN2" s="485"/>
      <c r="EO2" s="485"/>
      <c r="EP2" s="485"/>
      <c r="EQ2" s="485"/>
      <c r="ER2" s="485"/>
      <c r="ES2" s="485"/>
      <c r="ET2" s="485"/>
      <c r="EU2" s="485"/>
      <c r="EV2" s="485"/>
      <c r="EW2" s="485"/>
      <c r="EX2" s="485"/>
      <c r="EY2" s="485"/>
      <c r="EZ2" s="485"/>
      <c r="FA2" s="485"/>
      <c r="FB2" s="485"/>
      <c r="FC2" s="485"/>
      <c r="FD2" s="485"/>
      <c r="FE2" s="485"/>
      <c r="FF2" s="485"/>
      <c r="FG2" s="485"/>
      <c r="FH2" s="485"/>
      <c r="FI2" s="485"/>
      <c r="FJ2" s="485"/>
      <c r="FK2" s="485"/>
      <c r="FL2" s="485"/>
      <c r="FM2" s="485"/>
      <c r="FN2" s="485"/>
      <c r="FO2" s="485"/>
      <c r="FP2" s="485"/>
      <c r="FQ2" s="485"/>
      <c r="FR2" s="485"/>
      <c r="FS2" s="485"/>
      <c r="FT2" s="485"/>
      <c r="FU2" s="485"/>
      <c r="FV2" s="485"/>
      <c r="FW2" s="485"/>
      <c r="FX2" s="485"/>
      <c r="FY2" s="485"/>
      <c r="FZ2" s="485"/>
      <c r="GA2" s="485"/>
      <c r="GB2" s="485"/>
      <c r="GC2" s="485"/>
      <c r="GD2" s="485"/>
      <c r="GE2" s="485"/>
      <c r="GF2" s="485"/>
      <c r="GG2" s="485"/>
      <c r="GH2" s="485"/>
      <c r="GI2" s="485"/>
      <c r="GJ2" s="485"/>
      <c r="GK2" s="485"/>
      <c r="GL2" s="485"/>
      <c r="GM2" s="485"/>
      <c r="GN2" s="485"/>
      <c r="GO2" s="485"/>
      <c r="GQ2" s="500"/>
      <c r="GR2" s="500"/>
      <c r="GS2" s="500"/>
      <c r="GT2" s="500"/>
      <c r="GU2" s="500"/>
      <c r="GV2" s="500"/>
      <c r="GW2" s="500"/>
      <c r="GX2" s="500"/>
      <c r="GY2" s="500"/>
      <c r="GZ2" s="500"/>
      <c r="HA2" s="500"/>
      <c r="HB2" s="500"/>
      <c r="HC2" s="500"/>
      <c r="HD2" s="500"/>
      <c r="HE2" s="500"/>
      <c r="HF2" s="500"/>
      <c r="HG2" s="500"/>
      <c r="HH2" s="500"/>
      <c r="HI2" s="500"/>
      <c r="HJ2" s="500"/>
      <c r="HK2" s="500"/>
      <c r="HL2" s="500"/>
      <c r="HM2" s="500"/>
      <c r="HN2" s="500"/>
      <c r="HO2" s="500"/>
      <c r="HP2" s="500"/>
      <c r="HQ2" s="500"/>
      <c r="HR2" s="500"/>
      <c r="HS2" s="500"/>
      <c r="HT2" s="500"/>
      <c r="HU2" s="500"/>
      <c r="HV2" s="500"/>
      <c r="HW2" s="500"/>
      <c r="HX2" s="500"/>
      <c r="HY2" s="500"/>
      <c r="HZ2" s="500"/>
      <c r="IA2" s="500"/>
      <c r="IB2" s="500"/>
      <c r="IC2" s="500"/>
      <c r="ID2" s="500"/>
      <c r="IE2" s="500"/>
      <c r="IF2" s="500"/>
      <c r="IG2" s="500"/>
      <c r="IH2" s="500"/>
      <c r="II2" s="500"/>
      <c r="IJ2" s="500"/>
      <c r="IK2" s="500"/>
      <c r="IL2" s="500"/>
      <c r="IM2" s="500"/>
      <c r="IN2" s="500"/>
      <c r="IO2" s="500"/>
      <c r="IP2" s="500"/>
      <c r="IQ2" s="500"/>
      <c r="IR2" s="500"/>
      <c r="IS2" s="500"/>
      <c r="IT2" s="500"/>
      <c r="IU2" s="500"/>
      <c r="IV2" s="500"/>
      <c r="IW2" s="500"/>
      <c r="IX2" s="500"/>
      <c r="IY2" s="500"/>
      <c r="IZ2" s="500"/>
      <c r="JA2" s="500"/>
      <c r="JB2" s="500"/>
      <c r="JC2" s="500"/>
      <c r="JD2" s="500"/>
      <c r="JE2" s="500"/>
      <c r="JF2" s="500"/>
      <c r="JG2" s="500"/>
      <c r="JH2" s="500"/>
      <c r="JI2" s="500"/>
      <c r="JJ2" s="500"/>
      <c r="JK2" s="500"/>
      <c r="JL2" s="500"/>
      <c r="JM2" s="500"/>
      <c r="JN2" s="500"/>
      <c r="JO2" s="500"/>
      <c r="JP2" s="500"/>
      <c r="JQ2" s="500"/>
      <c r="JR2" s="500"/>
      <c r="JS2" s="500"/>
      <c r="JT2" s="500"/>
      <c r="JU2" s="500"/>
      <c r="JV2" s="500"/>
      <c r="JW2" s="500"/>
      <c r="JX2" s="500"/>
      <c r="JY2" s="500"/>
      <c r="JZ2" s="500"/>
      <c r="KA2" s="500"/>
      <c r="KB2" s="500"/>
      <c r="KC2" s="500"/>
      <c r="KD2" s="500"/>
      <c r="KE2" s="500"/>
      <c r="KF2" s="500"/>
      <c r="KG2" s="500"/>
      <c r="KH2" s="500"/>
      <c r="KI2" s="500"/>
      <c r="KJ2" s="500"/>
      <c r="KK2" s="500"/>
      <c r="KL2" s="500"/>
      <c r="KM2" s="500"/>
      <c r="KN2" s="500"/>
      <c r="KO2" s="500"/>
      <c r="KP2" s="500"/>
      <c r="KQ2" s="500"/>
      <c r="KR2" s="500"/>
      <c r="KS2" s="500"/>
      <c r="KT2" s="500"/>
      <c r="KU2" s="500"/>
      <c r="KV2" s="500"/>
      <c r="KW2" s="500"/>
      <c r="KX2" s="500"/>
      <c r="KY2" s="500"/>
      <c r="KZ2" s="500"/>
      <c r="LB2" s="486"/>
      <c r="LC2" s="486"/>
      <c r="LD2" s="486"/>
      <c r="LE2" s="486"/>
      <c r="LF2" s="486"/>
      <c r="LG2" s="486"/>
      <c r="LH2" s="486"/>
      <c r="LI2" s="486"/>
      <c r="LJ2" s="486"/>
      <c r="LK2" s="486"/>
      <c r="LL2" s="486"/>
      <c r="LM2" s="486"/>
      <c r="LN2" s="486"/>
      <c r="LO2" s="486"/>
      <c r="LP2" s="486"/>
      <c r="LQ2" s="486"/>
      <c r="LR2" s="486"/>
      <c r="LS2" s="486"/>
      <c r="LT2" s="486"/>
      <c r="LU2" s="486"/>
      <c r="LV2" s="486"/>
      <c r="LW2" s="486"/>
      <c r="LX2" s="486"/>
      <c r="LY2" s="486"/>
      <c r="LZ2" s="486"/>
      <c r="MA2" s="486"/>
      <c r="MB2" s="486"/>
      <c r="MC2" s="486"/>
      <c r="MD2" s="486"/>
      <c r="ME2" s="486"/>
      <c r="MF2" s="486"/>
      <c r="MG2" s="486"/>
      <c r="MH2" s="486"/>
      <c r="MI2" s="486"/>
      <c r="MJ2" s="486"/>
      <c r="MK2" s="486"/>
      <c r="ML2" s="486"/>
      <c r="MM2" s="486"/>
      <c r="MN2" s="486"/>
      <c r="MO2" s="486"/>
      <c r="MP2" s="486"/>
      <c r="MQ2" s="486"/>
      <c r="MR2" s="486"/>
      <c r="MS2" s="486"/>
      <c r="MT2" s="486"/>
      <c r="MU2" s="486"/>
      <c r="MV2" s="486"/>
      <c r="MW2" s="486"/>
      <c r="MX2" s="486"/>
      <c r="MY2" s="486"/>
      <c r="MZ2" s="486"/>
      <c r="NA2" s="486"/>
      <c r="NB2" s="486"/>
      <c r="NC2" s="486"/>
      <c r="ND2" s="486"/>
      <c r="NE2" s="486"/>
      <c r="NF2" s="486"/>
      <c r="NG2" s="486"/>
      <c r="NH2" s="486"/>
      <c r="NI2"/>
      <c r="NJ2" s="486"/>
      <c r="NK2" s="486"/>
      <c r="NL2" s="486"/>
      <c r="NM2" s="486"/>
      <c r="NN2" s="486"/>
      <c r="NO2" s="486"/>
      <c r="NP2" s="486"/>
      <c r="NQ2" s="486"/>
      <c r="NR2" s="486"/>
      <c r="NS2" s="486"/>
      <c r="NT2" s="486"/>
      <c r="NU2" s="486"/>
      <c r="NV2" s="486"/>
      <c r="NW2" s="486"/>
      <c r="NX2" s="486"/>
      <c r="NY2" s="486"/>
      <c r="NZ2" s="486"/>
      <c r="OA2" s="486"/>
      <c r="OB2" s="486"/>
      <c r="OC2" s="486"/>
      <c r="OD2" s="486"/>
      <c r="OE2" s="486"/>
      <c r="OF2" s="486"/>
      <c r="OG2" s="486"/>
      <c r="OH2" s="486"/>
      <c r="OI2" s="486"/>
      <c r="OJ2" s="486"/>
      <c r="OK2" s="486"/>
      <c r="OL2" s="486"/>
      <c r="OM2" s="486"/>
      <c r="ON2" s="486"/>
      <c r="OO2" s="486"/>
      <c r="OP2" s="486"/>
      <c r="OQ2" s="486"/>
      <c r="OR2" s="486"/>
      <c r="OS2" s="486"/>
      <c r="OT2" s="486"/>
      <c r="OU2" s="486"/>
      <c r="OV2" s="486"/>
      <c r="OW2" s="486"/>
      <c r="OX2" s="486"/>
      <c r="OY2" s="486"/>
      <c r="OZ2" s="486"/>
      <c r="PA2" s="486"/>
      <c r="PB2" s="486"/>
      <c r="PC2" s="486"/>
      <c r="PD2" s="486"/>
      <c r="PE2" s="486"/>
      <c r="PF2" s="486"/>
      <c r="PG2" s="486"/>
      <c r="PH2" s="486"/>
      <c r="PI2" s="486"/>
      <c r="PK2" s="508"/>
      <c r="PL2" s="508"/>
      <c r="PM2" s="508"/>
      <c r="PN2" s="508"/>
      <c r="PO2" s="508"/>
      <c r="PP2" s="508"/>
      <c r="PQ2" s="508"/>
      <c r="PR2" s="508"/>
      <c r="PS2" s="508"/>
      <c r="PT2" s="508"/>
      <c r="PU2" s="508"/>
      <c r="PV2" s="508"/>
      <c r="PW2" s="508"/>
      <c r="PX2" s="508"/>
      <c r="PY2" s="508"/>
      <c r="PZ2" s="508"/>
      <c r="QA2" s="508"/>
      <c r="QB2" s="508"/>
      <c r="QC2" s="508"/>
      <c r="QD2" s="508"/>
      <c r="QE2" s="508"/>
      <c r="QF2" s="508"/>
      <c r="QG2" s="508"/>
      <c r="QH2" s="508"/>
      <c r="QI2" s="508"/>
      <c r="QJ2" s="508"/>
      <c r="QK2" s="508"/>
      <c r="QL2" s="508"/>
      <c r="QM2" s="508"/>
      <c r="QN2" s="508"/>
      <c r="QO2" s="508"/>
      <c r="QP2" s="508"/>
      <c r="QQ2" s="508"/>
      <c r="QR2" s="508"/>
      <c r="QS2" s="508"/>
      <c r="QT2" s="508"/>
      <c r="QU2" s="508"/>
      <c r="QV2" s="508"/>
      <c r="QW2" s="508"/>
      <c r="QX2" s="508"/>
      <c r="QY2" s="508"/>
      <c r="QZ2" s="508"/>
      <c r="RA2" s="508"/>
      <c r="RB2" s="508"/>
      <c r="RC2" s="508"/>
      <c r="RD2"/>
      <c r="RE2" s="505"/>
      <c r="RF2" s="505"/>
      <c r="RG2" s="505"/>
      <c r="RH2" s="505"/>
      <c r="RI2" s="505"/>
      <c r="RJ2" s="505"/>
      <c r="RK2" s="505"/>
      <c r="RL2" s="505"/>
      <c r="RM2" s="505"/>
      <c r="RN2" s="505"/>
      <c r="RO2" s="505"/>
      <c r="RP2" s="505"/>
      <c r="RQ2" s="505"/>
      <c r="RR2" s="505"/>
      <c r="RS2" s="505"/>
      <c r="RT2" s="505"/>
      <c r="RU2" s="505"/>
      <c r="RV2" s="505"/>
      <c r="RW2" s="505"/>
      <c r="RX2" s="505"/>
      <c r="RZ2" s="507"/>
      <c r="SA2" s="507"/>
      <c r="SB2" s="507"/>
      <c r="SC2" s="507"/>
      <c r="SD2" s="507"/>
      <c r="SE2" s="507"/>
      <c r="SF2" s="507"/>
      <c r="SG2" s="507"/>
      <c r="SH2" s="507"/>
      <c r="SI2" s="507"/>
      <c r="SJ2" s="507"/>
      <c r="SK2" s="507"/>
      <c r="SL2" s="507"/>
      <c r="SM2" s="507"/>
      <c r="SN2" s="507"/>
      <c r="SO2" s="507"/>
      <c r="SP2" s="507"/>
      <c r="SQ2" s="507"/>
      <c r="SR2" s="507"/>
      <c r="ST2" s="502"/>
      <c r="SU2" s="502"/>
      <c r="SV2" s="502"/>
      <c r="SW2" s="502"/>
      <c r="SX2" s="502"/>
      <c r="SY2" s="502"/>
      <c r="SZ2" s="502"/>
      <c r="TA2" s="502"/>
      <c r="TB2" s="502"/>
      <c r="TC2" s="502"/>
      <c r="TD2" s="502"/>
      <c r="TE2" s="502"/>
      <c r="TF2" s="502"/>
      <c r="TG2" s="502"/>
      <c r="TH2" s="502"/>
      <c r="TI2" s="502"/>
      <c r="TK2" s="503"/>
      <c r="TL2" s="503"/>
      <c r="TM2" s="503"/>
      <c r="TN2" s="503"/>
      <c r="TO2" s="503"/>
      <c r="TP2" s="503"/>
      <c r="TQ2" s="503"/>
      <c r="TR2" s="503"/>
      <c r="TS2" s="503"/>
      <c r="TT2" s="503"/>
      <c r="TU2" s="503"/>
      <c r="TV2" s="503"/>
      <c r="TW2" s="503"/>
      <c r="TX2" s="503"/>
      <c r="TY2" s="503"/>
      <c r="TZ2" s="503"/>
    </row>
    <row r="3" spans="1:559" ht="12" customHeight="1" x14ac:dyDescent="0.45">
      <c r="E3" s="489"/>
      <c r="F3" s="490"/>
      <c r="G3" s="490"/>
      <c r="H3" s="490"/>
      <c r="I3" s="490"/>
      <c r="J3" s="490"/>
      <c r="K3" s="490"/>
      <c r="L3" s="490"/>
      <c r="M3" s="493"/>
      <c r="N3" s="493"/>
      <c r="O3" s="493"/>
      <c r="P3" s="493"/>
      <c r="Q3" s="493"/>
      <c r="R3" s="493"/>
      <c r="S3" s="493"/>
      <c r="T3" s="494"/>
      <c r="V3" s="499"/>
      <c r="W3" s="499"/>
      <c r="X3" s="499"/>
      <c r="Y3" s="499"/>
      <c r="Z3" s="499"/>
      <c r="AA3" s="499"/>
      <c r="AB3" s="499"/>
      <c r="AC3" s="499"/>
      <c r="AE3" s="482" t="s">
        <v>413</v>
      </c>
      <c r="AF3" s="482"/>
      <c r="AG3" s="482" t="s">
        <v>412</v>
      </c>
      <c r="AH3" s="482"/>
      <c r="AI3" s="482"/>
      <c r="AJ3" s="429" t="s">
        <v>414</v>
      </c>
      <c r="AK3" s="429" t="s">
        <v>415</v>
      </c>
      <c r="AN3" s="482" t="s">
        <v>422</v>
      </c>
      <c r="AO3" s="482"/>
      <c r="AP3" s="482" t="s">
        <v>423</v>
      </c>
      <c r="AQ3" s="482"/>
      <c r="AR3" s="482" t="s">
        <v>424</v>
      </c>
      <c r="AS3" s="482"/>
      <c r="AT3" s="482"/>
      <c r="AU3" s="482"/>
      <c r="AV3" s="482" t="s">
        <v>421</v>
      </c>
      <c r="AW3" s="482"/>
      <c r="AX3" s="482"/>
      <c r="AY3" s="482"/>
      <c r="AZ3" s="482" t="s">
        <v>425</v>
      </c>
      <c r="BA3" s="482"/>
      <c r="BB3" s="482"/>
      <c r="BC3" s="484" t="s">
        <v>420</v>
      </c>
      <c r="BD3" s="484"/>
      <c r="BE3" s="484"/>
      <c r="BF3" s="435"/>
      <c r="BG3" s="435"/>
      <c r="BH3" s="435"/>
      <c r="BI3" s="435"/>
      <c r="BJ3" s="435"/>
      <c r="BK3" s="435"/>
      <c r="BM3" s="482" t="s">
        <v>138</v>
      </c>
      <c r="BN3" s="482"/>
      <c r="BO3" s="482"/>
      <c r="BP3" s="482"/>
      <c r="BQ3" s="482"/>
      <c r="BR3" s="482"/>
      <c r="BS3" s="482" t="s">
        <v>139</v>
      </c>
      <c r="BT3" s="482"/>
      <c r="BU3" s="482"/>
      <c r="BV3" s="482"/>
      <c r="BW3" s="482"/>
      <c r="BX3" s="482"/>
      <c r="BY3" s="482" t="s">
        <v>137</v>
      </c>
      <c r="BZ3" s="482"/>
      <c r="CA3" s="482"/>
      <c r="CB3" s="482"/>
      <c r="CC3" s="482"/>
      <c r="CD3" s="482"/>
      <c r="CF3" s="471" t="s">
        <v>419</v>
      </c>
      <c r="CG3" s="471"/>
      <c r="CH3" s="471"/>
      <c r="CI3" s="471"/>
      <c r="CJ3" s="471"/>
      <c r="CK3" s="434"/>
      <c r="CL3" s="471" t="s">
        <v>418</v>
      </c>
      <c r="CM3" s="471"/>
      <c r="CN3" s="471"/>
      <c r="CO3" s="471"/>
      <c r="CP3" s="471"/>
      <c r="CQ3" s="434"/>
      <c r="CR3" s="471" t="s">
        <v>421</v>
      </c>
      <c r="CS3" s="471"/>
      <c r="CT3" s="471"/>
      <c r="CU3" s="471"/>
      <c r="CV3" s="471"/>
      <c r="CW3" s="434"/>
      <c r="CX3" s="471" t="s">
        <v>421</v>
      </c>
      <c r="CY3" s="471"/>
      <c r="CZ3" s="471"/>
      <c r="DA3" s="471"/>
      <c r="DB3" s="471"/>
      <c r="DC3" s="434"/>
      <c r="DD3" s="471" t="s">
        <v>420</v>
      </c>
      <c r="DE3" s="471"/>
      <c r="DF3" s="471"/>
      <c r="DG3" s="471"/>
      <c r="DH3" s="471"/>
      <c r="DI3" s="434"/>
      <c r="DJ3" s="471" t="s">
        <v>420</v>
      </c>
      <c r="DK3" s="471"/>
      <c r="DL3" s="471"/>
      <c r="DM3" s="471"/>
      <c r="DN3" s="471"/>
      <c r="DO3" s="434"/>
      <c r="DP3" s="471" t="s">
        <v>28</v>
      </c>
      <c r="DQ3" s="471"/>
      <c r="DR3" s="471"/>
      <c r="DS3" s="471"/>
      <c r="DT3" s="434"/>
      <c r="DU3" s="471" t="s">
        <v>28</v>
      </c>
      <c r="DV3" s="471"/>
      <c r="DW3" s="471"/>
      <c r="DX3" s="471"/>
      <c r="DY3" s="434"/>
      <c r="DZ3" s="471" t="s">
        <v>28</v>
      </c>
      <c r="EA3" s="471"/>
      <c r="EB3" s="471"/>
      <c r="EC3" s="471"/>
      <c r="ED3" s="434"/>
      <c r="EE3" s="471" t="s">
        <v>28</v>
      </c>
      <c r="EF3" s="471"/>
      <c r="EG3" s="471"/>
      <c r="EH3" s="471"/>
      <c r="EI3" s="434"/>
      <c r="EJ3" s="471" t="s">
        <v>28</v>
      </c>
      <c r="EK3" s="471"/>
      <c r="EL3" s="471"/>
      <c r="EM3" s="471"/>
      <c r="EN3" s="434"/>
      <c r="EO3" s="471" t="s">
        <v>28</v>
      </c>
      <c r="EP3" s="471"/>
      <c r="EQ3" s="471"/>
      <c r="ER3" s="471"/>
      <c r="ES3" s="433"/>
      <c r="ET3" s="434"/>
      <c r="EU3" s="471" t="s">
        <v>28</v>
      </c>
      <c r="EV3" s="471"/>
      <c r="EW3" s="471"/>
      <c r="EX3" s="471"/>
      <c r="EY3" s="433"/>
      <c r="EZ3" s="434"/>
      <c r="FA3" s="471" t="s">
        <v>28</v>
      </c>
      <c r="FB3" s="471"/>
      <c r="FC3" s="471"/>
      <c r="FD3" s="471"/>
      <c r="FE3" s="471"/>
      <c r="FF3" s="434"/>
      <c r="FG3" s="471" t="s">
        <v>58</v>
      </c>
      <c r="FH3" s="471"/>
      <c r="FI3" s="471"/>
      <c r="FJ3" s="471"/>
      <c r="FK3" s="471"/>
      <c r="FL3" s="434"/>
      <c r="FM3" s="471" t="s">
        <v>58</v>
      </c>
      <c r="FN3" s="471"/>
      <c r="FO3" s="471"/>
      <c r="FP3" s="471"/>
      <c r="FQ3" s="471"/>
      <c r="FR3" s="434"/>
      <c r="FS3" s="471" t="s">
        <v>58</v>
      </c>
      <c r="FT3" s="471"/>
      <c r="FU3" s="471"/>
      <c r="FV3" s="471"/>
      <c r="FW3" s="471"/>
      <c r="FX3" s="434"/>
      <c r="FY3" s="471" t="s">
        <v>58</v>
      </c>
      <c r="FZ3" s="471"/>
      <c r="GA3" s="471"/>
      <c r="GB3" s="471"/>
      <c r="GC3" s="471"/>
      <c r="GD3" s="434"/>
      <c r="GE3" s="471" t="s">
        <v>58</v>
      </c>
      <c r="GF3" s="471"/>
      <c r="GG3" s="471"/>
      <c r="GH3" s="471"/>
      <c r="GI3" s="471"/>
      <c r="GJ3" s="434"/>
      <c r="GK3" s="471" t="s">
        <v>58</v>
      </c>
      <c r="GL3" s="471"/>
      <c r="GM3" s="471"/>
      <c r="GN3" s="471"/>
      <c r="GO3" s="471"/>
      <c r="GQ3" s="474" t="s">
        <v>419</v>
      </c>
      <c r="GR3" s="474"/>
      <c r="GS3" s="474"/>
      <c r="GT3" s="474"/>
      <c r="GU3" s="474"/>
      <c r="GV3" s="437"/>
      <c r="GW3" s="474" t="s">
        <v>418</v>
      </c>
      <c r="GX3" s="474"/>
      <c r="GY3" s="474"/>
      <c r="GZ3" s="474"/>
      <c r="HA3" s="474"/>
      <c r="HB3" s="437"/>
      <c r="HC3" s="474" t="s">
        <v>421</v>
      </c>
      <c r="HD3" s="474"/>
      <c r="HE3" s="474"/>
      <c r="HF3" s="474"/>
      <c r="HG3" s="474"/>
      <c r="HH3" s="437"/>
      <c r="HI3" s="474" t="s">
        <v>421</v>
      </c>
      <c r="HJ3" s="474"/>
      <c r="HK3" s="474"/>
      <c r="HL3" s="474"/>
      <c r="HM3" s="474"/>
      <c r="HN3" s="437"/>
      <c r="HO3" s="474" t="s">
        <v>420</v>
      </c>
      <c r="HP3" s="474"/>
      <c r="HQ3" s="474"/>
      <c r="HR3" s="474"/>
      <c r="HS3" s="474"/>
      <c r="HT3" s="437"/>
      <c r="HU3" s="474" t="s">
        <v>420</v>
      </c>
      <c r="HV3" s="474"/>
      <c r="HW3" s="474"/>
      <c r="HX3" s="474"/>
      <c r="HY3" s="474"/>
      <c r="HZ3" s="437"/>
      <c r="IA3" s="474" t="s">
        <v>28</v>
      </c>
      <c r="IB3" s="474"/>
      <c r="IC3" s="474"/>
      <c r="ID3" s="474"/>
      <c r="IE3" s="437"/>
      <c r="IF3" s="474" t="s">
        <v>28</v>
      </c>
      <c r="IG3" s="474"/>
      <c r="IH3" s="474"/>
      <c r="II3" s="474"/>
      <c r="IJ3" s="437"/>
      <c r="IK3" s="474" t="s">
        <v>28</v>
      </c>
      <c r="IL3" s="474"/>
      <c r="IM3" s="474"/>
      <c r="IN3" s="474"/>
      <c r="IO3" s="437"/>
      <c r="IP3" s="474" t="s">
        <v>28</v>
      </c>
      <c r="IQ3" s="474"/>
      <c r="IR3" s="474"/>
      <c r="IS3" s="474"/>
      <c r="IT3" s="437"/>
      <c r="IU3" s="474" t="s">
        <v>28</v>
      </c>
      <c r="IV3" s="474"/>
      <c r="IW3" s="474"/>
      <c r="IX3" s="474"/>
      <c r="IY3" s="437"/>
      <c r="IZ3" s="474" t="s">
        <v>28</v>
      </c>
      <c r="JA3" s="474"/>
      <c r="JB3" s="474"/>
      <c r="JC3" s="474"/>
      <c r="JD3" s="436"/>
      <c r="JE3" s="437"/>
      <c r="JF3" s="474" t="s">
        <v>28</v>
      </c>
      <c r="JG3" s="474"/>
      <c r="JH3" s="474"/>
      <c r="JI3" s="474"/>
      <c r="JJ3" s="436"/>
      <c r="JK3" s="437"/>
      <c r="JL3" s="474" t="s">
        <v>28</v>
      </c>
      <c r="JM3" s="474"/>
      <c r="JN3" s="474"/>
      <c r="JO3" s="474"/>
      <c r="JP3" s="474"/>
      <c r="JQ3" s="437"/>
      <c r="JR3" s="474" t="s">
        <v>58</v>
      </c>
      <c r="JS3" s="474"/>
      <c r="JT3" s="474"/>
      <c r="JU3" s="474"/>
      <c r="JV3" s="474"/>
      <c r="JW3" s="437"/>
      <c r="JX3" s="474" t="s">
        <v>58</v>
      </c>
      <c r="JY3" s="474"/>
      <c r="JZ3" s="474"/>
      <c r="KA3" s="474"/>
      <c r="KB3" s="474"/>
      <c r="KC3" s="437"/>
      <c r="KD3" s="474" t="s">
        <v>58</v>
      </c>
      <c r="KE3" s="474"/>
      <c r="KF3" s="474"/>
      <c r="KG3" s="474"/>
      <c r="KH3" s="474"/>
      <c r="KI3" s="437"/>
      <c r="KJ3" s="474" t="s">
        <v>58</v>
      </c>
      <c r="KK3" s="474"/>
      <c r="KL3" s="474"/>
      <c r="KM3" s="474"/>
      <c r="KN3" s="474"/>
      <c r="KO3" s="437"/>
      <c r="KP3" s="474" t="s">
        <v>58</v>
      </c>
      <c r="KQ3" s="474"/>
      <c r="KR3" s="474"/>
      <c r="KS3" s="474"/>
      <c r="KT3" s="474"/>
      <c r="KU3" s="437"/>
      <c r="KV3" s="474" t="s">
        <v>58</v>
      </c>
      <c r="KW3" s="474"/>
      <c r="KX3" s="474"/>
      <c r="KY3" s="474"/>
      <c r="KZ3" s="474"/>
      <c r="LB3" s="475" t="s">
        <v>419</v>
      </c>
      <c r="LC3" s="475"/>
      <c r="LD3" s="475"/>
      <c r="LE3" s="475"/>
      <c r="LF3" s="475"/>
      <c r="LG3" s="475"/>
      <c r="LH3" s="439"/>
      <c r="LI3" s="475" t="s">
        <v>418</v>
      </c>
      <c r="LJ3" s="475"/>
      <c r="LK3" s="475"/>
      <c r="LL3" s="475"/>
      <c r="LM3" s="475"/>
      <c r="LN3" s="475"/>
      <c r="LO3" s="438"/>
      <c r="LP3" s="475" t="s">
        <v>28</v>
      </c>
      <c r="LQ3" s="475"/>
      <c r="LR3" s="475"/>
      <c r="LS3" s="475"/>
      <c r="LT3" s="475"/>
      <c r="LU3" s="475"/>
      <c r="LV3" s="438"/>
      <c r="LW3" s="475" t="s">
        <v>28</v>
      </c>
      <c r="LX3" s="475"/>
      <c r="LY3" s="475"/>
      <c r="LZ3" s="475"/>
      <c r="MA3" s="475"/>
      <c r="MB3" s="438"/>
      <c r="MC3" s="475" t="s">
        <v>28</v>
      </c>
      <c r="MD3" s="475"/>
      <c r="ME3" s="475"/>
      <c r="MF3" s="475"/>
      <c r="MG3" s="475"/>
      <c r="MH3" s="438"/>
      <c r="MI3" s="475" t="s">
        <v>28</v>
      </c>
      <c r="MJ3" s="475"/>
      <c r="MK3" s="475"/>
      <c r="ML3" s="475"/>
      <c r="MM3" s="475"/>
      <c r="MN3" s="438"/>
      <c r="MO3" s="475" t="s">
        <v>28</v>
      </c>
      <c r="MP3" s="475"/>
      <c r="MQ3" s="475"/>
      <c r="MR3" s="475"/>
      <c r="MS3" s="475"/>
      <c r="MT3" s="475"/>
      <c r="MU3" s="438"/>
      <c r="MV3" s="475" t="s">
        <v>28</v>
      </c>
      <c r="MW3" s="475"/>
      <c r="MX3" s="475"/>
      <c r="MY3" s="475"/>
      <c r="MZ3" s="475"/>
      <c r="NA3" s="475"/>
      <c r="NB3" s="438"/>
      <c r="NC3" s="475" t="s">
        <v>28</v>
      </c>
      <c r="ND3" s="475"/>
      <c r="NE3" s="475"/>
      <c r="NF3" s="475"/>
      <c r="NG3" s="475"/>
      <c r="NH3" s="475"/>
      <c r="NI3"/>
      <c r="NJ3" s="486"/>
      <c r="NK3" s="486"/>
      <c r="NL3" s="486"/>
      <c r="NM3" s="486"/>
      <c r="NN3" s="486"/>
      <c r="NO3" s="486"/>
      <c r="NP3" s="486"/>
      <c r="NQ3" s="486"/>
      <c r="NR3" s="486"/>
      <c r="NS3" s="486"/>
      <c r="NT3" s="486"/>
      <c r="NU3" s="486"/>
      <c r="NV3" s="486"/>
      <c r="NW3" s="486"/>
      <c r="NX3" s="486"/>
      <c r="NY3" s="486"/>
      <c r="NZ3" s="486"/>
      <c r="OA3" s="486"/>
      <c r="OB3" s="486"/>
      <c r="OC3" s="486"/>
      <c r="OD3" s="486"/>
      <c r="OE3" s="486"/>
      <c r="OF3" s="486"/>
      <c r="OG3" s="486"/>
      <c r="OH3" s="486"/>
      <c r="OI3" s="486"/>
      <c r="OJ3" s="486"/>
      <c r="OK3" s="486"/>
      <c r="OL3" s="486"/>
      <c r="OM3" s="486"/>
      <c r="ON3" s="486"/>
      <c r="OO3" s="486"/>
      <c r="OP3" s="486"/>
      <c r="OQ3" s="486"/>
      <c r="OR3" s="486"/>
      <c r="OS3" s="486"/>
      <c r="OT3" s="486"/>
      <c r="OU3" s="486"/>
      <c r="OV3" s="486"/>
      <c r="OW3" s="486"/>
      <c r="OX3" s="486"/>
      <c r="OY3" s="486"/>
      <c r="OZ3" s="486"/>
      <c r="PA3" s="486"/>
      <c r="PB3" s="486"/>
      <c r="PC3" s="486"/>
      <c r="PD3" s="486"/>
      <c r="PE3" s="486"/>
      <c r="PF3" s="486"/>
      <c r="PG3" s="486"/>
      <c r="PH3" s="486"/>
      <c r="PI3" s="486"/>
      <c r="PK3" s="479" t="s">
        <v>419</v>
      </c>
      <c r="PL3" s="479"/>
      <c r="PM3" s="479"/>
      <c r="PN3" s="479"/>
      <c r="PO3" s="479"/>
      <c r="PP3" s="479"/>
      <c r="PQ3" s="441"/>
      <c r="PR3" s="479" t="s">
        <v>418</v>
      </c>
      <c r="PS3" s="479"/>
      <c r="PT3" s="479"/>
      <c r="PU3" s="479"/>
      <c r="PV3" s="479"/>
      <c r="PW3" s="479"/>
      <c r="PX3" s="440"/>
      <c r="PY3" s="479" t="s">
        <v>28</v>
      </c>
      <c r="PZ3" s="479"/>
      <c r="QA3" s="479"/>
      <c r="QB3" s="479"/>
      <c r="QC3" s="479"/>
      <c r="QD3" s="479"/>
      <c r="QF3" s="479" t="s">
        <v>28</v>
      </c>
      <c r="QG3" s="479"/>
      <c r="QH3" s="479"/>
      <c r="QI3" s="479"/>
      <c r="QJ3" s="479"/>
      <c r="QK3" s="440"/>
      <c r="QL3" s="479" t="s">
        <v>28</v>
      </c>
      <c r="QM3" s="479"/>
      <c r="QN3" s="479"/>
      <c r="QO3" s="479"/>
      <c r="QP3" s="479"/>
      <c r="QQ3" s="440"/>
      <c r="QR3" s="479" t="s">
        <v>28</v>
      </c>
      <c r="QS3" s="479"/>
      <c r="QT3" s="479"/>
      <c r="QU3" s="479"/>
      <c r="QV3" s="479"/>
      <c r="QW3" s="440"/>
      <c r="QX3" s="479" t="s">
        <v>28</v>
      </c>
      <c r="QY3" s="479"/>
      <c r="QZ3" s="479"/>
      <c r="RA3" s="479"/>
      <c r="RB3" s="479"/>
      <c r="RC3" s="479"/>
      <c r="RD3"/>
      <c r="RE3" s="505"/>
      <c r="RF3" s="505"/>
      <c r="RG3" s="505"/>
      <c r="RH3" s="505"/>
      <c r="RI3" s="505"/>
      <c r="RJ3" s="505"/>
      <c r="RK3" s="505"/>
      <c r="RL3" s="505"/>
      <c r="RM3" s="505"/>
      <c r="RN3" s="505"/>
      <c r="RO3" s="505"/>
      <c r="RP3" s="505"/>
      <c r="RQ3" s="505"/>
      <c r="RR3" s="505"/>
      <c r="RS3" s="505"/>
      <c r="RT3" s="505"/>
      <c r="RU3" s="505"/>
      <c r="RV3" s="505"/>
      <c r="RW3" s="505"/>
      <c r="RX3" s="505"/>
      <c r="RZ3" s="507"/>
      <c r="SA3" s="507"/>
      <c r="SB3" s="507"/>
      <c r="SC3" s="507"/>
      <c r="SD3" s="507"/>
      <c r="SE3" s="507"/>
      <c r="SF3" s="507"/>
      <c r="SG3" s="507"/>
      <c r="SH3" s="507"/>
      <c r="SI3" s="507"/>
      <c r="SJ3" s="507"/>
      <c r="SK3" s="507"/>
      <c r="SL3" s="507"/>
      <c r="SM3" s="507"/>
      <c r="SN3" s="507"/>
      <c r="SO3" s="507"/>
      <c r="SP3" s="507"/>
      <c r="SQ3" s="507"/>
      <c r="SR3" s="507"/>
      <c r="ST3" s="502"/>
      <c r="SU3" s="502"/>
      <c r="SV3" s="502"/>
      <c r="SW3" s="502"/>
      <c r="SX3" s="502"/>
      <c r="SY3" s="502"/>
      <c r="SZ3" s="502"/>
      <c r="TA3" s="502"/>
      <c r="TB3" s="502"/>
      <c r="TC3" s="502"/>
      <c r="TD3" s="502"/>
      <c r="TE3" s="502"/>
      <c r="TF3" s="502"/>
      <c r="TG3" s="502"/>
      <c r="TH3" s="502"/>
      <c r="TI3" s="502"/>
      <c r="TK3" s="503"/>
      <c r="TL3" s="503"/>
      <c r="TM3" s="503"/>
      <c r="TN3" s="503"/>
      <c r="TO3" s="503"/>
      <c r="TP3" s="503"/>
      <c r="TQ3" s="503"/>
      <c r="TR3" s="503"/>
      <c r="TS3" s="503"/>
      <c r="TT3" s="503"/>
      <c r="TU3" s="503"/>
      <c r="TV3" s="503"/>
      <c r="TW3" s="503"/>
      <c r="TX3" s="503"/>
      <c r="TY3" s="503"/>
      <c r="TZ3" s="503"/>
    </row>
    <row r="4" spans="1:559" ht="229.2" x14ac:dyDescent="0.3">
      <c r="C4" s="292"/>
      <c r="E4" s="430" t="s">
        <v>156</v>
      </c>
      <c r="F4" s="431" t="s">
        <v>157</v>
      </c>
      <c r="G4" s="432" t="s">
        <v>158</v>
      </c>
      <c r="H4" s="448" t="s">
        <v>159</v>
      </c>
      <c r="I4" s="449" t="s">
        <v>16</v>
      </c>
      <c r="J4" s="450" t="s">
        <v>17</v>
      </c>
      <c r="K4" s="451" t="s">
        <v>21</v>
      </c>
      <c r="L4" s="455" t="s">
        <v>18</v>
      </c>
      <c r="M4" s="456" t="s">
        <v>156</v>
      </c>
      <c r="N4" s="431" t="s">
        <v>157</v>
      </c>
      <c r="O4" s="432" t="s">
        <v>158</v>
      </c>
      <c r="P4" s="448" t="s">
        <v>159</v>
      </c>
      <c r="Q4" s="449" t="s">
        <v>16</v>
      </c>
      <c r="R4" s="450" t="s">
        <v>17</v>
      </c>
      <c r="S4" s="451" t="s">
        <v>21</v>
      </c>
      <c r="T4" s="452" t="s">
        <v>18</v>
      </c>
      <c r="V4" s="430" t="s">
        <v>156</v>
      </c>
      <c r="W4" s="431" t="s">
        <v>157</v>
      </c>
      <c r="X4" s="432" t="s">
        <v>158</v>
      </c>
      <c r="Y4" s="448" t="s">
        <v>159</v>
      </c>
      <c r="Z4" s="449" t="s">
        <v>16</v>
      </c>
      <c r="AA4" s="450" t="s">
        <v>17</v>
      </c>
      <c r="AB4" s="451" t="s">
        <v>21</v>
      </c>
      <c r="AC4" s="452" t="s">
        <v>18</v>
      </c>
      <c r="AD4" s="447"/>
      <c r="AE4" s="430" t="s">
        <v>164</v>
      </c>
      <c r="AF4" s="431" t="s">
        <v>166</v>
      </c>
      <c r="AG4" s="430" t="s">
        <v>163</v>
      </c>
      <c r="AH4" s="431" t="s">
        <v>165</v>
      </c>
      <c r="AI4" s="432" t="s">
        <v>26</v>
      </c>
      <c r="AJ4" s="432" t="s">
        <v>117</v>
      </c>
      <c r="AK4" s="432" t="s">
        <v>132</v>
      </c>
      <c r="AL4" s="447"/>
      <c r="AM4" s="447"/>
      <c r="AN4" s="430" t="s">
        <v>169</v>
      </c>
      <c r="AO4" s="431" t="s">
        <v>189</v>
      </c>
      <c r="AP4" s="430" t="s">
        <v>345</v>
      </c>
      <c r="AQ4" s="431" t="s">
        <v>157</v>
      </c>
      <c r="AR4" s="430" t="s">
        <v>435</v>
      </c>
      <c r="AS4" s="431" t="s">
        <v>437</v>
      </c>
      <c r="AT4" s="432" t="s">
        <v>440</v>
      </c>
      <c r="AU4" s="448" t="s">
        <v>442</v>
      </c>
      <c r="AV4" s="430" t="s">
        <v>170</v>
      </c>
      <c r="AW4" s="431" t="s">
        <v>175</v>
      </c>
      <c r="AX4" s="432" t="s">
        <v>183</v>
      </c>
      <c r="AY4" s="448" t="s">
        <v>188</v>
      </c>
      <c r="AZ4" s="430" t="s">
        <v>171</v>
      </c>
      <c r="BA4" s="431" t="s">
        <v>176</v>
      </c>
      <c r="BB4" s="432" t="s">
        <v>181</v>
      </c>
      <c r="BC4" s="430" t="s">
        <v>436</v>
      </c>
      <c r="BD4" s="431" t="s">
        <v>438</v>
      </c>
      <c r="BE4" s="432" t="s">
        <v>441</v>
      </c>
      <c r="BF4" s="432" t="s">
        <v>180</v>
      </c>
      <c r="BG4" s="448" t="s">
        <v>186</v>
      </c>
      <c r="BH4" s="449" t="s">
        <v>29</v>
      </c>
      <c r="BI4" s="450" t="s">
        <v>30</v>
      </c>
      <c r="BJ4" s="451" t="s">
        <v>32</v>
      </c>
      <c r="BK4" s="452" t="s">
        <v>31</v>
      </c>
      <c r="BL4" s="447"/>
      <c r="BM4" s="430" t="s">
        <v>197</v>
      </c>
      <c r="BN4" s="430" t="s">
        <v>198</v>
      </c>
      <c r="BO4" s="430" t="s">
        <v>199</v>
      </c>
      <c r="BP4" s="430" t="s">
        <v>200</v>
      </c>
      <c r="BQ4" s="430" t="s">
        <v>201</v>
      </c>
      <c r="BR4" s="430" t="s">
        <v>202</v>
      </c>
      <c r="BS4" s="431" t="s">
        <v>203</v>
      </c>
      <c r="BT4" s="431" t="s">
        <v>204</v>
      </c>
      <c r="BU4" s="431" t="s">
        <v>205</v>
      </c>
      <c r="BV4" s="431" t="s">
        <v>206</v>
      </c>
      <c r="BW4" s="431" t="s">
        <v>207</v>
      </c>
      <c r="BX4" s="431" t="s">
        <v>208</v>
      </c>
      <c r="BY4" s="432" t="s">
        <v>146</v>
      </c>
      <c r="BZ4" s="432" t="s">
        <v>147</v>
      </c>
      <c r="CA4" s="432" t="s">
        <v>148</v>
      </c>
      <c r="CB4" s="432" t="s">
        <v>149</v>
      </c>
      <c r="CC4" s="432" t="s">
        <v>150</v>
      </c>
      <c r="CD4" s="432" t="s">
        <v>151</v>
      </c>
      <c r="CF4" s="470" t="s">
        <v>455</v>
      </c>
      <c r="CG4" s="470"/>
      <c r="CH4" s="470"/>
      <c r="CI4" s="470"/>
      <c r="CJ4" s="470"/>
      <c r="CK4" t="s">
        <v>411</v>
      </c>
      <c r="CL4" s="470" t="s">
        <v>456</v>
      </c>
      <c r="CM4" s="470"/>
      <c r="CN4" s="470"/>
      <c r="CO4" s="470"/>
      <c r="CP4" s="470"/>
      <c r="CQ4" t="s">
        <v>411</v>
      </c>
      <c r="CR4" s="470" t="s">
        <v>416</v>
      </c>
      <c r="CS4" s="470"/>
      <c r="CT4" s="470"/>
      <c r="CU4" s="470"/>
      <c r="CV4" s="470"/>
      <c r="CW4" t="s">
        <v>411</v>
      </c>
      <c r="CX4" s="470" t="s">
        <v>417</v>
      </c>
      <c r="CY4" s="470"/>
      <c r="CZ4" s="470"/>
      <c r="DA4" s="470"/>
      <c r="DB4" s="470"/>
      <c r="DC4" t="s">
        <v>411</v>
      </c>
      <c r="DD4" s="470" t="s">
        <v>416</v>
      </c>
      <c r="DE4" s="470"/>
      <c r="DF4" s="470"/>
      <c r="DG4" s="470"/>
      <c r="DH4" s="470"/>
      <c r="DI4" t="s">
        <v>411</v>
      </c>
      <c r="DJ4" s="470" t="s">
        <v>417</v>
      </c>
      <c r="DK4" s="470"/>
      <c r="DL4" s="470"/>
      <c r="DM4" s="470"/>
      <c r="DN4" s="470"/>
      <c r="DO4" t="s">
        <v>411</v>
      </c>
      <c r="DP4" s="470" t="s">
        <v>422</v>
      </c>
      <c r="DQ4" s="470"/>
      <c r="DR4" s="470"/>
      <c r="DS4" s="470"/>
      <c r="DT4" t="s">
        <v>411</v>
      </c>
      <c r="DU4" s="470" t="s">
        <v>348</v>
      </c>
      <c r="DV4" s="470"/>
      <c r="DW4" s="470"/>
      <c r="DX4" s="470"/>
      <c r="DY4" t="s">
        <v>411</v>
      </c>
      <c r="DZ4" s="470" t="s">
        <v>431</v>
      </c>
      <c r="EA4" s="470"/>
      <c r="EB4" s="470"/>
      <c r="EC4" s="470"/>
      <c r="ED4" t="s">
        <v>411</v>
      </c>
      <c r="EE4" s="470" t="s">
        <v>432</v>
      </c>
      <c r="EF4" s="470"/>
      <c r="EG4" s="470"/>
      <c r="EH4" s="470"/>
      <c r="EI4" t="s">
        <v>411</v>
      </c>
      <c r="EJ4" s="470" t="s">
        <v>433</v>
      </c>
      <c r="EK4" s="470"/>
      <c r="EL4" s="470"/>
      <c r="EM4" s="470"/>
      <c r="EN4" t="s">
        <v>411</v>
      </c>
      <c r="EO4" s="470" t="s">
        <v>421</v>
      </c>
      <c r="EP4" s="470"/>
      <c r="EQ4" s="470"/>
      <c r="ER4" s="470"/>
      <c r="ES4" s="470"/>
      <c r="ET4" t="s">
        <v>411</v>
      </c>
      <c r="EU4" s="470" t="s">
        <v>425</v>
      </c>
      <c r="EV4" s="470"/>
      <c r="EW4" s="470"/>
      <c r="EX4" s="470"/>
      <c r="EY4" s="470"/>
      <c r="EZ4" t="s">
        <v>411</v>
      </c>
      <c r="FA4" s="470" t="s">
        <v>420</v>
      </c>
      <c r="FB4" s="470"/>
      <c r="FC4" s="470"/>
      <c r="FD4" s="470"/>
      <c r="FE4" s="470"/>
      <c r="FF4" t="s">
        <v>411</v>
      </c>
      <c r="FG4" s="470" t="s">
        <v>444</v>
      </c>
      <c r="FH4" s="470"/>
      <c r="FI4" s="470"/>
      <c r="FJ4" s="470"/>
      <c r="FK4" s="470"/>
      <c r="FL4" t="s">
        <v>411</v>
      </c>
      <c r="FM4" s="470" t="s">
        <v>446</v>
      </c>
      <c r="FN4" s="470"/>
      <c r="FO4" s="470"/>
      <c r="FP4" s="470"/>
      <c r="FQ4" s="470"/>
      <c r="FR4" t="s">
        <v>411</v>
      </c>
      <c r="FS4" s="470" t="s">
        <v>445</v>
      </c>
      <c r="FT4" s="470"/>
      <c r="FU4" s="470"/>
      <c r="FV4" s="470"/>
      <c r="FW4" s="470"/>
      <c r="FX4" t="s">
        <v>411</v>
      </c>
      <c r="FY4" s="470" t="s">
        <v>449</v>
      </c>
      <c r="FZ4" s="470"/>
      <c r="GA4" s="470"/>
      <c r="GB4" s="470"/>
      <c r="GC4" s="470"/>
      <c r="GD4" t="s">
        <v>411</v>
      </c>
      <c r="GE4" s="470" t="s">
        <v>447</v>
      </c>
      <c r="GF4" s="470"/>
      <c r="GG4" s="470"/>
      <c r="GH4" s="470"/>
      <c r="GI4" s="470"/>
      <c r="GJ4" t="s">
        <v>411</v>
      </c>
      <c r="GK4" s="470" t="s">
        <v>448</v>
      </c>
      <c r="GL4" s="470"/>
      <c r="GM4" s="470"/>
      <c r="GN4" s="470"/>
      <c r="GO4" s="470"/>
      <c r="GP4" t="s">
        <v>411</v>
      </c>
      <c r="GQ4" s="473" t="s">
        <v>455</v>
      </c>
      <c r="GR4" s="473"/>
      <c r="GS4" s="473"/>
      <c r="GT4" s="473"/>
      <c r="GU4" s="473"/>
      <c r="GV4" t="s">
        <v>411</v>
      </c>
      <c r="GW4" s="473" t="s">
        <v>456</v>
      </c>
      <c r="GX4" s="473"/>
      <c r="GY4" s="473"/>
      <c r="GZ4" s="473"/>
      <c r="HA4" s="473"/>
      <c r="HB4" t="s">
        <v>411</v>
      </c>
      <c r="HC4" s="473" t="s">
        <v>416</v>
      </c>
      <c r="HD4" s="473"/>
      <c r="HE4" s="473"/>
      <c r="HF4" s="473"/>
      <c r="HG4" s="473"/>
      <c r="HH4" t="s">
        <v>411</v>
      </c>
      <c r="HI4" s="473" t="s">
        <v>417</v>
      </c>
      <c r="HJ4" s="473"/>
      <c r="HK4" s="473"/>
      <c r="HL4" s="473"/>
      <c r="HM4" s="473"/>
      <c r="HN4" t="s">
        <v>411</v>
      </c>
      <c r="HO4" s="473" t="s">
        <v>416</v>
      </c>
      <c r="HP4" s="473"/>
      <c r="HQ4" s="473"/>
      <c r="HR4" s="473"/>
      <c r="HS4" s="473"/>
      <c r="HT4" t="s">
        <v>411</v>
      </c>
      <c r="HU4" s="473" t="s">
        <v>417</v>
      </c>
      <c r="HV4" s="473"/>
      <c r="HW4" s="473"/>
      <c r="HX4" s="473"/>
      <c r="HY4" s="473"/>
      <c r="HZ4" t="s">
        <v>411</v>
      </c>
      <c r="IA4" s="473" t="s">
        <v>422</v>
      </c>
      <c r="IB4" s="473"/>
      <c r="IC4" s="473"/>
      <c r="ID4" s="473"/>
      <c r="IE4" t="s">
        <v>411</v>
      </c>
      <c r="IF4" s="473" t="s">
        <v>348</v>
      </c>
      <c r="IG4" s="473"/>
      <c r="IH4" s="473"/>
      <c r="II4" s="473"/>
      <c r="IJ4" t="s">
        <v>411</v>
      </c>
      <c r="IK4" s="473" t="s">
        <v>431</v>
      </c>
      <c r="IL4" s="473"/>
      <c r="IM4" s="473"/>
      <c r="IN4" s="473"/>
      <c r="IO4" t="s">
        <v>411</v>
      </c>
      <c r="IP4" s="473" t="s">
        <v>432</v>
      </c>
      <c r="IQ4" s="473"/>
      <c r="IR4" s="473"/>
      <c r="IS4" s="473"/>
      <c r="IT4" t="s">
        <v>411</v>
      </c>
      <c r="IU4" s="473" t="s">
        <v>433</v>
      </c>
      <c r="IV4" s="473"/>
      <c r="IW4" s="473"/>
      <c r="IX4" s="473"/>
      <c r="IY4" t="s">
        <v>411</v>
      </c>
      <c r="IZ4" s="473" t="s">
        <v>421</v>
      </c>
      <c r="JA4" s="473"/>
      <c r="JB4" s="473"/>
      <c r="JC4" s="473"/>
      <c r="JD4" s="473"/>
      <c r="JE4" t="s">
        <v>411</v>
      </c>
      <c r="JF4" s="473" t="s">
        <v>425</v>
      </c>
      <c r="JG4" s="473"/>
      <c r="JH4" s="473"/>
      <c r="JI4" s="473"/>
      <c r="JJ4" s="473"/>
      <c r="JK4" t="s">
        <v>411</v>
      </c>
      <c r="JL4" s="473" t="s">
        <v>420</v>
      </c>
      <c r="JM4" s="473"/>
      <c r="JN4" s="473"/>
      <c r="JO4" s="473"/>
      <c r="JP4" s="473"/>
      <c r="JQ4" t="s">
        <v>411</v>
      </c>
      <c r="JR4" s="473" t="s">
        <v>444</v>
      </c>
      <c r="JS4" s="473"/>
      <c r="JT4" s="473"/>
      <c r="JU4" s="473"/>
      <c r="JV4" s="473"/>
      <c r="JW4" t="s">
        <v>411</v>
      </c>
      <c r="JX4" s="473" t="s">
        <v>446</v>
      </c>
      <c r="JY4" s="473"/>
      <c r="JZ4" s="473"/>
      <c r="KA4" s="473"/>
      <c r="KB4" s="473"/>
      <c r="KC4" t="s">
        <v>411</v>
      </c>
      <c r="KD4" s="473" t="s">
        <v>445</v>
      </c>
      <c r="KE4" s="473"/>
      <c r="KF4" s="473"/>
      <c r="KG4" s="473"/>
      <c r="KH4" s="473"/>
      <c r="KI4" t="s">
        <v>411</v>
      </c>
      <c r="KJ4" s="473" t="s">
        <v>449</v>
      </c>
      <c r="KK4" s="473"/>
      <c r="KL4" s="473"/>
      <c r="KM4" s="473"/>
      <c r="KN4" s="473"/>
      <c r="KO4" t="s">
        <v>411</v>
      </c>
      <c r="KP4" s="473" t="s">
        <v>447</v>
      </c>
      <c r="KQ4" s="473"/>
      <c r="KR4" s="473"/>
      <c r="KS4" s="473"/>
      <c r="KT4" s="473"/>
      <c r="KU4" t="s">
        <v>411</v>
      </c>
      <c r="KV4" s="473" t="s">
        <v>448</v>
      </c>
      <c r="KW4" s="473"/>
      <c r="KX4" s="473"/>
      <c r="KY4" s="473"/>
      <c r="KZ4" s="473"/>
      <c r="LA4" t="s">
        <v>411</v>
      </c>
      <c r="LB4" s="472" t="s">
        <v>455</v>
      </c>
      <c r="LC4" s="472"/>
      <c r="LD4" s="472"/>
      <c r="LE4" s="472"/>
      <c r="LF4" s="472"/>
      <c r="LG4" s="472"/>
      <c r="LH4" t="s">
        <v>411</v>
      </c>
      <c r="LI4" s="472" t="s">
        <v>456</v>
      </c>
      <c r="LJ4" s="472"/>
      <c r="LK4" s="472"/>
      <c r="LL4" s="472"/>
      <c r="LM4" s="472"/>
      <c r="LN4" s="472"/>
      <c r="LO4" t="s">
        <v>411</v>
      </c>
      <c r="LP4" s="472" t="s">
        <v>439</v>
      </c>
      <c r="LQ4" s="472"/>
      <c r="LR4" s="472"/>
      <c r="LS4" s="472"/>
      <c r="LT4" s="472"/>
      <c r="LU4" s="472"/>
      <c r="LV4" t="s">
        <v>411</v>
      </c>
      <c r="LW4" s="472" t="s">
        <v>431</v>
      </c>
      <c r="LX4" s="472"/>
      <c r="LY4" s="472"/>
      <c r="LZ4" s="472"/>
      <c r="MA4" s="472"/>
      <c r="MB4" t="s">
        <v>411</v>
      </c>
      <c r="MC4" s="472" t="s">
        <v>432</v>
      </c>
      <c r="MD4" s="472"/>
      <c r="ME4" s="472"/>
      <c r="MF4" s="472"/>
      <c r="MG4" s="472"/>
      <c r="MH4" t="s">
        <v>411</v>
      </c>
      <c r="MI4" s="472" t="s">
        <v>433</v>
      </c>
      <c r="MJ4" s="472"/>
      <c r="MK4" s="472"/>
      <c r="ML4" s="472"/>
      <c r="MM4" s="472"/>
      <c r="MN4" t="s">
        <v>411</v>
      </c>
      <c r="MO4" s="472" t="s">
        <v>421</v>
      </c>
      <c r="MP4" s="472"/>
      <c r="MQ4" s="472"/>
      <c r="MR4" s="472"/>
      <c r="MS4" s="472"/>
      <c r="MT4" s="472"/>
      <c r="MU4" t="s">
        <v>411</v>
      </c>
      <c r="MV4" s="472" t="s">
        <v>425</v>
      </c>
      <c r="MW4" s="472"/>
      <c r="MX4" s="472"/>
      <c r="MY4" s="472"/>
      <c r="MZ4" s="472"/>
      <c r="NA4" s="472"/>
      <c r="NB4" t="s">
        <v>411</v>
      </c>
      <c r="NC4" s="472" t="s">
        <v>420</v>
      </c>
      <c r="ND4" s="472"/>
      <c r="NE4" s="472"/>
      <c r="NF4" s="472"/>
      <c r="NG4" s="472"/>
      <c r="NH4" s="472"/>
      <c r="NI4" t="s">
        <v>411</v>
      </c>
      <c r="NJ4" s="472" t="s">
        <v>434</v>
      </c>
      <c r="NK4" s="472"/>
      <c r="NL4" s="472"/>
      <c r="NM4" s="472"/>
      <c r="NN4" t="s">
        <v>411</v>
      </c>
      <c r="NO4" s="472" t="s">
        <v>420</v>
      </c>
      <c r="NP4" s="472"/>
      <c r="NQ4" s="472"/>
      <c r="NR4" s="472"/>
      <c r="NS4" s="461"/>
      <c r="NT4" t="s">
        <v>411</v>
      </c>
      <c r="NU4" s="472" t="s">
        <v>420</v>
      </c>
      <c r="NV4" s="472"/>
      <c r="NW4" s="472"/>
      <c r="NX4" s="472"/>
      <c r="NY4" s="472"/>
      <c r="NZ4" t="s">
        <v>411</v>
      </c>
      <c r="OA4" s="472" t="s">
        <v>444</v>
      </c>
      <c r="OB4" s="472"/>
      <c r="OC4" s="472"/>
      <c r="OD4" s="472"/>
      <c r="OE4" s="472"/>
      <c r="OF4" t="s">
        <v>411</v>
      </c>
      <c r="OG4" s="472" t="s">
        <v>446</v>
      </c>
      <c r="OH4" s="472"/>
      <c r="OI4" s="472"/>
      <c r="OJ4" s="472"/>
      <c r="OK4" s="472"/>
      <c r="OL4" t="s">
        <v>411</v>
      </c>
      <c r="OM4" s="472" t="s">
        <v>445</v>
      </c>
      <c r="ON4" s="472"/>
      <c r="OO4" s="472"/>
      <c r="OP4" s="472"/>
      <c r="OQ4" s="472"/>
      <c r="OR4" t="s">
        <v>411</v>
      </c>
      <c r="OS4" s="472" t="s">
        <v>449</v>
      </c>
      <c r="OT4" s="472"/>
      <c r="OU4" s="472"/>
      <c r="OV4" s="472"/>
      <c r="OW4" s="472"/>
      <c r="OX4" t="s">
        <v>411</v>
      </c>
      <c r="OY4" s="472" t="s">
        <v>447</v>
      </c>
      <c r="OZ4" s="472"/>
      <c r="PA4" s="472"/>
      <c r="PB4" s="472"/>
      <c r="PC4" s="472"/>
      <c r="PD4" t="s">
        <v>411</v>
      </c>
      <c r="PE4" s="472" t="s">
        <v>448</v>
      </c>
      <c r="PF4" s="472"/>
      <c r="PG4" s="472"/>
      <c r="PH4" s="472"/>
      <c r="PI4" s="472"/>
      <c r="PJ4" t="s">
        <v>411</v>
      </c>
      <c r="PK4" s="478" t="s">
        <v>455</v>
      </c>
      <c r="PL4" s="478"/>
      <c r="PM4" s="478"/>
      <c r="PN4" s="478"/>
      <c r="PO4" s="478"/>
      <c r="PP4" s="478"/>
      <c r="PQ4" t="s">
        <v>411</v>
      </c>
      <c r="PR4" s="478" t="s">
        <v>456</v>
      </c>
      <c r="PS4" s="478"/>
      <c r="PT4" s="478"/>
      <c r="PU4" s="478"/>
      <c r="PV4" s="478"/>
      <c r="PW4" s="478"/>
      <c r="PX4" t="s">
        <v>411</v>
      </c>
      <c r="PY4" s="478" t="s">
        <v>439</v>
      </c>
      <c r="PZ4" s="478"/>
      <c r="QA4" s="478"/>
      <c r="QB4" s="478"/>
      <c r="QC4" s="478"/>
      <c r="QD4" s="478"/>
      <c r="QE4" t="s">
        <v>411</v>
      </c>
      <c r="QF4" s="478" t="s">
        <v>431</v>
      </c>
      <c r="QG4" s="478"/>
      <c r="QH4" s="478"/>
      <c r="QI4" s="478"/>
      <c r="QJ4" s="478"/>
      <c r="QK4" t="s">
        <v>411</v>
      </c>
      <c r="QL4" s="478" t="s">
        <v>432</v>
      </c>
      <c r="QM4" s="478"/>
      <c r="QN4" s="478"/>
      <c r="QO4" s="478"/>
      <c r="QP4" s="478"/>
      <c r="QQ4" t="s">
        <v>411</v>
      </c>
      <c r="QR4" s="478" t="s">
        <v>433</v>
      </c>
      <c r="QS4" s="478"/>
      <c r="QT4" s="478"/>
      <c r="QU4" s="478"/>
      <c r="QV4" s="478"/>
      <c r="QW4" t="s">
        <v>411</v>
      </c>
      <c r="QX4" s="478" t="s">
        <v>421</v>
      </c>
      <c r="QY4" s="478"/>
      <c r="QZ4" s="478"/>
      <c r="RA4" s="478"/>
      <c r="RB4" s="478"/>
      <c r="RC4" s="478"/>
      <c r="RD4" t="s">
        <v>411</v>
      </c>
      <c r="RE4" s="504" t="s">
        <v>455</v>
      </c>
      <c r="RF4" s="504"/>
      <c r="RG4" s="504"/>
      <c r="RH4" s="504"/>
      <c r="RI4" s="504"/>
      <c r="RJ4" s="504"/>
      <c r="RK4" t="s">
        <v>411</v>
      </c>
      <c r="RL4" s="504" t="s">
        <v>456</v>
      </c>
      <c r="RM4" s="504"/>
      <c r="RN4" s="504"/>
      <c r="RO4" s="504"/>
      <c r="RP4" s="504"/>
      <c r="RQ4" s="504"/>
      <c r="RR4" t="s">
        <v>411</v>
      </c>
      <c r="RS4" s="504" t="s">
        <v>28</v>
      </c>
      <c r="RT4" s="504"/>
      <c r="RU4" s="504"/>
      <c r="RV4" s="504"/>
      <c r="RW4" s="504"/>
      <c r="RX4" s="504"/>
      <c r="RY4" t="s">
        <v>411</v>
      </c>
      <c r="RZ4" s="506" t="s">
        <v>455</v>
      </c>
      <c r="SA4" s="506"/>
      <c r="SB4" s="506"/>
      <c r="SC4" s="506"/>
      <c r="SD4" s="506"/>
      <c r="SE4" s="506"/>
      <c r="SF4" t="s">
        <v>411</v>
      </c>
      <c r="SG4" s="506" t="s">
        <v>456</v>
      </c>
      <c r="SH4" s="506"/>
      <c r="SI4" s="506"/>
      <c r="SJ4" s="506"/>
      <c r="SK4" s="506"/>
      <c r="SL4" s="506"/>
      <c r="SM4" t="s">
        <v>411</v>
      </c>
      <c r="SN4" s="506" t="s">
        <v>28</v>
      </c>
      <c r="SO4" s="506"/>
      <c r="SP4" s="506"/>
      <c r="SQ4" s="506"/>
      <c r="SR4" s="506"/>
      <c r="SS4" t="s">
        <v>411</v>
      </c>
      <c r="ST4" s="501" t="s">
        <v>455</v>
      </c>
      <c r="SU4" s="501"/>
      <c r="SV4" s="501"/>
      <c r="SW4" s="501"/>
      <c r="SX4" s="501"/>
      <c r="SY4" t="s">
        <v>411</v>
      </c>
      <c r="SZ4" s="501" t="s">
        <v>456</v>
      </c>
      <c r="TA4" s="501"/>
      <c r="TB4" s="501"/>
      <c r="TC4" s="501"/>
      <c r="TD4" s="501"/>
      <c r="TE4" t="s">
        <v>411</v>
      </c>
      <c r="TF4" s="501" t="s">
        <v>24</v>
      </c>
      <c r="TG4" s="501"/>
      <c r="TH4" s="501"/>
      <c r="TI4" s="501"/>
      <c r="TJ4" t="s">
        <v>411</v>
      </c>
      <c r="TK4" s="470" t="s">
        <v>455</v>
      </c>
      <c r="TL4" s="470"/>
      <c r="TM4" s="470"/>
      <c r="TN4" s="470"/>
      <c r="TO4" s="470"/>
      <c r="TP4" t="s">
        <v>411</v>
      </c>
      <c r="TQ4" s="470" t="s">
        <v>456</v>
      </c>
      <c r="TR4" s="470"/>
      <c r="TS4" s="470"/>
      <c r="TT4" s="470"/>
      <c r="TU4" s="470"/>
      <c r="TV4" t="s">
        <v>411</v>
      </c>
      <c r="TW4" s="470" t="s">
        <v>28</v>
      </c>
      <c r="TX4" s="470"/>
      <c r="TY4" s="470"/>
      <c r="TZ4" s="470"/>
    </row>
    <row r="5" spans="1:559" ht="14.4" customHeight="1" x14ac:dyDescent="0.3">
      <c r="E5" s="477" t="s">
        <v>12</v>
      </c>
      <c r="F5" s="477"/>
      <c r="G5" s="477"/>
      <c r="H5" s="477"/>
      <c r="I5" s="477"/>
      <c r="J5" s="477"/>
      <c r="K5" s="477"/>
      <c r="L5" s="477"/>
      <c r="M5" s="476" t="s">
        <v>13</v>
      </c>
      <c r="N5" s="476"/>
      <c r="O5" s="476"/>
      <c r="P5" s="476"/>
      <c r="Q5" s="476"/>
      <c r="R5" s="476"/>
      <c r="S5" s="476"/>
      <c r="T5" s="476"/>
      <c r="U5" s="447" t="s">
        <v>411</v>
      </c>
      <c r="V5" s="476" t="s">
        <v>43</v>
      </c>
      <c r="W5" s="476"/>
      <c r="X5" s="476"/>
      <c r="Y5" s="476"/>
      <c r="Z5" s="476"/>
      <c r="AA5" s="476"/>
      <c r="AB5" s="476"/>
      <c r="AC5" s="476"/>
      <c r="AD5" s="447" t="s">
        <v>411</v>
      </c>
      <c r="AE5" s="476" t="s">
        <v>43</v>
      </c>
      <c r="AF5" s="476"/>
      <c r="AG5" s="476"/>
      <c r="AH5" s="476"/>
      <c r="AI5" s="476"/>
      <c r="AJ5" s="476"/>
      <c r="AK5" s="476"/>
      <c r="AL5" s="447" t="s">
        <v>411</v>
      </c>
      <c r="AM5" s="447" t="s">
        <v>411</v>
      </c>
      <c r="AN5" s="476" t="s">
        <v>43</v>
      </c>
      <c r="AO5" s="476"/>
      <c r="AP5" s="476"/>
      <c r="AQ5" s="476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  <c r="BE5" s="476"/>
      <c r="BF5" s="476"/>
      <c r="BG5" s="476"/>
      <c r="BH5" s="476"/>
      <c r="BI5" s="476"/>
      <c r="BJ5" s="476"/>
      <c r="BK5" s="476"/>
      <c r="BL5" s="447" t="s">
        <v>411</v>
      </c>
      <c r="BM5" s="483" t="s">
        <v>43</v>
      </c>
      <c r="BN5" s="483"/>
      <c r="BO5" s="483"/>
      <c r="BP5" s="483"/>
      <c r="BQ5" s="483"/>
      <c r="BR5" s="483"/>
      <c r="BS5" s="483"/>
      <c r="BT5" s="483"/>
      <c r="BU5" s="483"/>
      <c r="BV5" s="483"/>
      <c r="BW5" s="483"/>
      <c r="BX5" s="483"/>
      <c r="BY5" s="483"/>
      <c r="BZ5" s="483"/>
      <c r="CA5" s="483"/>
      <c r="CB5" s="483"/>
      <c r="CC5" s="483"/>
      <c r="CD5" s="483"/>
      <c r="CE5" s="447" t="s">
        <v>411</v>
      </c>
      <c r="CF5" s="411" t="s">
        <v>381</v>
      </c>
      <c r="CG5" s="409" t="s">
        <v>386</v>
      </c>
      <c r="CH5" s="411" t="s">
        <v>385</v>
      </c>
      <c r="CI5" s="169" t="s">
        <v>291</v>
      </c>
      <c r="CJ5" s="182" t="s">
        <v>453</v>
      </c>
      <c r="CK5"/>
      <c r="CL5" s="411" t="s">
        <v>451</v>
      </c>
      <c r="CM5" s="411" t="s">
        <v>381</v>
      </c>
      <c r="CN5" s="411" t="s">
        <v>382</v>
      </c>
      <c r="CO5" s="411" t="s">
        <v>385</v>
      </c>
      <c r="CP5" t="s">
        <v>291</v>
      </c>
      <c r="CR5" s="411" t="s">
        <v>381</v>
      </c>
      <c r="CS5" s="409" t="s">
        <v>386</v>
      </c>
      <c r="CT5" s="411" t="s">
        <v>385</v>
      </c>
      <c r="CU5" s="411" t="s">
        <v>378</v>
      </c>
      <c r="CV5" t="s">
        <v>291</v>
      </c>
      <c r="CX5" s="411" t="s">
        <v>381</v>
      </c>
      <c r="CY5" s="409" t="s">
        <v>386</v>
      </c>
      <c r="CZ5" s="411" t="s">
        <v>385</v>
      </c>
      <c r="DA5" s="411" t="s">
        <v>379</v>
      </c>
      <c r="DB5" t="s">
        <v>291</v>
      </c>
      <c r="DD5" s="411" t="s">
        <v>381</v>
      </c>
      <c r="DE5" s="409" t="s">
        <v>386</v>
      </c>
      <c r="DF5" s="411" t="s">
        <v>385</v>
      </c>
      <c r="DG5" s="411" t="s">
        <v>378</v>
      </c>
      <c r="DH5" t="s">
        <v>291</v>
      </c>
      <c r="DJ5" s="411" t="s">
        <v>381</v>
      </c>
      <c r="DK5" s="409" t="s">
        <v>386</v>
      </c>
      <c r="DL5" s="411" t="s">
        <v>385</v>
      </c>
      <c r="DM5" s="411" t="s">
        <v>379</v>
      </c>
      <c r="DN5" t="s">
        <v>291</v>
      </c>
      <c r="DP5" s="409" t="s">
        <v>386</v>
      </c>
      <c r="DQ5" s="411" t="s">
        <v>382</v>
      </c>
      <c r="DR5" s="411" t="s">
        <v>385</v>
      </c>
      <c r="DS5" t="s">
        <v>291</v>
      </c>
      <c r="DU5" s="411" t="s">
        <v>387</v>
      </c>
      <c r="DV5" s="411" t="s">
        <v>385</v>
      </c>
      <c r="DW5" s="411" t="s">
        <v>384</v>
      </c>
      <c r="DX5" t="s">
        <v>291</v>
      </c>
      <c r="DZ5" s="409" t="s">
        <v>386</v>
      </c>
      <c r="EA5" s="411" t="s">
        <v>385</v>
      </c>
      <c r="EB5" s="411" t="s">
        <v>378</v>
      </c>
      <c r="EC5" t="s">
        <v>291</v>
      </c>
      <c r="EE5" s="409" t="s">
        <v>386</v>
      </c>
      <c r="EF5" s="411" t="s">
        <v>385</v>
      </c>
      <c r="EG5" s="411" t="s">
        <v>379</v>
      </c>
      <c r="EH5" t="s">
        <v>291</v>
      </c>
      <c r="EJ5" s="409" t="s">
        <v>386</v>
      </c>
      <c r="EK5" s="411" t="s">
        <v>385</v>
      </c>
      <c r="EL5" s="411" t="s">
        <v>388</v>
      </c>
      <c r="EM5" t="s">
        <v>291</v>
      </c>
      <c r="EO5" s="409" t="s">
        <v>386</v>
      </c>
      <c r="EP5" s="411" t="s">
        <v>382</v>
      </c>
      <c r="EQ5" s="411" t="s">
        <v>385</v>
      </c>
      <c r="ER5" s="411" t="s">
        <v>384</v>
      </c>
      <c r="ES5" t="s">
        <v>291</v>
      </c>
      <c r="EU5" s="409" t="s">
        <v>386</v>
      </c>
      <c r="EV5" s="411" t="s">
        <v>382</v>
      </c>
      <c r="EW5" s="411" t="s">
        <v>385</v>
      </c>
      <c r="EX5" s="411" t="s">
        <v>384</v>
      </c>
      <c r="EY5" t="s">
        <v>291</v>
      </c>
      <c r="FA5" s="409" t="s">
        <v>386</v>
      </c>
      <c r="FB5" s="411" t="s">
        <v>385</v>
      </c>
      <c r="FC5" s="411" t="s">
        <v>384</v>
      </c>
      <c r="FD5" s="411" t="s">
        <v>379</v>
      </c>
      <c r="FE5" t="s">
        <v>291</v>
      </c>
      <c r="FG5" s="409" t="s">
        <v>386</v>
      </c>
      <c r="FH5" s="411" t="s">
        <v>384</v>
      </c>
      <c r="FI5" s="411" t="s">
        <v>385</v>
      </c>
      <c r="FJ5" s="411" t="s">
        <v>378</v>
      </c>
      <c r="FK5" t="s">
        <v>291</v>
      </c>
      <c r="FM5" s="409" t="s">
        <v>386</v>
      </c>
      <c r="FN5" s="411" t="s">
        <v>384</v>
      </c>
      <c r="FO5" s="411" t="s">
        <v>385</v>
      </c>
      <c r="FP5" s="411" t="s">
        <v>378</v>
      </c>
      <c r="FQ5" t="s">
        <v>291</v>
      </c>
      <c r="FS5" s="409" t="s">
        <v>386</v>
      </c>
      <c r="FT5" s="411" t="s">
        <v>384</v>
      </c>
      <c r="FU5" s="411" t="s">
        <v>385</v>
      </c>
      <c r="FV5" s="411" t="s">
        <v>378</v>
      </c>
      <c r="FW5" t="s">
        <v>291</v>
      </c>
      <c r="FY5" s="409" t="s">
        <v>386</v>
      </c>
      <c r="FZ5" s="411" t="s">
        <v>384</v>
      </c>
      <c r="GA5" s="411" t="s">
        <v>385</v>
      </c>
      <c r="GB5" s="411" t="s">
        <v>378</v>
      </c>
      <c r="GC5" t="s">
        <v>291</v>
      </c>
      <c r="GE5" s="409" t="s">
        <v>386</v>
      </c>
      <c r="GF5" s="411" t="s">
        <v>384</v>
      </c>
      <c r="GG5" s="411" t="s">
        <v>385</v>
      </c>
      <c r="GH5" s="411" t="s">
        <v>378</v>
      </c>
      <c r="GI5" t="s">
        <v>291</v>
      </c>
      <c r="GK5" s="409" t="s">
        <v>386</v>
      </c>
      <c r="GL5" s="411" t="s">
        <v>384</v>
      </c>
      <c r="GM5" s="411" t="s">
        <v>385</v>
      </c>
      <c r="GN5" s="411" t="s">
        <v>378</v>
      </c>
      <c r="GO5" t="s">
        <v>291</v>
      </c>
      <c r="GQ5" s="411" t="s">
        <v>381</v>
      </c>
      <c r="GR5" s="409" t="s">
        <v>386</v>
      </c>
      <c r="GS5" s="411" t="s">
        <v>385</v>
      </c>
      <c r="GT5" s="169" t="s">
        <v>291</v>
      </c>
      <c r="GU5" s="182" t="s">
        <v>453</v>
      </c>
      <c r="GV5"/>
      <c r="GW5" s="411" t="s">
        <v>451</v>
      </c>
      <c r="GX5" s="411" t="s">
        <v>381</v>
      </c>
      <c r="GY5" s="411" t="s">
        <v>382</v>
      </c>
      <c r="GZ5" s="411" t="s">
        <v>385</v>
      </c>
      <c r="HA5" t="s">
        <v>291</v>
      </c>
      <c r="HC5" s="411" t="s">
        <v>381</v>
      </c>
      <c r="HD5" s="409" t="s">
        <v>386</v>
      </c>
      <c r="HE5" s="411" t="s">
        <v>385</v>
      </c>
      <c r="HF5" s="411" t="s">
        <v>378</v>
      </c>
      <c r="HG5" t="s">
        <v>291</v>
      </c>
      <c r="HI5" s="411" t="s">
        <v>381</v>
      </c>
      <c r="HJ5" s="409" t="s">
        <v>386</v>
      </c>
      <c r="HK5" s="411" t="s">
        <v>385</v>
      </c>
      <c r="HL5" s="411" t="s">
        <v>379</v>
      </c>
      <c r="HM5" t="s">
        <v>291</v>
      </c>
      <c r="HO5" s="411" t="s">
        <v>381</v>
      </c>
      <c r="HP5" s="409" t="s">
        <v>386</v>
      </c>
      <c r="HQ5" s="411" t="s">
        <v>385</v>
      </c>
      <c r="HR5" s="411" t="s">
        <v>378</v>
      </c>
      <c r="HS5" t="s">
        <v>291</v>
      </c>
      <c r="HU5" s="411" t="s">
        <v>381</v>
      </c>
      <c r="HV5" s="409" t="s">
        <v>386</v>
      </c>
      <c r="HW5" s="411" t="s">
        <v>385</v>
      </c>
      <c r="HX5" s="411" t="s">
        <v>379</v>
      </c>
      <c r="HY5" t="s">
        <v>291</v>
      </c>
      <c r="IA5" s="409" t="s">
        <v>386</v>
      </c>
      <c r="IB5" s="411" t="s">
        <v>382</v>
      </c>
      <c r="IC5" s="411" t="s">
        <v>385</v>
      </c>
      <c r="ID5" t="s">
        <v>291</v>
      </c>
      <c r="IF5" s="411" t="s">
        <v>387</v>
      </c>
      <c r="IG5" s="411" t="s">
        <v>385</v>
      </c>
      <c r="IH5" s="411" t="s">
        <v>384</v>
      </c>
      <c r="II5" t="s">
        <v>291</v>
      </c>
      <c r="IK5" s="409" t="s">
        <v>386</v>
      </c>
      <c r="IL5" s="411" t="s">
        <v>385</v>
      </c>
      <c r="IM5" s="411" t="s">
        <v>378</v>
      </c>
      <c r="IN5" t="s">
        <v>291</v>
      </c>
      <c r="IP5" s="409" t="s">
        <v>386</v>
      </c>
      <c r="IQ5" s="411" t="s">
        <v>385</v>
      </c>
      <c r="IR5" s="411" t="s">
        <v>379</v>
      </c>
      <c r="IS5" t="s">
        <v>291</v>
      </c>
      <c r="IU5" s="409" t="s">
        <v>386</v>
      </c>
      <c r="IV5" s="411" t="s">
        <v>385</v>
      </c>
      <c r="IW5" s="411" t="s">
        <v>388</v>
      </c>
      <c r="IX5" t="s">
        <v>291</v>
      </c>
      <c r="IZ5" s="409" t="s">
        <v>386</v>
      </c>
      <c r="JA5" s="411" t="s">
        <v>382</v>
      </c>
      <c r="JB5" s="411" t="s">
        <v>385</v>
      </c>
      <c r="JC5" s="411" t="s">
        <v>384</v>
      </c>
      <c r="JD5" t="s">
        <v>291</v>
      </c>
      <c r="JF5" s="409" t="s">
        <v>386</v>
      </c>
      <c r="JG5" s="411" t="s">
        <v>382</v>
      </c>
      <c r="JH5" s="411" t="s">
        <v>385</v>
      </c>
      <c r="JI5" s="411" t="s">
        <v>384</v>
      </c>
      <c r="JJ5" t="s">
        <v>291</v>
      </c>
      <c r="JL5" s="409" t="s">
        <v>386</v>
      </c>
      <c r="JM5" s="411" t="s">
        <v>385</v>
      </c>
      <c r="JN5" s="411" t="s">
        <v>384</v>
      </c>
      <c r="JO5" s="411" t="s">
        <v>379</v>
      </c>
      <c r="JP5" t="s">
        <v>291</v>
      </c>
      <c r="JR5" s="409" t="s">
        <v>386</v>
      </c>
      <c r="JS5" s="411" t="s">
        <v>384</v>
      </c>
      <c r="JT5" s="411" t="s">
        <v>385</v>
      </c>
      <c r="JU5" s="411" t="s">
        <v>378</v>
      </c>
      <c r="JV5" t="s">
        <v>291</v>
      </c>
      <c r="JX5" s="409" t="s">
        <v>386</v>
      </c>
      <c r="JY5" s="411" t="s">
        <v>384</v>
      </c>
      <c r="JZ5" s="411" t="s">
        <v>385</v>
      </c>
      <c r="KA5" s="411" t="s">
        <v>378</v>
      </c>
      <c r="KB5" t="s">
        <v>291</v>
      </c>
      <c r="KD5" s="409" t="s">
        <v>386</v>
      </c>
      <c r="KE5" s="411" t="s">
        <v>384</v>
      </c>
      <c r="KF5" s="411" t="s">
        <v>385</v>
      </c>
      <c r="KG5" s="411" t="s">
        <v>378</v>
      </c>
      <c r="KH5" t="s">
        <v>291</v>
      </c>
      <c r="KJ5" s="409" t="s">
        <v>386</v>
      </c>
      <c r="KK5" s="411" t="s">
        <v>384</v>
      </c>
      <c r="KL5" s="411" t="s">
        <v>385</v>
      </c>
      <c r="KM5" s="411" t="s">
        <v>378</v>
      </c>
      <c r="KN5" t="s">
        <v>291</v>
      </c>
      <c r="KP5" s="409" t="s">
        <v>386</v>
      </c>
      <c r="KQ5" s="411" t="s">
        <v>384</v>
      </c>
      <c r="KR5" s="411" t="s">
        <v>385</v>
      </c>
      <c r="KS5" s="411" t="s">
        <v>378</v>
      </c>
      <c r="KT5" t="s">
        <v>291</v>
      </c>
      <c r="KV5" s="409" t="s">
        <v>386</v>
      </c>
      <c r="KW5" s="411" t="s">
        <v>384</v>
      </c>
      <c r="KX5" s="411" t="s">
        <v>385</v>
      </c>
      <c r="KY5" s="411" t="s">
        <v>378</v>
      </c>
      <c r="KZ5" t="s">
        <v>291</v>
      </c>
      <c r="LB5" s="411" t="s">
        <v>381</v>
      </c>
      <c r="LC5" s="409" t="s">
        <v>386</v>
      </c>
      <c r="LD5" s="411" t="s">
        <v>385</v>
      </c>
      <c r="LE5" s="411" t="s">
        <v>383</v>
      </c>
      <c r="LF5" s="169" t="s">
        <v>291</v>
      </c>
      <c r="LG5" s="182" t="s">
        <v>453</v>
      </c>
      <c r="LH5"/>
      <c r="LI5" s="411" t="s">
        <v>451</v>
      </c>
      <c r="LJ5" s="411" t="s">
        <v>381</v>
      </c>
      <c r="LK5" s="411" t="s">
        <v>382</v>
      </c>
      <c r="LL5" s="411" t="s">
        <v>385</v>
      </c>
      <c r="LM5" s="411" t="s">
        <v>383</v>
      </c>
      <c r="LN5" t="s">
        <v>291</v>
      </c>
      <c r="LP5" s="409" t="s">
        <v>386</v>
      </c>
      <c r="LQ5" s="411" t="s">
        <v>383</v>
      </c>
      <c r="LR5" s="411" t="s">
        <v>385</v>
      </c>
      <c r="LS5" s="411" t="s">
        <v>384</v>
      </c>
      <c r="LT5" s="411" t="s">
        <v>382</v>
      </c>
      <c r="LU5" t="s">
        <v>291</v>
      </c>
      <c r="LW5" s="409" t="s">
        <v>386</v>
      </c>
      <c r="LX5" s="411" t="s">
        <v>385</v>
      </c>
      <c r="LY5" s="411" t="s">
        <v>383</v>
      </c>
      <c r="LZ5" s="411" t="s">
        <v>378</v>
      </c>
      <c r="MA5" t="s">
        <v>291</v>
      </c>
      <c r="MC5" s="409" t="s">
        <v>386</v>
      </c>
      <c r="MD5" s="411" t="s">
        <v>385</v>
      </c>
      <c r="ME5" s="411" t="s">
        <v>383</v>
      </c>
      <c r="MF5" s="411" t="s">
        <v>379</v>
      </c>
      <c r="MG5" t="s">
        <v>291</v>
      </c>
      <c r="MI5" s="409" t="s">
        <v>386</v>
      </c>
      <c r="MJ5" s="411" t="s">
        <v>385</v>
      </c>
      <c r="MK5" s="411" t="s">
        <v>383</v>
      </c>
      <c r="ML5" s="411" t="s">
        <v>388</v>
      </c>
      <c r="MM5" t="s">
        <v>291</v>
      </c>
      <c r="MO5" s="409" t="s">
        <v>386</v>
      </c>
      <c r="MP5" s="411" t="s">
        <v>382</v>
      </c>
      <c r="MQ5" s="411" t="s">
        <v>385</v>
      </c>
      <c r="MR5" s="411" t="s">
        <v>383</v>
      </c>
      <c r="MS5" s="411" t="s">
        <v>384</v>
      </c>
      <c r="MT5" t="s">
        <v>291</v>
      </c>
      <c r="MV5" s="409" t="s">
        <v>386</v>
      </c>
      <c r="MW5" s="411" t="s">
        <v>382</v>
      </c>
      <c r="MX5" s="411" t="s">
        <v>385</v>
      </c>
      <c r="MY5" s="411" t="s">
        <v>383</v>
      </c>
      <c r="MZ5" s="411" t="s">
        <v>384</v>
      </c>
      <c r="NA5" t="s">
        <v>291</v>
      </c>
      <c r="NC5" s="409" t="s">
        <v>386</v>
      </c>
      <c r="ND5" s="411" t="s">
        <v>385</v>
      </c>
      <c r="NE5" s="411" t="s">
        <v>384</v>
      </c>
      <c r="NF5" s="411" t="s">
        <v>383</v>
      </c>
      <c r="NG5" s="411" t="s">
        <v>379</v>
      </c>
      <c r="NH5" t="s">
        <v>291</v>
      </c>
      <c r="NI5"/>
      <c r="NJ5" s="411" t="s">
        <v>382</v>
      </c>
      <c r="NK5" s="411" t="s">
        <v>384</v>
      </c>
      <c r="NL5" s="411" t="s">
        <v>387</v>
      </c>
      <c r="NM5" t="s">
        <v>291</v>
      </c>
      <c r="NO5" s="409" t="s">
        <v>386</v>
      </c>
      <c r="NP5" s="411" t="s">
        <v>385</v>
      </c>
      <c r="NQ5" s="411" t="s">
        <v>384</v>
      </c>
      <c r="NR5" s="411" t="s">
        <v>378</v>
      </c>
      <c r="NS5" t="s">
        <v>291</v>
      </c>
      <c r="NU5" s="409" t="s">
        <v>386</v>
      </c>
      <c r="NV5" s="411" t="s">
        <v>385</v>
      </c>
      <c r="NW5" s="411" t="s">
        <v>384</v>
      </c>
      <c r="NX5" s="411" t="s">
        <v>379</v>
      </c>
      <c r="NY5" t="s">
        <v>291</v>
      </c>
      <c r="OA5" s="409" t="s">
        <v>386</v>
      </c>
      <c r="OB5" s="411" t="s">
        <v>384</v>
      </c>
      <c r="OC5" s="411" t="s">
        <v>385</v>
      </c>
      <c r="OD5" s="411" t="s">
        <v>378</v>
      </c>
      <c r="OE5" t="s">
        <v>291</v>
      </c>
      <c r="OG5" s="409" t="s">
        <v>386</v>
      </c>
      <c r="OH5" s="411" t="s">
        <v>384</v>
      </c>
      <c r="OI5" s="411" t="s">
        <v>385</v>
      </c>
      <c r="OJ5" s="411" t="s">
        <v>378</v>
      </c>
      <c r="OK5" t="s">
        <v>291</v>
      </c>
      <c r="OM5" s="409" t="s">
        <v>386</v>
      </c>
      <c r="ON5" s="411" t="s">
        <v>384</v>
      </c>
      <c r="OO5" s="411" t="s">
        <v>385</v>
      </c>
      <c r="OP5" s="411" t="s">
        <v>378</v>
      </c>
      <c r="OQ5" t="s">
        <v>291</v>
      </c>
      <c r="OS5" s="409" t="s">
        <v>386</v>
      </c>
      <c r="OT5" s="411" t="s">
        <v>384</v>
      </c>
      <c r="OU5" s="411" t="s">
        <v>385</v>
      </c>
      <c r="OV5" s="411" t="s">
        <v>378</v>
      </c>
      <c r="OW5" t="s">
        <v>291</v>
      </c>
      <c r="OY5" s="409" t="s">
        <v>386</v>
      </c>
      <c r="OZ5" s="411" t="s">
        <v>384</v>
      </c>
      <c r="PA5" s="411" t="s">
        <v>385</v>
      </c>
      <c r="PB5" s="411" t="s">
        <v>378</v>
      </c>
      <c r="PC5" t="s">
        <v>291</v>
      </c>
      <c r="PE5" s="409" t="s">
        <v>386</v>
      </c>
      <c r="PF5" s="411" t="s">
        <v>384</v>
      </c>
      <c r="PG5" s="411" t="s">
        <v>385</v>
      </c>
      <c r="PH5" s="411" t="s">
        <v>378</v>
      </c>
      <c r="PI5" t="s">
        <v>291</v>
      </c>
      <c r="PK5" s="411" t="s">
        <v>381</v>
      </c>
      <c r="PL5" s="409" t="s">
        <v>386</v>
      </c>
      <c r="PM5" s="411" t="s">
        <v>385</v>
      </c>
      <c r="PN5" s="411" t="s">
        <v>383</v>
      </c>
      <c r="PO5" s="169" t="s">
        <v>291</v>
      </c>
      <c r="PP5" s="182" t="s">
        <v>453</v>
      </c>
      <c r="PQ5"/>
      <c r="PR5" s="411" t="s">
        <v>451</v>
      </c>
      <c r="PS5" s="411" t="s">
        <v>381</v>
      </c>
      <c r="PT5" s="411" t="s">
        <v>382</v>
      </c>
      <c r="PU5" s="411" t="s">
        <v>385</v>
      </c>
      <c r="PV5" s="411" t="s">
        <v>383</v>
      </c>
      <c r="PW5" t="s">
        <v>291</v>
      </c>
      <c r="PY5" s="409" t="s">
        <v>386</v>
      </c>
      <c r="PZ5" s="411" t="s">
        <v>382</v>
      </c>
      <c r="QA5" s="411" t="s">
        <v>385</v>
      </c>
      <c r="QB5" s="411" t="s">
        <v>384</v>
      </c>
      <c r="QC5" s="411" t="s">
        <v>383</v>
      </c>
      <c r="QD5" t="s">
        <v>291</v>
      </c>
      <c r="QF5" s="409" t="s">
        <v>386</v>
      </c>
      <c r="QG5" s="411" t="s">
        <v>385</v>
      </c>
      <c r="QH5" s="411" t="s">
        <v>383</v>
      </c>
      <c r="QI5" s="411" t="s">
        <v>378</v>
      </c>
      <c r="QJ5" t="s">
        <v>291</v>
      </c>
      <c r="QL5" s="409" t="s">
        <v>386</v>
      </c>
      <c r="QM5" s="411" t="s">
        <v>385</v>
      </c>
      <c r="QN5" s="411" t="s">
        <v>383</v>
      </c>
      <c r="QO5" s="411" t="s">
        <v>379</v>
      </c>
      <c r="QP5" t="s">
        <v>291</v>
      </c>
      <c r="QR5" s="409" t="s">
        <v>386</v>
      </c>
      <c r="QS5" s="411" t="s">
        <v>385</v>
      </c>
      <c r="QT5" s="411" t="s">
        <v>383</v>
      </c>
      <c r="QU5" s="411" t="s">
        <v>388</v>
      </c>
      <c r="QV5" t="s">
        <v>291</v>
      </c>
      <c r="QX5" s="409" t="s">
        <v>386</v>
      </c>
      <c r="QY5" s="411" t="s">
        <v>382</v>
      </c>
      <c r="QZ5" s="411" t="s">
        <v>385</v>
      </c>
      <c r="RA5" s="411" t="s">
        <v>383</v>
      </c>
      <c r="RB5" s="411" t="s">
        <v>384</v>
      </c>
      <c r="RC5" t="s">
        <v>291</v>
      </c>
      <c r="RD5"/>
      <c r="RE5" s="411" t="s">
        <v>381</v>
      </c>
      <c r="RF5" s="409" t="s">
        <v>386</v>
      </c>
      <c r="RG5" s="411" t="s">
        <v>385</v>
      </c>
      <c r="RH5" s="411" t="s">
        <v>383</v>
      </c>
      <c r="RI5" s="169" t="s">
        <v>291</v>
      </c>
      <c r="RJ5" s="182" t="s">
        <v>453</v>
      </c>
      <c r="RK5"/>
      <c r="RL5" s="411" t="s">
        <v>451</v>
      </c>
      <c r="RM5" s="411" t="s">
        <v>381</v>
      </c>
      <c r="RN5" s="411" t="s">
        <v>382</v>
      </c>
      <c r="RO5" s="411" t="s">
        <v>385</v>
      </c>
      <c r="RP5" s="411" t="s">
        <v>383</v>
      </c>
      <c r="RQ5" t="s">
        <v>291</v>
      </c>
      <c r="RS5" s="409" t="s">
        <v>386</v>
      </c>
      <c r="RT5" s="411" t="s">
        <v>382</v>
      </c>
      <c r="RU5" s="411" t="s">
        <v>384</v>
      </c>
      <c r="RV5" s="411" t="s">
        <v>385</v>
      </c>
      <c r="RW5" s="411" t="s">
        <v>383</v>
      </c>
      <c r="RX5" t="s">
        <v>291</v>
      </c>
      <c r="RZ5" s="411" t="s">
        <v>381</v>
      </c>
      <c r="SA5" s="409" t="s">
        <v>386</v>
      </c>
      <c r="SB5" s="411" t="s">
        <v>385</v>
      </c>
      <c r="SC5" s="411" t="s">
        <v>383</v>
      </c>
      <c r="SD5" s="169" t="s">
        <v>291</v>
      </c>
      <c r="SE5" s="182" t="s">
        <v>453</v>
      </c>
      <c r="SF5"/>
      <c r="SG5" s="411" t="s">
        <v>451</v>
      </c>
      <c r="SH5" s="411" t="s">
        <v>381</v>
      </c>
      <c r="SI5" s="411" t="s">
        <v>382</v>
      </c>
      <c r="SJ5" s="411" t="s">
        <v>385</v>
      </c>
      <c r="SK5" s="411" t="s">
        <v>383</v>
      </c>
      <c r="SL5" t="s">
        <v>291</v>
      </c>
      <c r="SM5"/>
      <c r="SN5" s="409" t="s">
        <v>386</v>
      </c>
      <c r="SO5" s="411" t="s">
        <v>382</v>
      </c>
      <c r="SP5" s="411" t="s">
        <v>385</v>
      </c>
      <c r="SQ5" s="411" t="s">
        <v>383</v>
      </c>
      <c r="SR5" t="s">
        <v>291</v>
      </c>
      <c r="ST5" s="411" t="s">
        <v>381</v>
      </c>
      <c r="SU5" s="411" t="s">
        <v>385</v>
      </c>
      <c r="SV5" s="409" t="s">
        <v>386</v>
      </c>
      <c r="SW5" s="169" t="s">
        <v>291</v>
      </c>
      <c r="SX5" s="182" t="s">
        <v>453</v>
      </c>
      <c r="SY5"/>
      <c r="SZ5" s="411" t="s">
        <v>451</v>
      </c>
      <c r="TA5" s="411" t="s">
        <v>381</v>
      </c>
      <c r="TB5" s="411" t="s">
        <v>382</v>
      </c>
      <c r="TC5" s="411" t="s">
        <v>385</v>
      </c>
      <c r="TD5" t="s">
        <v>291</v>
      </c>
      <c r="TF5" s="409" t="s">
        <v>386</v>
      </c>
      <c r="TG5" s="411" t="s">
        <v>382</v>
      </c>
      <c r="TH5" s="411" t="s">
        <v>385</v>
      </c>
      <c r="TI5" t="s">
        <v>291</v>
      </c>
      <c r="TK5" s="411" t="s">
        <v>381</v>
      </c>
      <c r="TL5" s="409" t="s">
        <v>386</v>
      </c>
      <c r="TM5" s="411" t="s">
        <v>385</v>
      </c>
      <c r="TN5" s="169" t="s">
        <v>291</v>
      </c>
      <c r="TO5" s="182" t="s">
        <v>453</v>
      </c>
      <c r="TP5"/>
      <c r="TQ5" s="411" t="s">
        <v>451</v>
      </c>
      <c r="TR5" s="411" t="s">
        <v>381</v>
      </c>
      <c r="TS5" s="411" t="s">
        <v>382</v>
      </c>
      <c r="TT5" s="411" t="s">
        <v>385</v>
      </c>
      <c r="TU5" t="s">
        <v>291</v>
      </c>
      <c r="TV5"/>
      <c r="TW5" s="409" t="s">
        <v>386</v>
      </c>
      <c r="TX5" s="411" t="s">
        <v>382</v>
      </c>
      <c r="TY5" s="411" t="s">
        <v>385</v>
      </c>
      <c r="TZ5" t="s">
        <v>291</v>
      </c>
      <c r="UC5" s="411" t="s">
        <v>463</v>
      </c>
      <c r="UD5" s="411" t="s">
        <v>464</v>
      </c>
      <c r="UE5" s="411" t="s">
        <v>466</v>
      </c>
      <c r="UF5" s="411" t="s">
        <v>465</v>
      </c>
      <c r="UG5" s="411" t="s">
        <v>383</v>
      </c>
      <c r="UI5" s="459" t="s">
        <v>36</v>
      </c>
      <c r="UJ5" s="469" t="str">
        <f>UC6</f>
        <v>UNC Carrington Hall Phase 2</v>
      </c>
      <c r="UK5" s="469"/>
      <c r="UL5" s="469"/>
      <c r="UM5" s="469"/>
    </row>
    <row r="6" spans="1:559" x14ac:dyDescent="0.3">
      <c r="A6" s="262" t="s">
        <v>450</v>
      </c>
      <c r="B6" s="262" t="s">
        <v>450</v>
      </c>
      <c r="C6" s="262" t="s">
        <v>450</v>
      </c>
      <c r="D6" s="262" t="s">
        <v>450</v>
      </c>
      <c r="E6" s="412">
        <f>SUM(E7:E29)</f>
        <v>0</v>
      </c>
      <c r="F6" s="413">
        <f t="shared" ref="F6:T6" si="0">SUM(F7:F29)</f>
        <v>0</v>
      </c>
      <c r="G6" s="148">
        <f t="shared" si="0"/>
        <v>220</v>
      </c>
      <c r="H6" s="414">
        <f t="shared" si="0"/>
        <v>0</v>
      </c>
      <c r="I6" s="415">
        <f t="shared" si="0"/>
        <v>0</v>
      </c>
      <c r="J6" s="416">
        <f t="shared" si="0"/>
        <v>0</v>
      </c>
      <c r="K6" s="417">
        <f t="shared" si="0"/>
        <v>0</v>
      </c>
      <c r="L6" s="418">
        <f t="shared" si="0"/>
        <v>0</v>
      </c>
      <c r="M6" s="419">
        <f t="shared" si="0"/>
        <v>0</v>
      </c>
      <c r="N6" s="420">
        <f t="shared" si="0"/>
        <v>0</v>
      </c>
      <c r="O6" s="421">
        <f t="shared" si="0"/>
        <v>37</v>
      </c>
      <c r="P6" s="422">
        <f t="shared" si="0"/>
        <v>0</v>
      </c>
      <c r="Q6" s="423">
        <f t="shared" si="0"/>
        <v>0</v>
      </c>
      <c r="R6" s="424">
        <f t="shared" si="0"/>
        <v>0</v>
      </c>
      <c r="S6" s="425">
        <f t="shared" si="0"/>
        <v>0</v>
      </c>
      <c r="T6" s="426">
        <f t="shared" si="0"/>
        <v>0</v>
      </c>
      <c r="U6" s="262" t="s">
        <v>450</v>
      </c>
      <c r="V6" s="419">
        <f t="shared" ref="V6:AC6" si="1">SUM(V7:V29)</f>
        <v>0</v>
      </c>
      <c r="W6" s="420">
        <f t="shared" si="1"/>
        <v>0</v>
      </c>
      <c r="X6" s="421">
        <f t="shared" si="1"/>
        <v>31</v>
      </c>
      <c r="Y6" s="422">
        <f t="shared" si="1"/>
        <v>0</v>
      </c>
      <c r="Z6" s="423">
        <f t="shared" si="1"/>
        <v>0</v>
      </c>
      <c r="AA6" s="424">
        <f t="shared" si="1"/>
        <v>0</v>
      </c>
      <c r="AB6" s="425">
        <f t="shared" si="1"/>
        <v>0</v>
      </c>
      <c r="AC6" s="426">
        <f t="shared" si="1"/>
        <v>0</v>
      </c>
      <c r="AD6" s="262" t="s">
        <v>450</v>
      </c>
      <c r="AE6" s="419">
        <f t="shared" ref="AE6:CD6" si="2">SUM(AE7:AE29)</f>
        <v>0</v>
      </c>
      <c r="AF6" s="420">
        <f t="shared" si="2"/>
        <v>0</v>
      </c>
      <c r="AG6" s="419">
        <f t="shared" si="2"/>
        <v>0</v>
      </c>
      <c r="AH6" s="420">
        <f t="shared" si="2"/>
        <v>0</v>
      </c>
      <c r="AI6" s="421">
        <f t="shared" si="2"/>
        <v>0</v>
      </c>
      <c r="AJ6" s="421">
        <f t="shared" si="2"/>
        <v>0</v>
      </c>
      <c r="AK6" s="442"/>
      <c r="AL6" s="262" t="s">
        <v>450</v>
      </c>
      <c r="AM6" s="262" t="s">
        <v>450</v>
      </c>
      <c r="AN6" s="419">
        <f t="shared" si="2"/>
        <v>0</v>
      </c>
      <c r="AO6" s="420">
        <f t="shared" si="2"/>
        <v>0</v>
      </c>
      <c r="AP6" s="419">
        <f t="shared" si="2"/>
        <v>0</v>
      </c>
      <c r="AQ6" s="420">
        <f t="shared" si="2"/>
        <v>0</v>
      </c>
      <c r="AR6" s="419">
        <f t="shared" si="2"/>
        <v>0</v>
      </c>
      <c r="AS6" s="420">
        <f t="shared" si="2"/>
        <v>0</v>
      </c>
      <c r="AT6" s="421">
        <f t="shared" si="2"/>
        <v>0</v>
      </c>
      <c r="AU6" s="422">
        <f t="shared" si="2"/>
        <v>0</v>
      </c>
      <c r="AV6" s="419">
        <f t="shared" si="2"/>
        <v>1</v>
      </c>
      <c r="AW6" s="420">
        <f t="shared" si="2"/>
        <v>1</v>
      </c>
      <c r="AX6" s="421">
        <f t="shared" si="2"/>
        <v>1</v>
      </c>
      <c r="AY6" s="422">
        <f t="shared" si="2"/>
        <v>0</v>
      </c>
      <c r="AZ6" s="419">
        <f t="shared" si="2"/>
        <v>0</v>
      </c>
      <c r="BA6" s="420">
        <f t="shared" si="2"/>
        <v>0</v>
      </c>
      <c r="BB6" s="421">
        <f t="shared" si="2"/>
        <v>0</v>
      </c>
      <c r="BC6" s="419">
        <f t="shared" si="2"/>
        <v>0</v>
      </c>
      <c r="BD6" s="420">
        <f t="shared" si="2"/>
        <v>0</v>
      </c>
      <c r="BE6" s="421">
        <f t="shared" si="2"/>
        <v>0</v>
      </c>
      <c r="BF6" s="421">
        <f t="shared" si="2"/>
        <v>65</v>
      </c>
      <c r="BG6" s="422">
        <f t="shared" si="2"/>
        <v>0</v>
      </c>
      <c r="BH6" s="423">
        <f t="shared" si="2"/>
        <v>0</v>
      </c>
      <c r="BI6" s="424">
        <f t="shared" ca="1" si="2"/>
        <v>0</v>
      </c>
      <c r="BJ6" s="425">
        <f t="shared" si="2"/>
        <v>0</v>
      </c>
      <c r="BK6" s="426">
        <f t="shared" si="2"/>
        <v>0</v>
      </c>
      <c r="BL6" s="262" t="s">
        <v>450</v>
      </c>
      <c r="BM6" s="419">
        <f t="shared" si="2"/>
        <v>0</v>
      </c>
      <c r="BN6" s="419">
        <f t="shared" si="2"/>
        <v>0</v>
      </c>
      <c r="BO6" s="419">
        <f t="shared" si="2"/>
        <v>0</v>
      </c>
      <c r="BP6" s="419">
        <f t="shared" si="2"/>
        <v>0</v>
      </c>
      <c r="BQ6" s="419">
        <f t="shared" si="2"/>
        <v>0</v>
      </c>
      <c r="BR6" s="419">
        <f t="shared" si="2"/>
        <v>0</v>
      </c>
      <c r="BS6" s="446">
        <f t="shared" si="2"/>
        <v>0</v>
      </c>
      <c r="BT6" s="446">
        <f t="shared" si="2"/>
        <v>0</v>
      </c>
      <c r="BU6" s="446">
        <f t="shared" si="2"/>
        <v>0</v>
      </c>
      <c r="BV6" s="446">
        <f t="shared" si="2"/>
        <v>0</v>
      </c>
      <c r="BW6" s="446">
        <f t="shared" si="2"/>
        <v>0</v>
      </c>
      <c r="BX6" s="446">
        <f t="shared" si="2"/>
        <v>0</v>
      </c>
      <c r="BY6" s="421">
        <f t="shared" si="2"/>
        <v>0</v>
      </c>
      <c r="BZ6" s="421">
        <f t="shared" si="2"/>
        <v>0</v>
      </c>
      <c r="CA6" s="421">
        <f t="shared" si="2"/>
        <v>0</v>
      </c>
      <c r="CB6" s="421">
        <f t="shared" si="2"/>
        <v>0</v>
      </c>
      <c r="CC6" s="421">
        <f t="shared" si="2"/>
        <v>0</v>
      </c>
      <c r="CD6" s="421">
        <f t="shared" si="2"/>
        <v>0</v>
      </c>
      <c r="CF6" t="s">
        <v>454</v>
      </c>
      <c r="CI6" s="772"/>
      <c r="CJ6" s="454"/>
      <c r="CK6"/>
      <c r="CL6" t="s">
        <v>454</v>
      </c>
      <c r="CM6"/>
      <c r="CP6" s="772"/>
      <c r="CR6" t="s">
        <v>454</v>
      </c>
      <c r="CV6" s="772"/>
      <c r="CX6" t="s">
        <v>454</v>
      </c>
      <c r="DB6" s="772"/>
      <c r="DD6" t="s">
        <v>454</v>
      </c>
      <c r="DH6" s="772"/>
      <c r="DJ6" t="s">
        <v>454</v>
      </c>
      <c r="DN6" s="772"/>
      <c r="DP6" t="s">
        <v>454</v>
      </c>
      <c r="DS6" s="772"/>
      <c r="DU6" t="s">
        <v>454</v>
      </c>
      <c r="DX6" s="772"/>
      <c r="DZ6" t="s">
        <v>454</v>
      </c>
      <c r="EC6" s="772"/>
      <c r="EE6" t="s">
        <v>454</v>
      </c>
      <c r="EH6" s="772"/>
      <c r="EJ6" t="s">
        <v>454</v>
      </c>
      <c r="EM6" s="772"/>
      <c r="EO6" t="s">
        <v>372</v>
      </c>
      <c r="ES6" s="772">
        <v>1</v>
      </c>
      <c r="EU6" t="s">
        <v>454</v>
      </c>
      <c r="EY6" s="772"/>
      <c r="FA6" t="s">
        <v>454</v>
      </c>
      <c r="FE6" s="772"/>
      <c r="FG6" t="s">
        <v>454</v>
      </c>
      <c r="FK6" s="772"/>
      <c r="FM6" t="s">
        <v>454</v>
      </c>
      <c r="FQ6" s="772"/>
      <c r="FS6" t="s">
        <v>454</v>
      </c>
      <c r="FW6" s="772"/>
      <c r="FY6" t="s">
        <v>454</v>
      </c>
      <c r="GC6" s="772"/>
      <c r="GE6" t="s">
        <v>454</v>
      </c>
      <c r="GI6" s="772"/>
      <c r="GK6" t="s">
        <v>454</v>
      </c>
      <c r="GO6" s="772"/>
      <c r="GQ6" t="s">
        <v>454</v>
      </c>
      <c r="GT6" s="772"/>
      <c r="GU6" s="454"/>
      <c r="GV6"/>
      <c r="GW6" t="s">
        <v>454</v>
      </c>
      <c r="GX6"/>
      <c r="HA6" s="772"/>
      <c r="HC6" t="s">
        <v>454</v>
      </c>
      <c r="HG6" s="772"/>
      <c r="HI6" t="s">
        <v>454</v>
      </c>
      <c r="HM6" s="772"/>
      <c r="HO6" t="s">
        <v>454</v>
      </c>
      <c r="HS6" s="772"/>
      <c r="HU6" t="s">
        <v>454</v>
      </c>
      <c r="HY6" s="772"/>
      <c r="IA6" t="s">
        <v>454</v>
      </c>
      <c r="ID6" s="772"/>
      <c r="IF6" t="s">
        <v>454</v>
      </c>
      <c r="II6" s="772"/>
      <c r="IK6" t="s">
        <v>454</v>
      </c>
      <c r="IN6" s="772"/>
      <c r="IP6" t="s">
        <v>454</v>
      </c>
      <c r="IS6" s="772"/>
      <c r="IU6" t="s">
        <v>454</v>
      </c>
      <c r="IX6" s="772"/>
      <c r="IZ6" t="s">
        <v>372</v>
      </c>
      <c r="JD6" s="772">
        <v>1</v>
      </c>
      <c r="JF6" t="s">
        <v>454</v>
      </c>
      <c r="JJ6" s="772"/>
      <c r="JL6" t="s">
        <v>454</v>
      </c>
      <c r="JP6" s="772"/>
      <c r="JR6" t="s">
        <v>454</v>
      </c>
      <c r="JV6" s="772"/>
      <c r="JX6" t="s">
        <v>454</v>
      </c>
      <c r="KB6" s="772"/>
      <c r="KD6" t="s">
        <v>454</v>
      </c>
      <c r="KH6" s="772"/>
      <c r="KJ6" t="s">
        <v>454</v>
      </c>
      <c r="KN6" s="772"/>
      <c r="KP6" t="s">
        <v>454</v>
      </c>
      <c r="KT6" s="772"/>
      <c r="KV6" t="s">
        <v>454</v>
      </c>
      <c r="KZ6" s="772"/>
      <c r="LB6">
        <v>2041</v>
      </c>
      <c r="LC6" t="s">
        <v>372</v>
      </c>
      <c r="LF6" s="772">
        <v>6</v>
      </c>
      <c r="LG6" s="454">
        <v>38.132600000000004</v>
      </c>
      <c r="LH6"/>
      <c r="LI6" t="s">
        <v>472</v>
      </c>
      <c r="LJ6"/>
      <c r="LN6" s="772">
        <v>21</v>
      </c>
      <c r="LP6" t="s">
        <v>372</v>
      </c>
      <c r="LU6" s="772">
        <v>12</v>
      </c>
      <c r="LV6" t="s">
        <v>484</v>
      </c>
      <c r="LW6" t="s">
        <v>454</v>
      </c>
      <c r="MA6" s="772"/>
      <c r="MC6" t="s">
        <v>454</v>
      </c>
      <c r="MG6" s="772"/>
      <c r="MI6" t="s">
        <v>454</v>
      </c>
      <c r="MM6" s="772"/>
      <c r="MO6" t="s">
        <v>372</v>
      </c>
      <c r="MT6" s="772">
        <v>1</v>
      </c>
      <c r="MV6" t="s">
        <v>454</v>
      </c>
      <c r="NA6" s="772"/>
      <c r="NC6" t="s">
        <v>454</v>
      </c>
      <c r="NH6" s="772"/>
      <c r="NI6"/>
      <c r="NJ6" t="s">
        <v>454</v>
      </c>
      <c r="NK6"/>
      <c r="NM6" s="772"/>
      <c r="NO6" t="s">
        <v>454</v>
      </c>
      <c r="NS6" s="772"/>
      <c r="NU6" t="s">
        <v>454</v>
      </c>
      <c r="NY6" s="772"/>
      <c r="OA6" t="s">
        <v>454</v>
      </c>
      <c r="OE6" s="772"/>
      <c r="OG6" t="s">
        <v>454</v>
      </c>
      <c r="OK6" s="772"/>
      <c r="OM6" t="s">
        <v>454</v>
      </c>
      <c r="OQ6" s="772"/>
      <c r="OS6" t="s">
        <v>454</v>
      </c>
      <c r="OW6" s="772"/>
      <c r="OY6" t="s">
        <v>454</v>
      </c>
      <c r="PC6" s="772"/>
      <c r="PE6" t="s">
        <v>454</v>
      </c>
      <c r="PI6" s="772"/>
      <c r="PK6" t="s">
        <v>454</v>
      </c>
      <c r="PO6" s="772"/>
      <c r="PP6" s="454"/>
      <c r="PQ6"/>
      <c r="PR6" t="s">
        <v>454</v>
      </c>
      <c r="PS6"/>
      <c r="PW6" s="772"/>
      <c r="PY6" t="s">
        <v>454</v>
      </c>
      <c r="QD6" s="772"/>
      <c r="QF6" t="s">
        <v>454</v>
      </c>
      <c r="QJ6" s="772"/>
      <c r="QL6" t="s">
        <v>454</v>
      </c>
      <c r="QP6" s="772"/>
      <c r="QR6" t="s">
        <v>454</v>
      </c>
      <c r="QV6" s="772"/>
      <c r="QX6" t="s">
        <v>454</v>
      </c>
      <c r="RC6" s="772"/>
      <c r="RD6"/>
      <c r="RE6" t="s">
        <v>454</v>
      </c>
      <c r="RI6" s="772"/>
      <c r="RJ6" s="454"/>
      <c r="RK6"/>
      <c r="RL6" t="s">
        <v>454</v>
      </c>
      <c r="RM6"/>
      <c r="RQ6" s="772"/>
      <c r="RS6" t="s">
        <v>454</v>
      </c>
      <c r="RT6"/>
      <c r="RX6" s="772"/>
      <c r="RZ6" t="s">
        <v>454</v>
      </c>
      <c r="SD6" s="772"/>
      <c r="SE6" s="454"/>
      <c r="SF6"/>
      <c r="SG6" t="s">
        <v>454</v>
      </c>
      <c r="SH6"/>
      <c r="SL6" s="772"/>
      <c r="SM6"/>
      <c r="SN6" t="s">
        <v>454</v>
      </c>
      <c r="SO6"/>
      <c r="SR6" s="772"/>
      <c r="ST6" t="s">
        <v>454</v>
      </c>
      <c r="SW6" s="772"/>
      <c r="SX6" s="454"/>
      <c r="SY6"/>
      <c r="SZ6" t="s">
        <v>454</v>
      </c>
      <c r="TA6"/>
      <c r="TD6" s="772"/>
      <c r="TF6" t="s">
        <v>454</v>
      </c>
      <c r="TG6"/>
      <c r="TI6" s="772"/>
      <c r="TK6" t="s">
        <v>454</v>
      </c>
      <c r="TN6" s="772"/>
      <c r="TO6" s="454"/>
      <c r="TP6"/>
      <c r="TQ6" t="s">
        <v>454</v>
      </c>
      <c r="TR6"/>
      <c r="TU6" s="772"/>
      <c r="TV6"/>
      <c r="TW6" t="s">
        <v>454</v>
      </c>
      <c r="TX6"/>
      <c r="TZ6" s="772"/>
      <c r="UC6" t="s">
        <v>539</v>
      </c>
      <c r="UD6" t="s">
        <v>543</v>
      </c>
      <c r="UE6" t="s">
        <v>558</v>
      </c>
      <c r="UF6" t="s">
        <v>467</v>
      </c>
      <c r="UG6" t="s">
        <v>547</v>
      </c>
      <c r="UI6" s="459" t="s">
        <v>37</v>
      </c>
      <c r="UJ6" s="469" t="str">
        <f>UD6</f>
        <v>87400403</v>
      </c>
      <c r="UK6" s="469"/>
      <c r="UL6" s="469"/>
      <c r="UM6" s="469"/>
    </row>
    <row r="7" spans="1:559" x14ac:dyDescent="0.3">
      <c r="A7" s="262"/>
      <c r="B7" s="262"/>
      <c r="C7" s="262" t="s">
        <v>216</v>
      </c>
      <c r="D7" s="262" t="s">
        <v>371</v>
      </c>
      <c r="E7" s="412">
        <f t="shared" ref="E7:E29" si="3">SUM(IF(MOD(IFERROR(GETPIVOTDATA("TOTAL Length(dec ft)",$CF$5,"itm CID",2041,"Size(inch)",B7),0),21)=0,IFERROR(GETPIVOTDATA("TOTAL Length(dec ft)",$CF$5,"itm CID",2041,"Size(inch)",B7),0),ROUNDUP(IFERROR(GETPIVOTDATA("TOTAL Length(dec ft)",$CF$5,"itm CID",2041,"Size(inch)",B7),0)/21,0)*21),IF(MOD(IFERROR(GETPIVOTDATA("TOTAL Length(dec ft)",$CF$5,"itm CID",2041,"Size(inch)",A7),0),21)=0,IFERROR(GETPIVOTDATA("TOTAL Length(dec ft)",$CF$5,"itm CID",2041,"Size(inch)",A7),0),ROUNDUP(IFERROR(GETPIVOTDATA("TOTAL Length(dec ft)",$CF$5,"itm CID",2041,"Size(inch)",A7),0)/21,0)*21),IF(MOD(IFERROR(GETPIVOTDATA("TOTAL Length(dec ft)",$CF$5,"itm CID",2041,"Size(inch)",D7),0),21)=0,IFERROR(GETPIVOTDATA("TOTAL Length(dec ft)",$CF$5,"itm CID",2041,"Size(inch)",D7),0),ROUNDUP(IFERROR(GETPIVOTDATA("TOTAL Length(dec ft)",$CF$5,"itm CID",2041,"Size(inch)",D7),0)/21,0)*21),IF(MOD(IFERROR(GETPIVOTDATA("TOTAL Length(dec ft)",$CF$5,"itm CID",2041,"Size(inch)",C7),0),21)=0,IFERROR(GETPIVOTDATA("TOTAL Length(dec ft)",$CF$5,"itm CID",2041,"Size(inch)",C7),0),ROUNDUP(IFERROR(GETPIVOTDATA("TOTAL Length(dec ft)",$CF$5,"itm CID",2041,"Size(inch)",C7),0)/21,0)*21))</f>
        <v>0</v>
      </c>
      <c r="F7" s="413">
        <f t="shared" ref="F7:F29" si="4">SUM(IF(MOD(IFERROR(GETPIVOTDATA("TOTAL Length(dec ft)",$GQ$5,"itm CID",2041,"Size(inch)",B7),0),21)=0,IFERROR(GETPIVOTDATA("TOTAL Length(dec ft)",$GQ$5,"itm CID",2041,"Size(inch)",B7),0),ROUNDUP(IFERROR(GETPIVOTDATA("TOTAL Length(dec ft)",$GQ$5,"itm CID",2041,"Size(inch)",B7),0)/21,0)*21),IF(MOD(IFERROR(GETPIVOTDATA("TOTAL Length(dec ft)",$GQ$5,"itm CID",2041,"Size(inch)",A7),0),21)=0,IFERROR(GETPIVOTDATA("TOTAL Length(dec ft)",$GQ$5,"itm CID",2041,"Size(inch)",A7),0),ROUNDUP(IFERROR(GETPIVOTDATA("TOTAL Length(dec ft)",$GQ$5,"itm CID",2041,"Size(inch)",A7),0)/21,0)*21),IF(MOD(IFERROR(GETPIVOTDATA("TOTAL Length(dec ft)",$GQ$5,"itm CID",2041,"Size(inch)",D7),0),21)=0,IFERROR(GETPIVOTDATA("TOTAL Length(dec ft)",$GQ$5,"itm CID",2041,"Size(inch)",D7),0),ROUNDUP(IFERROR(GETPIVOTDATA("TOTAL Length(dec ft)",$GQ$5,"itm CID",2041,"Size(inch)",D7),0)/21,0)*21),IF(MOD(IFERROR(GETPIVOTDATA("TOTAL Length(dec ft)",$GQ$5,"itm CID",2041,"Size(inch)",C7),0),21)=0,IFERROR(GETPIVOTDATA("TOTAL Length(dec ft)",$GQ$5,"itm CID",2041,"Size(inch)",C7),0),ROUNDUP(IFERROR(GETPIVOTDATA("TOTAL Length(dec ft)",$GQ$5,"itm CID",2041,"Size(inch)",C7),0)/21,0)*21))</f>
        <v>0</v>
      </c>
      <c r="G7" s="148">
        <f t="shared" ref="G7:G29" si="5">SUM(IF(MOD(IFERROR(GETPIVOTDATA("TOTAL Length (dec ft)",$LB$5,"itm CID",2041,"Size (inch)",B7),0),20)=0,IFERROR(GETPIVOTDATA("TOTAL Length (dec ft)",$LB$5,"itm CID",2041,"Size (inch)",B7),0),ROUNDUP(IFERROR(GETPIVOTDATA("TOTAL Length (dec ft)",$LB$5,"itm CID",2041,"Size (inch)",B7),0)/20,0)*20), IF(MOD(IFERROR(GETPIVOTDATA("TOTAL Length (dec ft)",$LB$5,"itm CID",2041,"Size (inch)",A7),0),20)=0,IFERROR(GETPIVOTDATA("TOTAL Length (dec ft)",$LB$5,"itm CID",2041,"Size (inch)",A7),0),ROUNDUP(IFERROR(GETPIVOTDATA("TOTAL Length (dec ft)",$LB$5,"itm CID",2041,"Size (inch)",A7),0)/20,0)*20), IF(MOD(IFERROR(GETPIVOTDATA("TOTAL Length (dec ft)",$LB$5,"itm CID",2041,"Size (inch)",D7),0),20)=0,IFERROR(GETPIVOTDATA("TOTAL Length (dec ft)",$LB$5,"itm CID",2041,"Size (inch)",D7),0),ROUNDUP(IFERROR(GETPIVOTDATA("TOTAL Length (dec ft)",$LB$5,"itm CID",2041,"Size (inch)",D7),0)/20,0)*20), IF(MOD(IFERROR(GETPIVOTDATA("TOTAL Length (dec ft)",$LB$5,"itm CID",2041,"Size (inch)",C7),0),20)=0,IFERROR(GETPIVOTDATA("TOTAL Length (dec ft)",$LB$5,"itm CID",2041,"Size (inch)",C7),0),ROUNDUP(IFERROR(GETPIVOTDATA("TOTAL Length (dec ft)",$LB$5,"itm CID",2041,"Size (inch)",C7),0)/20,0)*20))</f>
        <v>0</v>
      </c>
      <c r="H7" s="414">
        <f t="shared" ref="H7:H29" si="6">SUM(IF(MOD(IFERROR(GETPIVOTDATA("TOTAL Length(dec ft)",$PK$5,"itm CID",2041,"Size(inch)",B7),0),20)=0,IFERROR(GETPIVOTDATA("TOTAL Length(dec ft)",$PK$5,"itm CID",2041,"Size(inch)",B7),0),ROUNDUP(IFERROR(GETPIVOTDATA("TOTAL Length(dec ft)",$PK$5,"itm CID",2041,"Size(inch)",B7),0)/20,0)*20),IF(MOD(IFERROR(GETPIVOTDATA("TOTAL Length(dec ft)",$PK$5,"itm CID",2041,"Size(inch)",A7),0),20)=0,IFERROR(GETPIVOTDATA("TOTAL Length(dec ft)",$PK$5,"itm CID",2041,"Size(inch)",A7),0),ROUNDUP(IFERROR(GETPIVOTDATA("TOTAL Length(dec ft)",$PK$5,"itm CID",2041,"Size(inch)",A7),0)/20,0)*20),IF(MOD(IFERROR(GETPIVOTDATA("TOTAL Length(dec ft)",$PK$5,"itm CID",2041,"Size(inch)",D7),0),20)=0,IFERROR(GETPIVOTDATA("TOTAL Length(dec ft)",$PK$5,"itm CID",2041,"Size(inch)",D7),0),ROUNDUP(IFERROR(GETPIVOTDATA("TOTAL Length(dec ft)",$PK$5,"itm CID",2041,"Size(inch)",D7),0)/20,0)*20),IF(MOD(IFERROR(GETPIVOTDATA("TOTAL Length(dec ft)",$PK$5,"itm CID",2041,"Size(inch)",C7),0),20)=0,IFERROR(GETPIVOTDATA("TOTAL Length(dec ft)",$PK$5,"itm CID",2041,"Size(inch)",C7),0),ROUNDUP(IFERROR(GETPIVOTDATA("TOTAL Length(dec ft)",$PK$5,"itm CID",2041,"Size(inch)",C7),0)/20,0)*20))</f>
        <v>0</v>
      </c>
      <c r="I7" s="415">
        <f t="shared" ref="I7:I29" si="7">SUM(IF(MOD(IFERROR(GETPIVOTDATA("TOTAL Length(dec ft)",$RE$5,"itm CID",2041,"Size(inch)",B7),0),10)=0,IFERROR(GETPIVOTDATA("TOTAL Length(dec ft)",$RE$5,"itm CID",2041,"Size(inch)",B7),0),ROUNDUP(IFERROR(GETPIVOTDATA("TOTAL Length(dec ft)",$RE$5,"itm CID",2041,"Size(inch)",B7),0)/10,0)*10),IF(MOD(IFERROR(GETPIVOTDATA("TOTAL Length(dec ft)",$RE$5,"itm CID",2041,"Size(inch)",A7),0),10)=0,IFERROR(GETPIVOTDATA("TOTAL Length(dec ft)",$RE$5,"itm CID",2041,"Size(inch)",A7),0),ROUNDUP(IFERROR(GETPIVOTDATA("TOTAL Length(dec ft)",$RE$5,"itm CID",2041,"Size(inch)",A7),0)/10,0)*10),IF(MOD(IFERROR(GETPIVOTDATA("TOTAL Length(dec ft)",$RE$5,"itm CID",2041,"Size(inch)",D7),0),10)=0,IFERROR(GETPIVOTDATA("TOTAL Length(dec ft)",$RE$5,"itm CID",2041,"Size(inch)",D7),0),ROUNDUP(IFERROR(GETPIVOTDATA("TOTAL Length(dec ft)",$RE$5,"itm CID",2041,"Size(inch)",D7),0)/10,0)*10),IF(MOD(IFERROR(GETPIVOTDATA("TOTAL Length(dec ft)",$RE$5,"itm CID",2041,"Size(inch)",C7),0),10)=0,IFERROR(GETPIVOTDATA("TOTAL Length(dec ft)",$RE$5,"itm CID",2041,"Size(inch)",C7),0),ROUNDUP(IFERROR(GETPIVOTDATA("TOTAL Length(dec ft)",$RE$5,"itm CID",2041,"Size(inch)",C7),0)/10,0)*10))</f>
        <v>0</v>
      </c>
      <c r="J7" s="416">
        <f t="shared" ref="J7:J29" si="8">SUM(IF(MOD(IFERROR(GETPIVOTDATA("TOTAL Length(dec ft)",$RZ$5,"itm CID",2041,"Size(inch)",B7),0),10)=0,IFERROR(GETPIVOTDATA("TOTAL Length(dec ft)",$RZ$5,"itm CID",2041,"Size(inch)",B7),0),ROUNDUP(IFERROR(GETPIVOTDATA("TOTAL Length(dec ft)",$RZ$5,"itm CID",2041,"Size(inch)",B7),0)/10,0)*10),IF(MOD(IFERROR(GETPIVOTDATA("TOTAL Length(dec ft)",$RZ$5,"itm CID",2041,"Size(inch)",A7),0),10)=0,IFERROR(GETPIVOTDATA("TOTAL Length(dec ft)",$RZ$5,"itm CID",2041,"Size(inch)",A7),0),ROUNDUP(IFERROR(GETPIVOTDATA("TOTAL Length(dec ft)",$RZ$5,"itm CID",2041,"Size(inch)",A7),0)/10,0)*10),IF(MOD(IFERROR(GETPIVOTDATA("TOTAL Length(dec ft)",$RZ$5,"itm CID",2041,"Size(inch)",D7),0),10)=0,IFERROR(GETPIVOTDATA("TOTAL Length(dec ft)",$RZ$5,"itm CID",2041,"Size(inch)",D7),0),ROUNDUP(IFERROR(GETPIVOTDATA("TOTAL Length(dec ft)",$RZ$5,"itm CID",2041,"Size(inch)",D7),0)/10,0)*10),IF(MOD(IFERROR(GETPIVOTDATA("TOTAL Length(dec ft)",$RZ$5,"itm CID",2041,"Size(inch)",C7),0),10)=0,IFERROR(GETPIVOTDATA("TOTAL Length(dec ft)",$RZ$5,"itm CID",2041,"Size(inch)",C7),0),ROUNDUP(IFERROR(GETPIVOTDATA("TOTAL Length(dec ft)",$RZ$5,"itm CID",2041,"Size(inch)",C7),0)/10,0)*10))</f>
        <v>0</v>
      </c>
      <c r="K7" s="417">
        <f t="shared" ref="K7:K29" si="9">SUM(IF(MOD(IFERROR(GETPIVOTDATA("TOTAL Length(dec ft)",$ST$5,"itm CID",2041,"Size(inch)",B7),0),20)=0,IFERROR(GETPIVOTDATA("TOTAL Length(dec ft)",$ST$5,"itm CID",2041,"Size(inch)",B7),0),ROUNDUP(IFERROR(GETPIVOTDATA("TOTAL Length(dec ft)",$ST$5,"itm CID",2041,"Size(inch)",B7),0)/20,0)*20),IF(MOD(IFERROR(GETPIVOTDATA("TOTAL Length(dec ft)",$ST$5,"itm CID",2041,"Size(inch)",A7),0),20)=0,IFERROR(GETPIVOTDATA("TOTAL Length(dec ft)",$ST$5,"itm CID",2041,"Size(inch)",A7),0),ROUNDUP(IFERROR(GETPIVOTDATA("TOTAL Length(dec ft)",$ST$5,"itm CID",2041,"Size(inch)",A7),0)/20,0)*20),IF(MOD(IFERROR(GETPIVOTDATA("TOTAL Length(dec ft)",$ST$5,"itm CID",2041,"Size(inch)",D7),0),20)=0,IFERROR(GETPIVOTDATA("TOTAL Length(dec ft)",$ST$5,"itm CID",2041,"Size(inch)",D7),0),ROUNDUP(IFERROR(GETPIVOTDATA("TOTAL Length(dec ft)",$ST$5,"itm CID",2041,"Size(inch)",D7),0)/20,0)*20),IF(MOD(IFERROR(GETPIVOTDATA("TOTAL Length(dec ft)",$ST$5,"itm CID",2041,"Size(inch)",C7),0),20)=0,IFERROR(GETPIVOTDATA("TOTAL Length(dec ft)",$ST$5,"itm CID",2041,"Size(inch)",C7),0),ROUNDUP(IFERROR(GETPIVOTDATA("TOTAL Length(dec ft)",$ST$5,"itm CID",2041,"Size(inch)",C7),0)/20,0)*20))</f>
        <v>0</v>
      </c>
      <c r="L7" s="418">
        <f t="shared" ref="L7:L29" si="10">SUM(IF(MOD(IFERROR(GETPIVOTDATA("TOTAL Length(dec ft)",$TK$5,"itm CID",2041,"Size(inch)",B7),0),20)=0,IFERROR(GETPIVOTDATA("TOTAL Length(dec ft)",$TK$5,"itm CID",2041,"Size(inch)",B7),0),ROUNDUP(IFERROR(GETPIVOTDATA("TOTAL Length(dec ft)",$TK$5,"itm CID",2041,"Size(inch)",B7),0)/20,0)*20),IF(MOD(IFERROR(GETPIVOTDATA("TOTAL Length(dec ft)",$TK$5,"itm CID",2041,"Size(inch)",A7),0),20)=0,IFERROR(GETPIVOTDATA("TOTAL Length(dec ft)",$TK$5,"itm CID",2041,"Size(inch)",A7),0),ROUNDUP(IFERROR(GETPIVOTDATA("TOTAL Length(dec ft)",$TK$5,"itm CID",2041,"Size(inch)",A7),0)/20,0)*20),IF(MOD(IFERROR(GETPIVOTDATA("TOTAL Length(dec ft)",$TK$5,"itm CID",2041,"Size(inch)",D7),0),20)=0,IFERROR(GETPIVOTDATA("TOTAL Length(dec ft)",$TK$5,"itm CID",2041,"Size(inch)",D7),0),ROUNDUP(IFERROR(GETPIVOTDATA("TOTAL Length(dec ft)",$TK$5,"itm CID",2041,"Size(inch)",D7),0)/20,0)*20),IF(MOD(IFERROR(GETPIVOTDATA("TOTAL Length(dec ft)",$TK$5,"itm CID",2041,"Size(inch)",C7),0),20)=0,IFERROR(GETPIVOTDATA("TOTAL Length(dec ft)",$TK$5,"itm CID",2041,"Size(inch)",C7),0),ROUNDUP(IFERROR(GETPIVOTDATA("TOTAL Length(dec ft)",$TK$5,"itm CID",2041,"Size(inch)",C7),0)/20,0)*20))</f>
        <v>0</v>
      </c>
      <c r="M7" s="419">
        <f t="shared" ref="M7:M29" si="11">SUM(IFERROR(GETPIVOTDATA("Quantity",$CL$5,"Inlet Diameter",B7),0),IFERROR(GETPIVOTDATA("Quantity",$CL$5,"Inlet Diameter",A7),0),IFERROR(GETPIVOTDATA("Quantity",$CL$5,"Inlet Diameter",D7),0),IFERROR(GETPIVOTDATA("Quantity",$CL$5,"Inlet Diameter",C7),0))</f>
        <v>0</v>
      </c>
      <c r="N7" s="420">
        <f t="shared" ref="N7:N29" si="12">SUM(IFERROR(GETPIVOTDATA("Quantity",$GW$5,"Inlet Diameter",B7),0), IFERROR(GETPIVOTDATA("Quantity",$GW$5,"Inlet Diameter",A7),0), IFERROR(GETPIVOTDATA("Quantity",$GW$5,"Inlet Diameter",D7),0), IFERROR(GETPIVOTDATA("Quantity",$GW$5,"Inlet Diameter",C7),0))</f>
        <v>0</v>
      </c>
      <c r="O7" s="421">
        <f t="shared" ref="O7:O29" si="13">SUM(IFERROR(GETPIVOTDATA("Quantity",$LI$5,"Inlet Diameter",B7),0),IFERROR(GETPIVOTDATA("Quantity",$LI$5,"Inlet Diameter",A7),0),IFERROR(GETPIVOTDATA("Quantity",$LI$5,"Inlet Diameter",D7),0),IFERROR(GETPIVOTDATA("Quantity",$LI$5,"Inlet Diameter",C7),0))</f>
        <v>0</v>
      </c>
      <c r="P7" s="422">
        <f t="shared" ref="P7:P29" si="14">SUM(IFERROR(GETPIVOTDATA("Quantity",$PR$5,"Inlet Diameter",B7),0),IFERROR(GETPIVOTDATA("Quantity",$PR$5,"Inlet Diameter",A7),0),IFERROR(GETPIVOTDATA("Quantity",$PR$5,"Inlet Diameter",D7),0),IFERROR(GETPIVOTDATA("Quantity",$PR$5,"Inlet Diameter",C7),0))</f>
        <v>0</v>
      </c>
      <c r="Q7" s="423">
        <f t="shared" ref="Q7:Q29" si="15">SUM(IFERROR(GETPIVOTDATA("Quantity",$RL$5,"Inlet Diameter",B7),0),IFERROR(GETPIVOTDATA("Quantity",$RL$5,"Inlet Diameter",A7),0),IFERROR(GETPIVOTDATA("Quantity",$RL$5,"Inlet Diameter",D7),0),IFERROR(GETPIVOTDATA("Quantity",$RL$5,"Inlet Diameter",C7),0))</f>
        <v>0</v>
      </c>
      <c r="R7" s="424">
        <f t="shared" ref="R7:R29" si="16">SUM(IFERROR(GETPIVOTDATA("Quantity",$SG$5,"Inlet Diameter",B7),0),IFERROR(GETPIVOTDATA("Quantity",$SG$5,"Inlet Diameter",A7),0),IFERROR(GETPIVOTDATA("Quantity",$SG$5,"Inlet Diameter",D7),0),IFERROR(GETPIVOTDATA("Quantity",$SG$5,"Inlet Diameter",C7),0))</f>
        <v>0</v>
      </c>
      <c r="S7" s="425">
        <f t="shared" ref="S7:S29" si="17">SUM(IFERROR(GETPIVOTDATA("Quantity",$SZ$5,"Inlet Diameter",B7),0),IFERROR(GETPIVOTDATA("Quantity",$SZ$5,"Inlet Diameter",A7),0),IFERROR(GETPIVOTDATA("Quantity",$SZ$5,"Inlet Diameter",D7),0),IFERROR(GETPIVOTDATA("Quantity",$SZ$5,"Inlet Diameter",C7),0))</f>
        <v>0</v>
      </c>
      <c r="T7" s="426">
        <f t="shared" ref="T7:T29" si="18">SUM(IFERROR(GETPIVOTDATA("Quantity",$TQ$5,"Inlet Diameter",B7),0),IFERROR(GETPIVOTDATA("Quantity",$TQ$5,"Inlet Diameter",A7),0),IFERROR(GETPIVOTDATA("Quantity",$TQ$5,"Inlet Diameter",D7),0),IFERROR(GETPIVOTDATA("Quantity",$TQ$5,"Inlet Diameter",C7),0))</f>
        <v>0</v>
      </c>
      <c r="U7" s="427" t="s">
        <v>371</v>
      </c>
      <c r="V7" s="419">
        <f t="shared" ref="V7:V29" si="19">SUM(IFERROR(GETPIVOTDATA("QTY",$CF$5,"itm CID",2041,"Size (inch)",B7),0),IFERROR(GETPIVOTDATA("QTY",$CF$5,"itm CID",2041,"Size (inch)",A7),0),IFERROR(GETPIVOTDATA("QTY",$CF$5,"itm CID",2041,"Size (inch)",D7),0),IFERROR(GETPIVOTDATA("QTY",$CF$5,"itm CID",2041,"Size (inch)",C7),0))</f>
        <v>0</v>
      </c>
      <c r="W7" s="420">
        <f t="shared" ref="W7:W29" si="20">SUM(IFERROR(GETPIVOTDATA("QTY",$GQ$5,"itm CID",2041,"Size (inch)",B7),0),IFERROR(GETPIVOTDATA("QTY",$GQ$5,"itm CID",2041,"Size (inch)",A7),0),IFERROR(GETPIVOTDATA("QTY",$GQ$5,"itm CID",2041,"Size (inch)",D7),0),IFERROR(GETPIVOTDATA("QTY",$GQ$5,"itm CID",2041,"Size (inch)",C7),0))</f>
        <v>0</v>
      </c>
      <c r="X7" s="421">
        <f t="shared" ref="X7:X29" si="21">SUM(IFERROR(GETPIVOTDATA("QTY",$LB$5,"itm CID",2041,"Size (inch)",B7),0),IFERROR(GETPIVOTDATA("QTY",$LB$5,"itm CID",2041,"Size (inch)",A7),0),IFERROR(GETPIVOTDATA("QTY",$LB$5,"itm CID",2041,"Size (inch)",D7),0),IFERROR(GETPIVOTDATA("QTY",$LB$5,"itm CID",2041,"Size (inch)",C7),0))</f>
        <v>0</v>
      </c>
      <c r="Y7" s="422">
        <f t="shared" ref="Y7:Y29" si="22">SUM(IFERROR(GETPIVOTDATA("QTY",$PK$5,"itm CID",2041,"Size (inch)",B7),0),IFERROR(GETPIVOTDATA("QTY",$PK$5,"itm CID",2041,"Size (inch)",A7),0),IFERROR(GETPIVOTDATA("QTY",$PK$5,"itm CID",2041,"Size (inch)",D7),0),IFERROR(GETPIVOTDATA("QTY",$PK$5,"itm CID",2041,"Size (inch)",C7),0))</f>
        <v>0</v>
      </c>
      <c r="Z7" s="423">
        <f t="shared" ref="Z7:Z29" si="23">SUM(IFERROR(GETPIVOTDATA("QTY",$RE$5,"itm CID",2041,"Size (inch)",B7),0),IFERROR(GETPIVOTDATA("QTY",$RE$5,"itm CID",2041,"Size (inch)",A7),0),IFERROR(GETPIVOTDATA("QTY",$RE$5,"itm CID",2041,"Size (inch)",D7),0),IFERROR(GETPIVOTDATA("QTY",$RE$5,"itm CID",2041,"Size (inch)",C7),0))</f>
        <v>0</v>
      </c>
      <c r="AA7" s="424">
        <f t="shared" ref="AA7:AA29" si="24">SUM(IFERROR(GETPIVOTDATA("QTY",$RZ$5,"itm CID",2041,"Size (inch)",B7),0),IFERROR(GETPIVOTDATA("QTY",$RZ$5,"itm CID",2041,"Size (inch)",A7),0),IFERROR(GETPIVOTDATA("QTY",$RZ$5,"itm CID",2041,"Size (inch)",D7),0),IFERROR(GETPIVOTDATA("QTY",$RZ$5,"itm CID",2041,"Size (inch)",C7),0))</f>
        <v>0</v>
      </c>
      <c r="AB7" s="425">
        <f t="shared" ref="AB7:AB29" si="25">SUM(IFERROR(GETPIVOTDATA("QTY",$ST$5,"itm CID",2041,"Size (inch)",B7),0),IFERROR(GETPIVOTDATA("QTY",$ST$5,"itm CID",2041,"Size (inch)",A7),0),IFERROR(GETPIVOTDATA("QTY",$ST$5,"itm CID",2041,"Size (inch)",D7),0),IFERROR(GETPIVOTDATA("QTY",$ST$5,"itm CID",2041,"Size (inch)",C7),0))</f>
        <v>0</v>
      </c>
      <c r="AC7" s="426">
        <f t="shared" ref="AC7:AC29" si="26">SUM(IFERROR(GETPIVOTDATA("QTY",$TK$5,"itm CID",2041,"Size (inch)",B7),0),IFERROR(GETPIVOTDATA("QTY",$TK$5,"itm CID",2041,"Size (inch)",A7),0),IFERROR(GETPIVOTDATA("QTY",$TK$5,"itm CID",2041,"Size (inch)",D7),0),IFERROR(GETPIVOTDATA("QTY",$TK$5,"itm CID",2041,"Size (inch)",C7),0))</f>
        <v>0</v>
      </c>
      <c r="AD7" s="427" t="s">
        <v>371</v>
      </c>
      <c r="AE7" s="419">
        <f t="shared" ref="AE7:AE29" si="27">SUM(IFERROR(GETPIVOTDATA("QTY",$CR$5,"itm CID",2041,"Size (inch)",B7),0),IFERROR(GETPIVOTDATA("QTY",$CR$5,"itm CID",2041,"Size (inch)",A7),0),IFERROR(GETPIVOTDATA("QTY",$CR$5,"itm CID",2041,"Size (inch)",D7),0),IFERROR(GETPIVOTDATA("QTY",$CR$5,"itm CID",2041,"Size (inch)",C7),0),IFERROR(GETPIVOTDATA("QTY",$CX$5,"itm CID",2041,"Size (inch)",B7),0),IFERROR(GETPIVOTDATA("QTY",$CX$5,"itm CID",2041,"Size (inch)",A7),0),IFERROR(GETPIVOTDATA("QTY",$CX$5,"itm CID",2041,"Size (inch)",D7),0),IFERROR(GETPIVOTDATA("QTY",$CX$5,"itm CID",2041,"Size (inch)",C7),0))</f>
        <v>0</v>
      </c>
      <c r="AF7" s="420">
        <f t="shared" ref="AF7:AF29" si="28">SUM(IFERROR(GETPIVOTDATA("QTY",$HC$5,"itm CID",2041,"Size (inch)",B7),0),IFERROR(GETPIVOTDATA("QTY",$HC$5,"itm CID",2041,"Size (inch)",A7),0),IFERROR(GETPIVOTDATA("QTY",$HC$5,"itm CID",2041,"Size (inch)",D7),0),IFERROR(GETPIVOTDATA("QTY",$HC$5,"itm CID",2041,"Size (inch)",C7),0),IFERROR(GETPIVOTDATA("QTY",$HI$5,"itm CID",2041,"Size (inch)",B7),0),IFERROR(GETPIVOTDATA("QTY",$HI$5,"itm CID",2041,"Size (inch)",A7),0),IFERROR(GETPIVOTDATA("QTY",$HI$5,"itm CID",2041,"Size (inch)",D7),0),IFERROR(GETPIVOTDATA("QTY",$HI$5,"itm CID",2041,"Size (inch)",C7),0))</f>
        <v>0</v>
      </c>
      <c r="AG7" s="419">
        <f t="shared" ref="AG7:AG29" si="29">SUM(IFERROR(GETPIVOTDATA("QTY",$DD$5,"itm CID",2041,"Size (inch)",B7),0),IFERROR(GETPIVOTDATA("QTY",$DD$5,"itm CID",2041,"Size (inch)",A7),0),IFERROR(GETPIVOTDATA("QTY",$DD$5,"itm CID",2041,"Size (inch)",D7),0),IFERROR(GETPIVOTDATA("QTY",$DD$5,"itm CID",2041,"Size (inch)",C7),0),IFERROR(GETPIVOTDATA("QTY",$DJ$5,"itm CID",2041,"Size (inch)",B7),0),IFERROR(GETPIVOTDATA("QTY",$DJ$5,"itm CID",2041,"Size (inch)",A7),0),IFERROR(GETPIVOTDATA("QTY",$DJ$5,"itm CID",2041,"Size (inch)",D7),0),IFERROR(GETPIVOTDATA("QTY",$DJ$5,"itm CID",2041,"Size (inch)",C7),0))</f>
        <v>0</v>
      </c>
      <c r="AH7" s="420">
        <f t="shared" ref="AH7:AH29" si="30">SUM(IFERROR(GETPIVOTDATA("QTY",$HO$5,"itm CID",2041,"Size (inch)",B7),0),IFERROR(GETPIVOTDATA("QTY",$HO$5,"itm CID",2041,"Size (inch)",A7),0),IFERROR(GETPIVOTDATA("QTY",$HO$5,"itm CID",2041,"Size (inch)",D7),0),IFERROR(GETPIVOTDATA("QTY",$HO$5,"itm CID",2041,"Size (inch)",C7),0),IFERROR(GETPIVOTDATA("QTY",$HU$5,"itm CID",2041,"Size (inch)",B7),0),IFERROR(GETPIVOTDATA("QTY",$HU$5,"itm CID",2041,"Size (inch)",A7),0),IFERROR(GETPIVOTDATA("QTY",$HU$5,"itm CID",2041,"Size (inch)",D7),0),IFERROR(GETPIVOTDATA("QTY",$HU$5,"itm CID",2041,"Size (inch)",C7),0))</f>
        <v>0</v>
      </c>
      <c r="AI7" s="421">
        <f t="shared" ref="AI7:AI29" si="31">SUM(IFERROR(GETPIVOTDATA("QTY",$NO$5,"Size (inch)",B7),0),IFERROR(GETPIVOTDATA("QTY",$NO$5,"Size (inch)",A7),0),IFERROR(GETPIVOTDATA("QTY",$NO$5,"Size (inch)",D7),0),IFERROR(GETPIVOTDATA("QTY",$NO$5,"Size (inch)",C7),0))</f>
        <v>0</v>
      </c>
      <c r="AJ7" s="421">
        <f>IFERROR(GETPIVOTDATA("Quantity",$NJ$5,"Size Outlets",AL7),0)</f>
        <v>0</v>
      </c>
      <c r="AK7" s="442"/>
      <c r="AL7" s="427" t="s">
        <v>426</v>
      </c>
      <c r="AM7" s="427" t="s">
        <v>371</v>
      </c>
      <c r="AN7" s="419">
        <f t="shared" ref="AN7:AN29" si="32">SUM(IFERROR(GETPIVOTDATA("Quantity",$DP$5,"Size (inch)",A7),0),IFERROR(GETPIVOTDATA("Quantity",$DP$5,"Size (inch)",B7),0),IFERROR(GETPIVOTDATA("Quantity",$DP$5,"Size (inch)",C7),0),IFERROR(GETPIVOTDATA("Quantity",$DP$5,"Size (inch)",D7),0))</f>
        <v>0</v>
      </c>
      <c r="AO7" s="420">
        <f t="shared" ref="AO7:AO29" si="33">SUM(IFERROR(GETPIVOTDATA("Quantity",$IA$5,"Size (inch)",A7),0),IFERROR(GETPIVOTDATA("Quantity",$IA$5,"Size (inch)",B7),0),IFERROR(GETPIVOTDATA("Quantity",$IA$5,"Size (inch)",C7),0),IFERROR(GETPIVOTDATA("Quantity",$IA$5,"Size (inch)",D7),0))</f>
        <v>0</v>
      </c>
      <c r="AP7" s="419">
        <f>SUM(IFERROR(GETPIVOTDATA("Quantity",$DU$5,"Size Outlets",AL7),0),IFERROR(GETPIVOTDATA("Quantity",$DU$5,"Size Outlets",AM7),0),IFERROR(GETPIVOTDATA("Quantity",$DU$5,"Size Outlets",AN7),0),IFERROR(GETPIVOTDATA("Quantity",$DU$5,"Size Outlets",AO7),0))</f>
        <v>0</v>
      </c>
      <c r="AQ7" s="420">
        <f>SUM(IFERROR(GETPIVOTDATA("Quantity",$IF$5,"Size Outlets",AL7),0),IFERROR(GETPIVOTDATA("Quantity",$IF$5,"Size Outlets",AM7),0),IFERROR(GETPIVOTDATA("Quantity",$IF$5,"Size Outlets",AN7),0),IFERROR(GETPIVOTDATA("Quantity",$IF$5,"Size Outlets",AO7),0))</f>
        <v>0</v>
      </c>
      <c r="AR7" s="419">
        <f t="shared" ref="AR7:AR29" si="34">SUM(IFERROR(GETPIVOTDATA("Quantity",$DZ$5,"Size (inch)",A7),0),IFERROR(GETPIVOTDATA("Quantity",$DZ$5,"Size (inch)",B7),0),IFERROR(GETPIVOTDATA("Quantity",$DZ$5,"Size (inch)",C7),0),IFERROR(GETPIVOTDATA("Quantity",$DZ$5,"Size (inch)",D7),0),IFERROR(GETPIVOTDATA("Quantity",$EE$5,"Size (inch)",A7),0),IFERROR(GETPIVOTDATA("Quantity",$EE$5,"Size (inch)",B7),0),IFERROR(GETPIVOTDATA("Quantity",$EE$5,"Size (inch)",C7),0),IFERROR(GETPIVOTDATA("Quantity",$EE$5,"Size (inch)",D7),0),IFERROR(GETPIVOTDATA("Quantity",$EJ$5,"Size (inch)",A7),0),IFERROR(GETPIVOTDATA("Quantity",$EJ$5,"Size (inch)",B7),0),IFERROR(GETPIVOTDATA("Quantity",$EJ$5,"Size (inch)",C7),0),IFERROR(GETPIVOTDATA("Quantity",$EJ$5,"Size (inch)",D7),0))</f>
        <v>0</v>
      </c>
      <c r="AS7" s="420">
        <f t="shared" ref="AS7:AS29" si="35">SUM(IFERROR(GETPIVOTDATA("Quantity",$IK$5,"Size (inch)",A7),0),IFERROR(GETPIVOTDATA("Quantity",$IK$5,"Size (inch)",B7),0),IFERROR(GETPIVOTDATA("Quantity",$IK$5,"Size (inch)",C7),0),IFERROR(GETPIVOTDATA("Quantity",$IK$5,"Size (inch)",D7),0),IFERROR(GETPIVOTDATA("Quantity",$IP$5,"Size (inch)",A7),0),IFERROR(GETPIVOTDATA("Quantity",$IP$5,"Size (inch)",B7),0),IFERROR(GETPIVOTDATA("Quantity",$IP$5,"Size (inch)",C7),0),IFERROR(GETPIVOTDATA("Quantity",$IP$5,"Size (inch)",D7),0),IFERROR(GETPIVOTDATA("Quantity",$IU$5,"Size (inch)",A7),0),IFERROR(GETPIVOTDATA("Quantity",$IU$5,"Size (inch)",B7),0),IFERROR(GETPIVOTDATA("Quantity",$IU$5,"Size (inch)",C7),0),IFERROR(GETPIVOTDATA("Quantity",$IU$5,"Size (inch)",D7),0))</f>
        <v>0</v>
      </c>
      <c r="AT7" s="421">
        <f t="shared" ref="AT7:AT29" si="36">SUM(IFERROR(GETPIVOTDATA("Quantity",$LW$5,"Size (inch)",A7),0),IFERROR(GETPIVOTDATA("Quantity",$LW$5,"Size (inch)",B7),0),IFERROR(GETPIVOTDATA("Quantity",$LW$5,"Size (inch)",C7),0),IFERROR(GETPIVOTDATA("Quantity",$LW$5,"Size (inch)",D7),0),IFERROR(GETPIVOTDATA("Quantity",$MC$5,"Size (inch)",A7),0),IFERROR(GETPIVOTDATA("Quantity",$MC$5,"Size (inch)",B7),0),IFERROR(GETPIVOTDATA("Quantity",$MC$5,"Size (inch)",C7),0),IFERROR(GETPIVOTDATA("Quantity",$MC$5,"Size (inch)",D7),0),IFERROR(GETPIVOTDATA("Quantity",$MI$5,"Size (inch)",A7),0),IFERROR(GETPIVOTDATA("Quantity",$MI$5,"Size (inch)",B7),0),IFERROR(GETPIVOTDATA("Quantity",$MI$5,"Size (inch)",C7),0),IFERROR(GETPIVOTDATA("Quantity",$MI$5,"Size (inch)",D7),0))</f>
        <v>0</v>
      </c>
      <c r="AU7" s="422">
        <f t="shared" ref="AU7:AU29" si="37">SUM(IFERROR(GETPIVOTDATA("Quantity",$QF$5,"Size (inch)",A7),0),IFERROR(GETPIVOTDATA("Quantity",$QF$5,"Size (inch)",B7),0),IFERROR(GETPIVOTDATA("Quantity",$QF$5,"Size (inch)",C7),0),IFERROR(GETPIVOTDATA("Quantity",$QF$5,"Size (inch)",D7),0),IFERROR(GETPIVOTDATA("Quantity",$QL$5,"Size (inch)",A7),0),IFERROR(GETPIVOTDATA("Quantity",$QL$5,"Size (inch)",B7),0),IFERROR(GETPIVOTDATA("Quantity",$QL$5,"Size (inch)",C7),0),IFERROR(GETPIVOTDATA("Quantity",$QL$5,"Size (inch)",D7),0),IFERROR(GETPIVOTDATA("Quantity",$QR$5,"Size (inch)",A7),0),IFERROR(GETPIVOTDATA("Quantity",$QR$5,"Size (inch)",B7),0),IFERROR(GETPIVOTDATA("Quantity",$QR$5,"Size (inch)",C7),0),IFERROR(GETPIVOTDATA("Quantity",$QR$5,"Size (inch)",D7),0))</f>
        <v>0</v>
      </c>
      <c r="AV7" s="419">
        <f t="shared" ref="AV7:AV29" si="38">SUM(IFERROR(GETPIVOTDATA("Quantity",$EO$5,"Size (inch)",A7),0),IFERROR(GETPIVOTDATA("Quantity",$EO$5,"Size (inch)",B7),0),IFERROR(GETPIVOTDATA("Quantity",$EO$5,"Size (inch)",C7),0),IFERROR(GETPIVOTDATA("Quantity",$EO$5,"Size (inch)",D7),0))</f>
        <v>0</v>
      </c>
      <c r="AW7" s="420">
        <f t="shared" ref="AW7:AW29" si="39">SUM(IFERROR(GETPIVOTDATA("Quantity",$IZ$5,"Size (inch)",A7),0),IFERROR(GETPIVOTDATA("Quantity",$IZ$5,"Size (inch)",B7),0),IFERROR(GETPIVOTDATA("Quantity",$IZ$5,"Size (inch)",C7),0),IFERROR(GETPIVOTDATA("Quantity",$IZ$5,"Size (inch)",D7),0))</f>
        <v>0</v>
      </c>
      <c r="AX7" s="421">
        <f t="shared" ref="AX7:AX29" si="40">SUM(IFERROR(GETPIVOTDATA("Quantity",$MP$5,"Size (inch)",A7),0),IFERROR(GETPIVOTDATA("Quantity",$MP$5,"Size (inch)",B7),0),IFERROR(GETPIVOTDATA("Quantity",$MP$5,"Size (inch)",C7),0),IFERROR(GETPIVOTDATA("Quantity",$MP$5,"Size (inch)",D7),0))</f>
        <v>0</v>
      </c>
      <c r="AY7" s="422">
        <f t="shared" ref="AY7:AY29" si="41">SUM(IFERROR(GETPIVOTDATA("Quantity",$QX$5,"Size (inch)",A7),0),IFERROR(GETPIVOTDATA("Quantity",$QX$5,"Size (inch)",B7),0),IFERROR(GETPIVOTDATA("Quantity",$QX$5,"Size (inch)",C7),0),IFERROR(GETPIVOTDATA("Quantity",$QX$5,"Size (inch)",D7),0))</f>
        <v>0</v>
      </c>
      <c r="AZ7" s="419">
        <f t="shared" ref="AZ7:AZ29" si="42">SUM(IFERROR(GETPIVOTDATA("Quantity",$EU$5,"Size (inch)",A7),0),IFERROR(GETPIVOTDATA("Quantity",$EU$5,"Size (inch)",B7),0),IFERROR(GETPIVOTDATA("Quantity",$EU$5,"Size (inch)",C7),0),IFERROR(GETPIVOTDATA("Quantity",$EU$5,"Size (inch)",D7),0))</f>
        <v>0</v>
      </c>
      <c r="BA7" s="420">
        <f t="shared" ref="BA7:BA29" si="43">SUM(IFERROR(GETPIVOTDATA("Quantity",$JF$5,"Size (inch)",A7),0),IFERROR(GETPIVOTDATA("Quantity",$JF$5,"Size (inch)",B7),0),IFERROR(GETPIVOTDATA("Quantity",$JF$5,"Size (inch)",C7),0),IFERROR(GETPIVOTDATA("Quantity",$JF$5,"Size (inch)",D7),0))</f>
        <v>0</v>
      </c>
      <c r="BB7" s="421">
        <f t="shared" ref="BB7:BB29" si="44">SUM(IFERROR(GETPIVOTDATA("Quantity",$MW$5,"Size (inch)",A7),0),IFERROR(GETPIVOTDATA("Quantity",$MW$5,"Size (inch)",B7),0),IFERROR(GETPIVOTDATA("Quantity",$MW$5,"Size (inch)",C7),0),IFERROR(GETPIVOTDATA("Quantity",$MW$5,"Size (inch)",D7),0))</f>
        <v>0</v>
      </c>
      <c r="BC7" s="419">
        <f t="shared" ref="BC7:BC29" si="45">SUM(IFERROR(GETPIVOTDATA("QTY",$FA$5,"Size (inch)",A7),0),IFERROR(GETPIVOTDATA("QTY",$FA$5,"Size (inch)",B7),0),IFERROR(GETPIVOTDATA("QTY",$FA$5,"Size (inch)",C7),0),IFERROR(GETPIVOTDATA("QTY",$FA$5,"Size (inch)",D7),0))</f>
        <v>0</v>
      </c>
      <c r="BD7" s="420">
        <f t="shared" ref="BD7:BD29" si="46">SUM(IFERROR(GETPIVOTDATA("QTY",$JL$5,"Size (inch)",A7),0),IFERROR(GETPIVOTDATA("QTY",$JL$5,"Size (inch)",B7),0),IFERROR(GETPIVOTDATA("QTY",$JL$5,"Size (inch)",C7),0),IFERROR(GETPIVOTDATA("QTY",$JL$5,"Size (inch)",D7),0))</f>
        <v>0</v>
      </c>
      <c r="BE7" s="421">
        <f t="shared" ref="BE7:BE29" si="47">SUM(IFERROR(GETPIVOTDATA("QTY",$NC$5,"Size (inch)",A7),0),IFERROR(GETPIVOTDATA("QTY",$NC$5,"Size (inch)",B7),0),IFERROR(GETPIVOTDATA("QTY",$NC$5,"Size (inch)",C7),0),IFERROR(GETPIVOTDATA("QTY",$NC$5,"Size (inch)",D7),0))</f>
        <v>0</v>
      </c>
      <c r="BF7" s="421">
        <f t="shared" ref="BF7:BF29" si="48">SUM(IFERROR(GETPIVOTDATA("QTY",$LP$5,"Size (inch)",A7),0),IFERROR(GETPIVOTDATA("QTY",$LP$5,"Size (inch)",B7),0),IFERROR(GETPIVOTDATA("QTY",$LP$5,"Size (inch)",C7),0),IFERROR(GETPIVOTDATA("QTY",$LP$5,"Size (inch)",D7),0))</f>
        <v>0</v>
      </c>
      <c r="BG7" s="422">
        <f t="shared" ref="BG7:BG29" si="49">SUM(IFERROR(GETPIVOTDATA("QTY",$PY$5,"Size (inch)",A7),0),IFERROR(GETPIVOTDATA("QTY",$PY$5,"Size (inch)",B7),0),IFERROR(GETPIVOTDATA("QTY",$PY$5,"Size (inch)",C7),0),IFERROR(GETPIVOTDATA("QTY",$PY$5,"Size (inch)",D7),0))</f>
        <v>0</v>
      </c>
      <c r="BH7" s="423">
        <f t="shared" ref="BH7:BH29" si="50">SUM(IFERROR(GETPIVOTDATA("QTY",$RS$5,"Size (inch)",A7),0),IFERROR(GETPIVOTDATA("QTY",$RS$5,"Size (inch)",B7),0),IFERROR(GETPIVOTDATA("QTY",$RS$5,"Size (inch)",C7),0),IFERROR(GETPIVOTDATA("QTY",$RS$5,"Size (inch)",D7),0))</f>
        <v>0</v>
      </c>
      <c r="BI7" s="424" cm="1">
        <f t="array" aca="1" ref="BI7" ca="1">SUM(IFERROR(GETPIVOTDATA("QTY",$SN$5,"Size (inch)",A7),0),IFERROR(GETPIVOTDATA("QTY",$SN$5,"Size (inch)",B7),0),IFERROR(GETPIVOTDATA("QTY",$SN$5,"Size (inch)",C7),0),IFERROR(GETPIVPOTDATA("QTY",$SN$5,"Size (inch)",D7),0))</f>
        <v>0</v>
      </c>
      <c r="BJ7" s="425">
        <f t="shared" ref="BJ7:BJ29" si="51">SUM(IFERROR(GETPIVOTDATA("QTY",$TF$5,"Size (inch)",A7),0),IFERROR(GETPIVOTDATA("QTY",$TF$5,"Size (inch)",B7),0),IFERROR(GETPIVOTDATA("QTY",$TF$5,"Size (inch)",C7),0),IFERROR(GETPIVOTDATA("QTY",$TF$5,"Size (inch)",D7),0))</f>
        <v>0</v>
      </c>
      <c r="BK7" s="426">
        <f t="shared" ref="BK7:BK29" si="52">SUM(IFERROR(GETPIVOTDATA("QTY",$TW$5,"Size (inch)",A7),0),IFERROR(GETPIVOTDATA("QTY",$TW$5,"Size (inch)",B7),0),IFERROR(GETPIVOTDATA("QTY",$TW$5,"Size (inch)",C7),0),IFERROR(GETPIVOTDATA("QTY",$TW$5,"Size (inch)",D7),0))</f>
        <v>0</v>
      </c>
      <c r="BL7" s="427" t="s">
        <v>371</v>
      </c>
      <c r="BM7" s="419">
        <f t="shared" ref="BM7:BM29" si="53">SUM(IFERROR(GETPIVOTDATA("QTY",$FG$5,"Size (inch)",A7),0),IFERROR(GETPIVOTDATA("QTY",$FG$5,"Size (inch)",B7),0),IFERROR(GETPIVOTDATA("QTY",$FG$5,"Size (inch)",C7),0),IFERROR(GETPIVOTDATA("QTY",$FG$5,"Size (inch)",D7),0))</f>
        <v>0</v>
      </c>
      <c r="BN7" s="419">
        <f t="shared" ref="BN7:BN29" si="54">SUM(IFERROR(GETPIVOTDATA("QTY",$FM$5,"Size (inch)",A7),0),IFERROR(GETPIVOTDATA("QTY",$FM$5,"Size (inch)",B7),0),IFERROR(GETPIVOTDATA("QTY",$FM$5,"Size (inch)",C7),0),IFERROR(GETPIVOTDATA("QTY",$FM$5,"Size (inch)",D7),0))</f>
        <v>0</v>
      </c>
      <c r="BO7" s="419">
        <f t="shared" ref="BO7:BO29" si="55">SUM(IFERROR(GETPIVOTDATA("QTY",$FS$5,"Size (inch)",A7),0),IFERROR(GETPIVOTDATA("QTY",$FS$5,"Size (inch)",B7),0),IFERROR(GETPIVOTDATA("QTY",$FS$5,"Size (inch)",C7),0),IFERROR(GETPIVOTDATA("QTY",$FS$5,"Size (inch)",D7),0))</f>
        <v>0</v>
      </c>
      <c r="BP7" s="419">
        <f t="shared" ref="BP7:BP29" si="56">SUM(IFERROR(GETPIVOTDATA("QTY",$FY$5,"Size (inch)",A7),0),IFERROR(GETPIVOTDATA("QTY",$FY$5,"Size (inch)",B7),0),IFERROR(GETPIVOTDATA("QTY",$FY$5,"Size (inch)",C7),0),IFERROR(GETPIVOTDATA("QTY",$FY$5,"Size (inch)",D7),0))</f>
        <v>0</v>
      </c>
      <c r="BQ7" s="419">
        <f t="shared" ref="BQ7:BQ29" si="57">SUM(IFERROR(GETPIVOTDATA("QTY",$GE$5,"Size (inch)",A7),0),IFERROR(GETPIVOTDATA("QTY",$GE$5,"Size (inch)",B7),0),IFERROR(GETPIVOTDATA("QTY",$GE$5,"Size (inch)",C7),0),IFERROR(GETPIVOTDATA("QTY",$GE$5,"Size (inch)",D7),0))</f>
        <v>0</v>
      </c>
      <c r="BR7" s="419">
        <f t="shared" ref="BR7:BR29" si="58">SUM(IFERROR(GETPIVOTDATA("QTY",$GK$5,"Size (inch)",A7),0),IFERROR(GETPIVOTDATA("QTY",$GK$5,"Size (inch)",B7),0),IFERROR(GETPIVOTDATA("QTY",$GK$5,"Size (inch)",C7),0),IFERROR(GETPIVOTDATA("QTY",$GK$5,"Size (inch)",D7),0))</f>
        <v>0</v>
      </c>
      <c r="BS7" s="446">
        <f t="shared" ref="BS7:BS29" si="59">SUM(IFERROR(GETPIVOTDATA("QTY",$JR$5,"Size (inch)",A7),0),IFERROR(GETPIVOTDATA("QTY",$JR$5,"Size (inch)",B7),0),IFERROR(GETPIVOTDATA("QTY",$JR$5,"Size (inch)",C7),0),IFERROR(GETPIVOTDATA("QTY",$JR$5,"Size (inch)",D7),0))</f>
        <v>0</v>
      </c>
      <c r="BT7" s="446">
        <f t="shared" ref="BT7:BT29" si="60">SUM(IFERROR(GETPIVOTDATA("QTY",$JX$5,"Size (inch)",A7),0),IFERROR(GETPIVOTDATA("QTY",$JX$5,"Size (inch)",B7),0),IFERROR(GETPIVOTDATA("QTY",$JX$5,"Size (inch)",C7),0),IFERROR(GETPIVOTDATA("QTY",$JX$5,"Size (inch)",D7),0))</f>
        <v>0</v>
      </c>
      <c r="BU7" s="446">
        <f t="shared" ref="BU7:BU29" si="61">SUM(IFERROR(GETPIVOTDATA("QTY",$KD$5,"Size (inch)",A7),0),IFERROR(GETPIVOTDATA("QTY",$KD$5,"Size (inch)",B7),0),IFERROR(GETPIVOTDATA("QTY",$KD$5,"Size (inch)",C7),0),IFERROR(GETPIVOTDATA("QTY",$KD$5,"Size (inch)",D7),0))</f>
        <v>0</v>
      </c>
      <c r="BV7" s="446">
        <f t="shared" ref="BV7:BV29" si="62">SUM(IFERROR(GETPIVOTDATA("QTY",$KJ$5,"Size (inch)",A7),0),IFERROR(GETPIVOTDATA("QTY",$KJ$5,"Size (inch)",B7),0),IFERROR(GETPIVOTDATA("QTY",$KJ$5,"Size (inch)",C7),0),IFERROR(GETPIVOTDATA("QTY",$KJ$5,"Size (inch)",D7),0))</f>
        <v>0</v>
      </c>
      <c r="BW7" s="446">
        <f t="shared" ref="BW7:BW29" si="63">SUM(IFERROR(GETPIVOTDATA("QTY",$KP$5,"Size (inch)",A7),0),IFERROR(GETPIVOTDATA("QTY",$KP$5,"Size (inch)",B7),0),IFERROR(GETPIVOTDATA("QTY",$KP$5,"Size (inch)",C7),0),IFERROR(GETPIVOTDATA("QTY",$KP$5,"Size (inch)",D7),0))</f>
        <v>0</v>
      </c>
      <c r="BX7" s="446">
        <f t="shared" ref="BX7:BX29" si="64">SUM(IFERROR(GETPIVOTDATA("QTY",$KV$5,"Size (inch)",A7),0),IFERROR(GETPIVOTDATA("QTY",$KV$5,"Size (inch)",B7),0),IFERROR(GETPIVOTDATA("QTY",$KV$5,"Size (inch)",C7),0),IFERROR(GETPIVOTDATA("QTY",$KV$5,"Size (inch)",D7),0))</f>
        <v>0</v>
      </c>
      <c r="BY7" s="421">
        <f t="shared" ref="BY7:BY29" si="65">SUM(IFERROR(GETPIVOTDATA("QTY",$OA$5,"Size (inch)",A7),0),IFERROR(GETPIVOTDATA("QTY",$OA$5,"Size (inch)",B7),0),IFERROR(GETPIVOTDATA("QTY",$OA$5,"Size (inch)",C7),0),IFERROR(GETPIVOTDATA("QTY",$OA$5,"Size (inch)",D7),0))</f>
        <v>0</v>
      </c>
      <c r="BZ7" s="421">
        <f t="shared" ref="BZ7:BZ29" si="66">SUM(IFERROR(GETPIVOTDATA("QTY",$OG$5,"Size (inch)",A7),0),IFERROR(GETPIVOTDATA("QTY",$OG$5,"Size (inch)",B7),0),IFERROR(GETPIVOTDATA("QTY",$OG$5,"Size (inch)",C7),0),IFERROR(GETPIVOTDATA("QTY",$OG$5,"Size (inch)",D7),0))</f>
        <v>0</v>
      </c>
      <c r="CA7" s="421">
        <f t="shared" ref="CA7:CA29" si="67">SUM(IFERROR(GETPIVOTDATA("QTY",$OM$5,"Size (inch)",A7),0),IFERROR(GETPIVOTDATA("QTY",$OM$5,"Size (inch)",B7),0),IFERROR(GETPIVOTDATA("QTY",$OM$5,"Size (inch)",C7),0),IFERROR(GETPIVOTDATA("QTY",$OM$5,"Size (inch)",D7),0))</f>
        <v>0</v>
      </c>
      <c r="CB7" s="421">
        <f t="shared" ref="CB7:CB29" si="68">SUM(IFERROR(GETPIVOTDATA("QTY",$OS$5,"Size (inch)",A7),0),IFERROR(GETPIVOTDATA("QTY",$OS$5,"Size (inch)",B7),0),IFERROR(GETPIVOTDATA("QTY",$OS$5,"Size (inch)",C7),0),IFERROR(GETPIVOTDATA("QTY",$OS$5,"Size (inch)",D7),0))</f>
        <v>0</v>
      </c>
      <c r="CC7" s="421">
        <f t="shared" ref="CC7:CC29" si="69">SUM(IFERROR(GETPIVOTDATA("QTY",$OY$5,"Size (inch)",A7),0),IFERROR(GETPIVOTDATA("QTY",$OY$5,"Size (inch)",B7),0),IFERROR(GETPIVOTDATA("QTY",$OY$5,"Size (inch)",C7),0),IFERROR(GETPIVOTDATA("QTY",$OY$5,"Size (inch)",D7),0))</f>
        <v>0</v>
      </c>
      <c r="CD7" s="421">
        <f t="shared" ref="CD7:CD29" si="70">SUM(IFERROR(GETPIVOTDATA("QTY",$PE$5,"Size (inch)",A7),0),IFERROR(GETPIVOTDATA("QTY",$PE$5,"Size (inch)",B7),0),IFERROR(GETPIVOTDATA("QTY",$PE$5,"Size (inch)",C7),0),IFERROR(GETPIVOTDATA("QTY",$PE$5,"Size (inch)",D7),0))</f>
        <v>0</v>
      </c>
      <c r="CK7"/>
      <c r="CM7"/>
      <c r="EO7" t="s">
        <v>372</v>
      </c>
      <c r="EP7" t="s">
        <v>660</v>
      </c>
      <c r="ES7" s="772">
        <v>1</v>
      </c>
      <c r="GV7"/>
      <c r="GX7"/>
      <c r="IZ7" t="s">
        <v>372</v>
      </c>
      <c r="JA7" t="s">
        <v>660</v>
      </c>
      <c r="JD7" s="772">
        <v>1</v>
      </c>
      <c r="LB7">
        <v>2041</v>
      </c>
      <c r="LC7" t="s">
        <v>372</v>
      </c>
      <c r="LD7" t="s">
        <v>553</v>
      </c>
      <c r="LE7" t="s">
        <v>547</v>
      </c>
      <c r="LF7" s="772">
        <v>6</v>
      </c>
      <c r="LG7" s="454">
        <v>38.132600000000004</v>
      </c>
      <c r="LH7"/>
      <c r="LI7" t="s">
        <v>472</v>
      </c>
      <c r="LJ7">
        <v>2060</v>
      </c>
      <c r="LK7" t="s">
        <v>546</v>
      </c>
      <c r="LL7" t="s">
        <v>553</v>
      </c>
      <c r="LM7" t="s">
        <v>547</v>
      </c>
      <c r="LN7" s="772">
        <v>3</v>
      </c>
      <c r="LP7" t="s">
        <v>372</v>
      </c>
      <c r="LQ7" t="s">
        <v>547</v>
      </c>
      <c r="LR7" t="s">
        <v>553</v>
      </c>
      <c r="LS7" t="s">
        <v>690</v>
      </c>
      <c r="LT7" t="s">
        <v>660</v>
      </c>
      <c r="LU7" s="772">
        <v>12</v>
      </c>
      <c r="MO7" t="s">
        <v>372</v>
      </c>
      <c r="MP7" t="s">
        <v>660</v>
      </c>
      <c r="MT7" s="772">
        <v>1</v>
      </c>
      <c r="NI7"/>
      <c r="NK7"/>
      <c r="NS7" s="169"/>
      <c r="PQ7"/>
      <c r="PS7"/>
      <c r="RD7"/>
      <c r="RK7"/>
      <c r="RM7"/>
      <c r="RT7"/>
      <c r="SF7"/>
      <c r="SH7"/>
      <c r="SM7"/>
      <c r="SO7"/>
      <c r="SY7"/>
      <c r="TA7"/>
      <c r="TG7"/>
      <c r="TP7"/>
      <c r="TR7"/>
      <c r="TV7"/>
      <c r="TX7"/>
      <c r="UI7" s="459" t="s">
        <v>38</v>
      </c>
      <c r="UJ7" s="469" t="str">
        <f>UE6</f>
        <v>12981</v>
      </c>
      <c r="UK7" s="469"/>
      <c r="UL7" s="469"/>
      <c r="UM7" s="469"/>
    </row>
    <row r="8" spans="1:559" x14ac:dyDescent="0.3">
      <c r="A8" s="262"/>
      <c r="B8" s="262"/>
      <c r="C8" s="262" t="s">
        <v>470</v>
      </c>
      <c r="D8" s="262" t="s">
        <v>372</v>
      </c>
      <c r="E8" s="412">
        <f t="shared" si="3"/>
        <v>0</v>
      </c>
      <c r="F8" s="413">
        <f t="shared" si="4"/>
        <v>0</v>
      </c>
      <c r="G8" s="148">
        <f t="shared" si="5"/>
        <v>40</v>
      </c>
      <c r="H8" s="414">
        <f t="shared" si="6"/>
        <v>0</v>
      </c>
      <c r="I8" s="415">
        <f t="shared" si="7"/>
        <v>0</v>
      </c>
      <c r="J8" s="416">
        <f t="shared" si="8"/>
        <v>0</v>
      </c>
      <c r="K8" s="417">
        <f t="shared" si="9"/>
        <v>0</v>
      </c>
      <c r="L8" s="418">
        <f t="shared" si="10"/>
        <v>0</v>
      </c>
      <c r="M8" s="419">
        <f t="shared" si="11"/>
        <v>0</v>
      </c>
      <c r="N8" s="420">
        <f t="shared" si="12"/>
        <v>0</v>
      </c>
      <c r="O8" s="421">
        <f t="shared" si="13"/>
        <v>7</v>
      </c>
      <c r="P8" s="422">
        <f t="shared" si="14"/>
        <v>0</v>
      </c>
      <c r="Q8" s="423">
        <f t="shared" si="15"/>
        <v>0</v>
      </c>
      <c r="R8" s="424">
        <f t="shared" si="16"/>
        <v>0</v>
      </c>
      <c r="S8" s="425">
        <f t="shared" si="17"/>
        <v>0</v>
      </c>
      <c r="T8" s="426">
        <f t="shared" si="18"/>
        <v>0</v>
      </c>
      <c r="U8" s="427" t="s">
        <v>372</v>
      </c>
      <c r="V8" s="419">
        <f t="shared" si="19"/>
        <v>0</v>
      </c>
      <c r="W8" s="420">
        <f t="shared" si="20"/>
        <v>0</v>
      </c>
      <c r="X8" s="421">
        <f t="shared" si="21"/>
        <v>6</v>
      </c>
      <c r="Y8" s="422">
        <f t="shared" si="22"/>
        <v>0</v>
      </c>
      <c r="Z8" s="423">
        <f t="shared" si="23"/>
        <v>0</v>
      </c>
      <c r="AA8" s="424">
        <f t="shared" si="24"/>
        <v>0</v>
      </c>
      <c r="AB8" s="425">
        <f t="shared" si="25"/>
        <v>0</v>
      </c>
      <c r="AC8" s="426">
        <f t="shared" si="26"/>
        <v>0</v>
      </c>
      <c r="AD8" s="427" t="s">
        <v>372</v>
      </c>
      <c r="AE8" s="419">
        <f t="shared" si="27"/>
        <v>0</v>
      </c>
      <c r="AF8" s="420">
        <f t="shared" si="28"/>
        <v>0</v>
      </c>
      <c r="AG8" s="419">
        <f t="shared" si="29"/>
        <v>0</v>
      </c>
      <c r="AH8" s="420">
        <f t="shared" si="30"/>
        <v>0</v>
      </c>
      <c r="AI8" s="421">
        <f t="shared" si="31"/>
        <v>0</v>
      </c>
      <c r="AJ8" s="421">
        <f t="shared" ref="AJ8:AJ29" si="71">IFERROR(GETPIVOTDATA("Quantity",$NJ$5,"Size Outlets",AL8),0)</f>
        <v>0</v>
      </c>
      <c r="AK8" s="443"/>
      <c r="AL8" s="427" t="s">
        <v>427</v>
      </c>
      <c r="AM8" s="427" t="s">
        <v>372</v>
      </c>
      <c r="AN8" s="419">
        <f t="shared" si="32"/>
        <v>0</v>
      </c>
      <c r="AO8" s="420">
        <f t="shared" si="33"/>
        <v>0</v>
      </c>
      <c r="AP8" s="419">
        <f t="shared" ref="AP8:AP29" si="72">SUM(IFERROR(GETPIVOTDATA("Quantity",$DU$5,"Size Outlets",AL8),0),IFERROR(GETPIVOTDATA("Quantity",$DU$5,"Size Outlets",AM8),0),IFERROR(GETPIVOTDATA("Quantity",$DU$5,"Size Outlets",AN8),0),IFERROR(GETPIVOTDATA("Quantity",$DU$5,"Size Outlets",AO8),0))</f>
        <v>0</v>
      </c>
      <c r="AQ8" s="420">
        <f t="shared" ref="AQ8:AQ29" si="73">SUM(IFERROR(GETPIVOTDATA("Quantity",$IF$5,"Size Outlets",AL8),0),IFERROR(GETPIVOTDATA("Quantity",$IF$5,"Size Outlets",AM8),0),IFERROR(GETPIVOTDATA("Quantity",$IF$5,"Size Outlets",AN8),0),IFERROR(GETPIVOTDATA("Quantity",$IF$5,"Size Outlets",AO8),0))</f>
        <v>0</v>
      </c>
      <c r="AR8" s="419">
        <f t="shared" si="34"/>
        <v>0</v>
      </c>
      <c r="AS8" s="420">
        <f t="shared" si="35"/>
        <v>0</v>
      </c>
      <c r="AT8" s="421">
        <f t="shared" si="36"/>
        <v>0</v>
      </c>
      <c r="AU8" s="422">
        <f t="shared" si="37"/>
        <v>0</v>
      </c>
      <c r="AV8" s="419">
        <f t="shared" si="38"/>
        <v>1</v>
      </c>
      <c r="AW8" s="420">
        <f t="shared" si="39"/>
        <v>1</v>
      </c>
      <c r="AX8" s="421">
        <f t="shared" si="40"/>
        <v>1</v>
      </c>
      <c r="AY8" s="422">
        <f t="shared" si="41"/>
        <v>0</v>
      </c>
      <c r="AZ8" s="419">
        <f t="shared" si="42"/>
        <v>0</v>
      </c>
      <c r="BA8" s="420">
        <f t="shared" si="43"/>
        <v>0</v>
      </c>
      <c r="BB8" s="421">
        <f t="shared" si="44"/>
        <v>0</v>
      </c>
      <c r="BC8" s="419">
        <f t="shared" si="45"/>
        <v>0</v>
      </c>
      <c r="BD8" s="420">
        <f t="shared" si="46"/>
        <v>0</v>
      </c>
      <c r="BE8" s="421">
        <f t="shared" si="47"/>
        <v>0</v>
      </c>
      <c r="BF8" s="421">
        <f t="shared" si="48"/>
        <v>12</v>
      </c>
      <c r="BG8" s="422">
        <f t="shared" si="49"/>
        <v>0</v>
      </c>
      <c r="BH8" s="423">
        <f t="shared" si="50"/>
        <v>0</v>
      </c>
      <c r="BI8" s="424" cm="1">
        <f t="array" aca="1" ref="BI8" ca="1">SUM(IFERROR(GETPIVOTDATA("QTY",$SN$5,"Size (inch)",A8),0),IFERROR(GETPIVOTDATA("QTY",$SN$5,"Size (inch)",B8),0),IFERROR(GETPIVOTDATA("QTY",$SN$5,"Size (inch)",C8),0),IFERROR(GETPIVPOTDATA("QTY",$SN$5,"Size (inch)",D8),0))</f>
        <v>0</v>
      </c>
      <c r="BJ8" s="425">
        <f t="shared" si="51"/>
        <v>0</v>
      </c>
      <c r="BK8" s="426">
        <f t="shared" si="52"/>
        <v>0</v>
      </c>
      <c r="BL8" s="427" t="s">
        <v>372</v>
      </c>
      <c r="BM8" s="419">
        <f t="shared" si="53"/>
        <v>0</v>
      </c>
      <c r="BN8" s="419">
        <f t="shared" si="54"/>
        <v>0</v>
      </c>
      <c r="BO8" s="419">
        <f t="shared" si="55"/>
        <v>0</v>
      </c>
      <c r="BP8" s="419">
        <f t="shared" si="56"/>
        <v>0</v>
      </c>
      <c r="BQ8" s="419">
        <f t="shared" si="57"/>
        <v>0</v>
      </c>
      <c r="BR8" s="419">
        <f t="shared" si="58"/>
        <v>0</v>
      </c>
      <c r="BS8" s="446">
        <f t="shared" si="59"/>
        <v>0</v>
      </c>
      <c r="BT8" s="446">
        <f t="shared" si="60"/>
        <v>0</v>
      </c>
      <c r="BU8" s="446">
        <f t="shared" si="61"/>
        <v>0</v>
      </c>
      <c r="BV8" s="446">
        <f t="shared" si="62"/>
        <v>0</v>
      </c>
      <c r="BW8" s="446">
        <f t="shared" si="63"/>
        <v>0</v>
      </c>
      <c r="BX8" s="446">
        <f t="shared" si="64"/>
        <v>0</v>
      </c>
      <c r="BY8" s="421">
        <f t="shared" si="65"/>
        <v>0</v>
      </c>
      <c r="BZ8" s="421">
        <f t="shared" si="66"/>
        <v>0</v>
      </c>
      <c r="CA8" s="421">
        <f t="shared" si="67"/>
        <v>0</v>
      </c>
      <c r="CB8" s="421">
        <f t="shared" si="68"/>
        <v>0</v>
      </c>
      <c r="CC8" s="421">
        <f t="shared" si="69"/>
        <v>0</v>
      </c>
      <c r="CD8" s="421">
        <f t="shared" si="70"/>
        <v>0</v>
      </c>
      <c r="CK8"/>
      <c r="CM8"/>
      <c r="EO8" t="s">
        <v>372</v>
      </c>
      <c r="EP8" t="s">
        <v>660</v>
      </c>
      <c r="EQ8" t="s">
        <v>377</v>
      </c>
      <c r="ER8" t="s">
        <v>661</v>
      </c>
      <c r="ES8" s="772">
        <v>1</v>
      </c>
      <c r="GV8"/>
      <c r="GX8"/>
      <c r="IZ8" t="s">
        <v>372</v>
      </c>
      <c r="JA8" t="s">
        <v>660</v>
      </c>
      <c r="JB8" t="s">
        <v>377</v>
      </c>
      <c r="JC8" t="s">
        <v>661</v>
      </c>
      <c r="JD8" s="772">
        <v>1</v>
      </c>
      <c r="LB8">
        <v>2041</v>
      </c>
      <c r="LC8" t="s">
        <v>372</v>
      </c>
      <c r="LD8" t="s">
        <v>856</v>
      </c>
      <c r="LF8" s="772">
        <v>6</v>
      </c>
      <c r="LG8" s="454">
        <v>38.132600000000004</v>
      </c>
      <c r="LH8"/>
      <c r="LI8" t="s">
        <v>472</v>
      </c>
      <c r="LJ8">
        <v>2522</v>
      </c>
      <c r="LK8" t="s">
        <v>546</v>
      </c>
      <c r="LL8" t="s">
        <v>553</v>
      </c>
      <c r="LM8" t="s">
        <v>547</v>
      </c>
      <c r="LN8" s="772">
        <v>3</v>
      </c>
      <c r="LP8" t="s">
        <v>373</v>
      </c>
      <c r="LU8" s="772">
        <v>15</v>
      </c>
      <c r="MO8" t="s">
        <v>372</v>
      </c>
      <c r="MP8" t="s">
        <v>660</v>
      </c>
      <c r="MQ8" t="s">
        <v>553</v>
      </c>
      <c r="MR8" t="s">
        <v>547</v>
      </c>
      <c r="MS8" t="s">
        <v>661</v>
      </c>
      <c r="MT8" s="772">
        <v>1</v>
      </c>
      <c r="NI8"/>
      <c r="NK8"/>
      <c r="NS8" s="169"/>
      <c r="PQ8"/>
      <c r="PS8"/>
      <c r="RD8"/>
      <c r="RK8"/>
      <c r="RM8"/>
      <c r="RT8"/>
      <c r="SF8"/>
      <c r="SH8"/>
      <c r="SM8"/>
      <c r="SO8"/>
      <c r="SY8"/>
      <c r="TA8"/>
      <c r="TG8"/>
      <c r="TP8"/>
      <c r="TR8"/>
      <c r="TV8"/>
      <c r="TX8"/>
      <c r="UI8" s="459" t="s">
        <v>39</v>
      </c>
      <c r="UJ8" s="468" t="str">
        <f>UF6</f>
        <v>(blank)</v>
      </c>
      <c r="UK8" s="468"/>
      <c r="UL8" s="468"/>
      <c r="UM8" s="468"/>
    </row>
    <row r="9" spans="1:559" x14ac:dyDescent="0.3">
      <c r="A9" s="262"/>
      <c r="B9" s="262"/>
      <c r="C9" s="262" t="s">
        <v>471</v>
      </c>
      <c r="D9" s="262" t="s">
        <v>389</v>
      </c>
      <c r="E9" s="412">
        <f t="shared" si="3"/>
        <v>0</v>
      </c>
      <c r="F9" s="413">
        <f t="shared" si="4"/>
        <v>0</v>
      </c>
      <c r="G9" s="148">
        <f t="shared" si="5"/>
        <v>0</v>
      </c>
      <c r="H9" s="414">
        <f t="shared" si="6"/>
        <v>0</v>
      </c>
      <c r="I9" s="415">
        <f t="shared" si="7"/>
        <v>0</v>
      </c>
      <c r="J9" s="416">
        <f t="shared" si="8"/>
        <v>0</v>
      </c>
      <c r="K9" s="417">
        <f t="shared" si="9"/>
        <v>0</v>
      </c>
      <c r="L9" s="418">
        <f t="shared" si="10"/>
        <v>0</v>
      </c>
      <c r="M9" s="419">
        <f t="shared" si="11"/>
        <v>0</v>
      </c>
      <c r="N9" s="420">
        <f t="shared" si="12"/>
        <v>0</v>
      </c>
      <c r="O9" s="421">
        <f t="shared" si="13"/>
        <v>0</v>
      </c>
      <c r="P9" s="422">
        <f t="shared" si="14"/>
        <v>0</v>
      </c>
      <c r="Q9" s="423">
        <f t="shared" si="15"/>
        <v>0</v>
      </c>
      <c r="R9" s="424">
        <f t="shared" si="16"/>
        <v>0</v>
      </c>
      <c r="S9" s="425">
        <f t="shared" si="17"/>
        <v>0</v>
      </c>
      <c r="T9" s="426">
        <f t="shared" si="18"/>
        <v>0</v>
      </c>
      <c r="U9" s="427" t="s">
        <v>389</v>
      </c>
      <c r="V9" s="419">
        <f t="shared" si="19"/>
        <v>0</v>
      </c>
      <c r="W9" s="420">
        <f t="shared" si="20"/>
        <v>0</v>
      </c>
      <c r="X9" s="421">
        <f t="shared" si="21"/>
        <v>0</v>
      </c>
      <c r="Y9" s="422">
        <f t="shared" si="22"/>
        <v>0</v>
      </c>
      <c r="Z9" s="423">
        <f t="shared" si="23"/>
        <v>0</v>
      </c>
      <c r="AA9" s="424">
        <f t="shared" si="24"/>
        <v>0</v>
      </c>
      <c r="AB9" s="425">
        <f t="shared" si="25"/>
        <v>0</v>
      </c>
      <c r="AC9" s="426">
        <f t="shared" si="26"/>
        <v>0</v>
      </c>
      <c r="AD9" s="427" t="s">
        <v>389</v>
      </c>
      <c r="AE9" s="419">
        <f t="shared" si="27"/>
        <v>0</v>
      </c>
      <c r="AF9" s="420">
        <f t="shared" si="28"/>
        <v>0</v>
      </c>
      <c r="AG9" s="419">
        <f t="shared" si="29"/>
        <v>0</v>
      </c>
      <c r="AH9" s="420">
        <f t="shared" si="30"/>
        <v>0</v>
      </c>
      <c r="AI9" s="421">
        <f t="shared" si="31"/>
        <v>0</v>
      </c>
      <c r="AJ9" s="421">
        <f t="shared" si="71"/>
        <v>0</v>
      </c>
      <c r="AK9" s="443"/>
      <c r="AL9" s="427" t="s">
        <v>389</v>
      </c>
      <c r="AM9" s="427" t="s">
        <v>389</v>
      </c>
      <c r="AN9" s="419">
        <f t="shared" si="32"/>
        <v>0</v>
      </c>
      <c r="AO9" s="420">
        <f t="shared" si="33"/>
        <v>0</v>
      </c>
      <c r="AP9" s="419">
        <f t="shared" si="72"/>
        <v>0</v>
      </c>
      <c r="AQ9" s="420">
        <f t="shared" si="73"/>
        <v>0</v>
      </c>
      <c r="AR9" s="419">
        <f t="shared" si="34"/>
        <v>0</v>
      </c>
      <c r="AS9" s="420">
        <f t="shared" si="35"/>
        <v>0</v>
      </c>
      <c r="AT9" s="421">
        <f t="shared" si="36"/>
        <v>0</v>
      </c>
      <c r="AU9" s="422">
        <f t="shared" si="37"/>
        <v>0</v>
      </c>
      <c r="AV9" s="419">
        <f t="shared" si="38"/>
        <v>0</v>
      </c>
      <c r="AW9" s="420">
        <f t="shared" si="39"/>
        <v>0</v>
      </c>
      <c r="AX9" s="421">
        <f t="shared" si="40"/>
        <v>0</v>
      </c>
      <c r="AY9" s="422">
        <f t="shared" si="41"/>
        <v>0</v>
      </c>
      <c r="AZ9" s="419">
        <f t="shared" si="42"/>
        <v>0</v>
      </c>
      <c r="BA9" s="420">
        <f t="shared" si="43"/>
        <v>0</v>
      </c>
      <c r="BB9" s="421">
        <f t="shared" si="44"/>
        <v>0</v>
      </c>
      <c r="BC9" s="419">
        <f t="shared" si="45"/>
        <v>0</v>
      </c>
      <c r="BD9" s="420">
        <f t="shared" si="46"/>
        <v>0</v>
      </c>
      <c r="BE9" s="421">
        <f t="shared" si="47"/>
        <v>0</v>
      </c>
      <c r="BF9" s="421">
        <f t="shared" si="48"/>
        <v>0</v>
      </c>
      <c r="BG9" s="422">
        <f t="shared" si="49"/>
        <v>0</v>
      </c>
      <c r="BH9" s="423">
        <f t="shared" si="50"/>
        <v>0</v>
      </c>
      <c r="BI9" s="424" cm="1">
        <f t="array" aca="1" ref="BI9" ca="1">SUM(IFERROR(GETPIVOTDATA("QTY",$SN$5,"Size (inch)",A9),0),IFERROR(GETPIVOTDATA("QTY",$SN$5,"Size (inch)",B9),0),IFERROR(GETPIVOTDATA("QTY",$SN$5,"Size (inch)",C9),0),IFERROR(GETPIVPOTDATA("QTY",$SN$5,"Size (inch)",D9),0))</f>
        <v>0</v>
      </c>
      <c r="BJ9" s="425">
        <f t="shared" si="51"/>
        <v>0</v>
      </c>
      <c r="BK9" s="426">
        <f t="shared" si="52"/>
        <v>0</v>
      </c>
      <c r="BL9" s="427" t="s">
        <v>389</v>
      </c>
      <c r="BM9" s="419">
        <f t="shared" si="53"/>
        <v>0</v>
      </c>
      <c r="BN9" s="419">
        <f t="shared" si="54"/>
        <v>0</v>
      </c>
      <c r="BO9" s="419">
        <f t="shared" si="55"/>
        <v>0</v>
      </c>
      <c r="BP9" s="419">
        <f t="shared" si="56"/>
        <v>0</v>
      </c>
      <c r="BQ9" s="419">
        <f t="shared" si="57"/>
        <v>0</v>
      </c>
      <c r="BR9" s="419">
        <f t="shared" si="58"/>
        <v>0</v>
      </c>
      <c r="BS9" s="446">
        <f t="shared" si="59"/>
        <v>0</v>
      </c>
      <c r="BT9" s="446">
        <f t="shared" si="60"/>
        <v>0</v>
      </c>
      <c r="BU9" s="446">
        <f t="shared" si="61"/>
        <v>0</v>
      </c>
      <c r="BV9" s="446">
        <f t="shared" si="62"/>
        <v>0</v>
      </c>
      <c r="BW9" s="446">
        <f t="shared" si="63"/>
        <v>0</v>
      </c>
      <c r="BX9" s="446">
        <f t="shared" si="64"/>
        <v>0</v>
      </c>
      <c r="BY9" s="421">
        <f t="shared" si="65"/>
        <v>0</v>
      </c>
      <c r="BZ9" s="421">
        <f t="shared" si="66"/>
        <v>0</v>
      </c>
      <c r="CA9" s="421">
        <f t="shared" si="67"/>
        <v>0</v>
      </c>
      <c r="CB9" s="421">
        <f t="shared" si="68"/>
        <v>0</v>
      </c>
      <c r="CC9" s="421">
        <f t="shared" si="69"/>
        <v>0</v>
      </c>
      <c r="CD9" s="421">
        <f t="shared" si="70"/>
        <v>0</v>
      </c>
      <c r="CK9"/>
      <c r="CM9"/>
      <c r="EO9" t="s">
        <v>454</v>
      </c>
      <c r="ES9" s="772">
        <v>1</v>
      </c>
      <c r="GV9"/>
      <c r="GX9"/>
      <c r="IZ9" t="s">
        <v>454</v>
      </c>
      <c r="JD9" s="772">
        <v>1</v>
      </c>
      <c r="LB9">
        <v>2041</v>
      </c>
      <c r="LC9" t="s">
        <v>373</v>
      </c>
      <c r="LF9" s="772">
        <v>7</v>
      </c>
      <c r="LG9" s="454">
        <v>45.574000000000005</v>
      </c>
      <c r="LH9"/>
      <c r="LI9" t="s">
        <v>472</v>
      </c>
      <c r="LJ9">
        <v>2522</v>
      </c>
      <c r="LK9" t="s">
        <v>593</v>
      </c>
      <c r="LL9" t="s">
        <v>553</v>
      </c>
      <c r="LM9" t="s">
        <v>547</v>
      </c>
      <c r="LN9" s="772">
        <v>1</v>
      </c>
      <c r="LP9" t="s">
        <v>373</v>
      </c>
      <c r="LQ9" t="s">
        <v>547</v>
      </c>
      <c r="LR9" t="s">
        <v>553</v>
      </c>
      <c r="LS9" t="s">
        <v>690</v>
      </c>
      <c r="LT9" t="s">
        <v>660</v>
      </c>
      <c r="LU9" s="772">
        <v>15</v>
      </c>
      <c r="MO9" t="s">
        <v>454</v>
      </c>
      <c r="MT9" s="772">
        <v>1</v>
      </c>
      <c r="NI9"/>
      <c r="NK9"/>
      <c r="NS9" s="169"/>
      <c r="PQ9"/>
      <c r="PS9"/>
      <c r="RD9"/>
      <c r="RK9"/>
      <c r="RM9"/>
      <c r="RT9"/>
      <c r="SF9"/>
      <c r="SH9"/>
      <c r="SM9"/>
      <c r="SO9"/>
      <c r="SY9"/>
      <c r="TA9"/>
      <c r="TG9"/>
      <c r="TP9"/>
      <c r="TR9"/>
      <c r="TV9"/>
      <c r="TX9"/>
      <c r="UI9" s="459" t="s">
        <v>40</v>
      </c>
      <c r="UJ9" s="469" t="str">
        <f>UG6</f>
        <v>AGM: Condensate Drain (CD)</v>
      </c>
      <c r="UK9" s="469"/>
      <c r="UL9" s="469"/>
      <c r="UM9" s="469"/>
    </row>
    <row r="10" spans="1:559" x14ac:dyDescent="0.3">
      <c r="A10" s="262" t="s">
        <v>469</v>
      </c>
      <c r="B10" s="462">
        <v>1.25</v>
      </c>
      <c r="C10" s="262" t="s">
        <v>474</v>
      </c>
      <c r="D10" s="463" t="s">
        <v>373</v>
      </c>
      <c r="E10" s="412">
        <f t="shared" si="3"/>
        <v>0</v>
      </c>
      <c r="F10" s="413">
        <f t="shared" si="4"/>
        <v>0</v>
      </c>
      <c r="G10" s="148">
        <f t="shared" si="5"/>
        <v>60</v>
      </c>
      <c r="H10" s="414">
        <f t="shared" si="6"/>
        <v>0</v>
      </c>
      <c r="I10" s="415">
        <f t="shared" si="7"/>
        <v>0</v>
      </c>
      <c r="J10" s="416">
        <f t="shared" si="8"/>
        <v>0</v>
      </c>
      <c r="K10" s="417">
        <f t="shared" si="9"/>
        <v>0</v>
      </c>
      <c r="L10" s="418">
        <f t="shared" si="10"/>
        <v>0</v>
      </c>
      <c r="M10" s="419">
        <f t="shared" si="11"/>
        <v>0</v>
      </c>
      <c r="N10" s="420">
        <f t="shared" si="12"/>
        <v>0</v>
      </c>
      <c r="O10" s="421">
        <f t="shared" si="13"/>
        <v>9</v>
      </c>
      <c r="P10" s="422">
        <f t="shared" si="14"/>
        <v>0</v>
      </c>
      <c r="Q10" s="423">
        <f t="shared" si="15"/>
        <v>0</v>
      </c>
      <c r="R10" s="424">
        <f t="shared" si="16"/>
        <v>0</v>
      </c>
      <c r="S10" s="425">
        <f t="shared" si="17"/>
        <v>0</v>
      </c>
      <c r="T10" s="426">
        <f t="shared" si="18"/>
        <v>0</v>
      </c>
      <c r="U10" s="427" t="s">
        <v>373</v>
      </c>
      <c r="V10" s="419">
        <f t="shared" si="19"/>
        <v>0</v>
      </c>
      <c r="W10" s="420">
        <f t="shared" si="20"/>
        <v>0</v>
      </c>
      <c r="X10" s="421">
        <f t="shared" si="21"/>
        <v>7</v>
      </c>
      <c r="Y10" s="422">
        <f t="shared" si="22"/>
        <v>0</v>
      </c>
      <c r="Z10" s="423">
        <f t="shared" si="23"/>
        <v>0</v>
      </c>
      <c r="AA10" s="424">
        <f t="shared" si="24"/>
        <v>0</v>
      </c>
      <c r="AB10" s="425">
        <f t="shared" si="25"/>
        <v>0</v>
      </c>
      <c r="AC10" s="426">
        <f t="shared" si="26"/>
        <v>0</v>
      </c>
      <c r="AD10" s="427" t="s">
        <v>373</v>
      </c>
      <c r="AE10" s="419">
        <f t="shared" si="27"/>
        <v>0</v>
      </c>
      <c r="AF10" s="420">
        <f t="shared" si="28"/>
        <v>0</v>
      </c>
      <c r="AG10" s="419">
        <f t="shared" si="29"/>
        <v>0</v>
      </c>
      <c r="AH10" s="420">
        <f t="shared" si="30"/>
        <v>0</v>
      </c>
      <c r="AI10" s="421">
        <f t="shared" si="31"/>
        <v>0</v>
      </c>
      <c r="AJ10" s="421">
        <f t="shared" si="71"/>
        <v>0</v>
      </c>
      <c r="AK10" s="443"/>
      <c r="AL10" s="427" t="s">
        <v>428</v>
      </c>
      <c r="AM10" s="427" t="s">
        <v>373</v>
      </c>
      <c r="AN10" s="419">
        <f t="shared" si="32"/>
        <v>0</v>
      </c>
      <c r="AO10" s="420">
        <f t="shared" si="33"/>
        <v>0</v>
      </c>
      <c r="AP10" s="419">
        <f t="shared" si="72"/>
        <v>0</v>
      </c>
      <c r="AQ10" s="420">
        <f t="shared" si="73"/>
        <v>0</v>
      </c>
      <c r="AR10" s="419">
        <f t="shared" si="34"/>
        <v>0</v>
      </c>
      <c r="AS10" s="420">
        <f t="shared" si="35"/>
        <v>0</v>
      </c>
      <c r="AT10" s="421">
        <f t="shared" si="36"/>
        <v>0</v>
      </c>
      <c r="AU10" s="422">
        <f t="shared" si="37"/>
        <v>0</v>
      </c>
      <c r="AV10" s="419">
        <f t="shared" si="38"/>
        <v>0</v>
      </c>
      <c r="AW10" s="420">
        <f t="shared" si="39"/>
        <v>0</v>
      </c>
      <c r="AX10" s="421">
        <f t="shared" si="40"/>
        <v>0</v>
      </c>
      <c r="AY10" s="422">
        <f t="shared" si="41"/>
        <v>0</v>
      </c>
      <c r="AZ10" s="419">
        <f t="shared" si="42"/>
        <v>0</v>
      </c>
      <c r="BA10" s="420">
        <f t="shared" si="43"/>
        <v>0</v>
      </c>
      <c r="BB10" s="421">
        <f t="shared" si="44"/>
        <v>0</v>
      </c>
      <c r="BC10" s="419">
        <f t="shared" si="45"/>
        <v>0</v>
      </c>
      <c r="BD10" s="420">
        <f t="shared" si="46"/>
        <v>0</v>
      </c>
      <c r="BE10" s="421">
        <f t="shared" si="47"/>
        <v>0</v>
      </c>
      <c r="BF10" s="421">
        <f t="shared" si="48"/>
        <v>15</v>
      </c>
      <c r="BG10" s="422">
        <f t="shared" si="49"/>
        <v>0</v>
      </c>
      <c r="BH10" s="423">
        <f t="shared" si="50"/>
        <v>0</v>
      </c>
      <c r="BI10" s="424" cm="1">
        <f t="array" aca="1" ref="BI10" ca="1">SUM(IFERROR(GETPIVOTDATA("QTY",$SN$5,"Size (inch)",A10),0),IFERROR(GETPIVOTDATA("QTY",$SN$5,"Size (inch)",B10),0),IFERROR(GETPIVOTDATA("QTY",$SN$5,"Size (inch)",C10),0),IFERROR(GETPIVPOTDATA("QTY",$SN$5,"Size (inch)",D10),0))</f>
        <v>0</v>
      </c>
      <c r="BJ10" s="425">
        <f t="shared" si="51"/>
        <v>0</v>
      </c>
      <c r="BK10" s="426">
        <f t="shared" si="52"/>
        <v>0</v>
      </c>
      <c r="BL10" s="427" t="s">
        <v>373</v>
      </c>
      <c r="BM10" s="419">
        <f t="shared" si="53"/>
        <v>0</v>
      </c>
      <c r="BN10" s="419">
        <f t="shared" si="54"/>
        <v>0</v>
      </c>
      <c r="BO10" s="419">
        <f t="shared" si="55"/>
        <v>0</v>
      </c>
      <c r="BP10" s="419">
        <f t="shared" si="56"/>
        <v>0</v>
      </c>
      <c r="BQ10" s="419">
        <f t="shared" si="57"/>
        <v>0</v>
      </c>
      <c r="BR10" s="419">
        <f t="shared" si="58"/>
        <v>0</v>
      </c>
      <c r="BS10" s="446">
        <f t="shared" si="59"/>
        <v>0</v>
      </c>
      <c r="BT10" s="446">
        <f t="shared" si="60"/>
        <v>0</v>
      </c>
      <c r="BU10" s="446">
        <f t="shared" si="61"/>
        <v>0</v>
      </c>
      <c r="BV10" s="446">
        <f t="shared" si="62"/>
        <v>0</v>
      </c>
      <c r="BW10" s="446">
        <f t="shared" si="63"/>
        <v>0</v>
      </c>
      <c r="BX10" s="446">
        <f t="shared" si="64"/>
        <v>0</v>
      </c>
      <c r="BY10" s="421">
        <f t="shared" si="65"/>
        <v>0</v>
      </c>
      <c r="BZ10" s="421">
        <f t="shared" si="66"/>
        <v>0</v>
      </c>
      <c r="CA10" s="421">
        <f t="shared" si="67"/>
        <v>0</v>
      </c>
      <c r="CB10" s="421">
        <f t="shared" si="68"/>
        <v>0</v>
      </c>
      <c r="CC10" s="421">
        <f t="shared" si="69"/>
        <v>0</v>
      </c>
      <c r="CD10" s="421">
        <f t="shared" si="70"/>
        <v>0</v>
      </c>
      <c r="CK10"/>
      <c r="CM10"/>
      <c r="GV10"/>
      <c r="GX10"/>
      <c r="LB10">
        <v>2041</v>
      </c>
      <c r="LC10" t="s">
        <v>373</v>
      </c>
      <c r="LD10" t="s">
        <v>553</v>
      </c>
      <c r="LE10" t="s">
        <v>547</v>
      </c>
      <c r="LF10" s="772">
        <v>7</v>
      </c>
      <c r="LG10" s="454">
        <v>45.574000000000005</v>
      </c>
      <c r="LH10"/>
      <c r="LI10" t="s">
        <v>472</v>
      </c>
      <c r="LJ10">
        <v>2523</v>
      </c>
      <c r="LK10" t="s">
        <v>546</v>
      </c>
      <c r="LL10" t="s">
        <v>553</v>
      </c>
      <c r="LM10" t="s">
        <v>547</v>
      </c>
      <c r="LN10" s="772">
        <v>8</v>
      </c>
      <c r="LP10" t="s">
        <v>374</v>
      </c>
      <c r="LU10" s="772">
        <v>38</v>
      </c>
      <c r="NI10"/>
      <c r="NK10"/>
      <c r="NS10" s="169"/>
      <c r="PQ10"/>
      <c r="PS10"/>
      <c r="RD10"/>
      <c r="RK10"/>
      <c r="RM10"/>
      <c r="RT10"/>
      <c r="SF10"/>
      <c r="SH10"/>
      <c r="SM10"/>
      <c r="SO10"/>
      <c r="SY10"/>
      <c r="TA10"/>
      <c r="TG10"/>
      <c r="TP10"/>
      <c r="TR10"/>
      <c r="TV10"/>
      <c r="TX10"/>
    </row>
    <row r="11" spans="1:559" x14ac:dyDescent="0.3">
      <c r="A11" s="262" t="s">
        <v>472</v>
      </c>
      <c r="B11" s="462">
        <v>1.5</v>
      </c>
      <c r="C11" s="262" t="s">
        <v>473</v>
      </c>
      <c r="D11" s="262" t="s">
        <v>374</v>
      </c>
      <c r="E11" s="412">
        <f t="shared" si="3"/>
        <v>0</v>
      </c>
      <c r="F11" s="413">
        <f t="shared" si="4"/>
        <v>0</v>
      </c>
      <c r="G11" s="148">
        <f t="shared" si="5"/>
        <v>120</v>
      </c>
      <c r="H11" s="414">
        <f t="shared" si="6"/>
        <v>0</v>
      </c>
      <c r="I11" s="415">
        <f t="shared" si="7"/>
        <v>0</v>
      </c>
      <c r="J11" s="416">
        <f t="shared" si="8"/>
        <v>0</v>
      </c>
      <c r="K11" s="417">
        <f t="shared" si="9"/>
        <v>0</v>
      </c>
      <c r="L11" s="418">
        <f t="shared" si="10"/>
        <v>0</v>
      </c>
      <c r="M11" s="419">
        <f t="shared" si="11"/>
        <v>0</v>
      </c>
      <c r="N11" s="420">
        <f t="shared" si="12"/>
        <v>0</v>
      </c>
      <c r="O11" s="421">
        <f t="shared" si="13"/>
        <v>21</v>
      </c>
      <c r="P11" s="422">
        <f t="shared" si="14"/>
        <v>0</v>
      </c>
      <c r="Q11" s="423">
        <f t="shared" si="15"/>
        <v>0</v>
      </c>
      <c r="R11" s="424">
        <f t="shared" si="16"/>
        <v>0</v>
      </c>
      <c r="S11" s="425">
        <f t="shared" si="17"/>
        <v>0</v>
      </c>
      <c r="T11" s="426">
        <f t="shared" si="18"/>
        <v>0</v>
      </c>
      <c r="U11" s="427" t="s">
        <v>374</v>
      </c>
      <c r="V11" s="419">
        <f t="shared" si="19"/>
        <v>0</v>
      </c>
      <c r="W11" s="420">
        <f t="shared" si="20"/>
        <v>0</v>
      </c>
      <c r="X11" s="421">
        <f t="shared" si="21"/>
        <v>18</v>
      </c>
      <c r="Y11" s="422">
        <f t="shared" si="22"/>
        <v>0</v>
      </c>
      <c r="Z11" s="423">
        <f t="shared" si="23"/>
        <v>0</v>
      </c>
      <c r="AA11" s="424">
        <f t="shared" si="24"/>
        <v>0</v>
      </c>
      <c r="AB11" s="425">
        <f t="shared" si="25"/>
        <v>0</v>
      </c>
      <c r="AC11" s="426">
        <f t="shared" si="26"/>
        <v>0</v>
      </c>
      <c r="AD11" s="427" t="s">
        <v>374</v>
      </c>
      <c r="AE11" s="419">
        <f t="shared" si="27"/>
        <v>0</v>
      </c>
      <c r="AF11" s="420">
        <f t="shared" si="28"/>
        <v>0</v>
      </c>
      <c r="AG11" s="419">
        <f t="shared" si="29"/>
        <v>0</v>
      </c>
      <c r="AH11" s="420">
        <f t="shared" si="30"/>
        <v>0</v>
      </c>
      <c r="AI11" s="421">
        <f t="shared" si="31"/>
        <v>0</v>
      </c>
      <c r="AJ11" s="421">
        <f t="shared" si="71"/>
        <v>0</v>
      </c>
      <c r="AK11" s="443"/>
      <c r="AL11" s="427" t="s">
        <v>429</v>
      </c>
      <c r="AM11" s="427" t="s">
        <v>374</v>
      </c>
      <c r="AN11" s="419">
        <f t="shared" si="32"/>
        <v>0</v>
      </c>
      <c r="AO11" s="420">
        <f t="shared" si="33"/>
        <v>0</v>
      </c>
      <c r="AP11" s="419">
        <f t="shared" si="72"/>
        <v>0</v>
      </c>
      <c r="AQ11" s="420">
        <f t="shared" si="73"/>
        <v>0</v>
      </c>
      <c r="AR11" s="419">
        <f t="shared" si="34"/>
        <v>0</v>
      </c>
      <c r="AS11" s="420">
        <f t="shared" si="35"/>
        <v>0</v>
      </c>
      <c r="AT11" s="421">
        <f t="shared" si="36"/>
        <v>0</v>
      </c>
      <c r="AU11" s="422">
        <f t="shared" si="37"/>
        <v>0</v>
      </c>
      <c r="AV11" s="419">
        <f t="shared" si="38"/>
        <v>0</v>
      </c>
      <c r="AW11" s="420">
        <f t="shared" si="39"/>
        <v>0</v>
      </c>
      <c r="AX11" s="421">
        <f t="shared" si="40"/>
        <v>0</v>
      </c>
      <c r="AY11" s="422">
        <f t="shared" si="41"/>
        <v>0</v>
      </c>
      <c r="AZ11" s="419">
        <f t="shared" si="42"/>
        <v>0</v>
      </c>
      <c r="BA11" s="420">
        <f t="shared" si="43"/>
        <v>0</v>
      </c>
      <c r="BB11" s="421">
        <f t="shared" si="44"/>
        <v>0</v>
      </c>
      <c r="BC11" s="419">
        <f t="shared" si="45"/>
        <v>0</v>
      </c>
      <c r="BD11" s="420">
        <f t="shared" si="46"/>
        <v>0</v>
      </c>
      <c r="BE11" s="421">
        <f t="shared" si="47"/>
        <v>0</v>
      </c>
      <c r="BF11" s="421">
        <f t="shared" si="48"/>
        <v>38</v>
      </c>
      <c r="BG11" s="422">
        <f t="shared" si="49"/>
        <v>0</v>
      </c>
      <c r="BH11" s="423">
        <f t="shared" si="50"/>
        <v>0</v>
      </c>
      <c r="BI11" s="424" cm="1">
        <f t="array" aca="1" ref="BI11" ca="1">SUM(IFERROR(GETPIVOTDATA("QTY",$SN$5,"Size (inch)",A11),0),IFERROR(GETPIVOTDATA("QTY",$SN$5,"Size (inch)",B11),0),IFERROR(GETPIVOTDATA("QTY",$SN$5,"Size (inch)",C11),0),IFERROR(GETPIVPOTDATA("QTY",$SN$5,"Size (inch)",D11),0))</f>
        <v>0</v>
      </c>
      <c r="BJ11" s="425">
        <f t="shared" si="51"/>
        <v>0</v>
      </c>
      <c r="BK11" s="426">
        <f t="shared" si="52"/>
        <v>0</v>
      </c>
      <c r="BL11" s="427" t="s">
        <v>374</v>
      </c>
      <c r="BM11" s="419">
        <f t="shared" si="53"/>
        <v>0</v>
      </c>
      <c r="BN11" s="419">
        <f t="shared" si="54"/>
        <v>0</v>
      </c>
      <c r="BO11" s="419">
        <f t="shared" si="55"/>
        <v>0</v>
      </c>
      <c r="BP11" s="419">
        <f t="shared" si="56"/>
        <v>0</v>
      </c>
      <c r="BQ11" s="419">
        <f t="shared" si="57"/>
        <v>0</v>
      </c>
      <c r="BR11" s="419">
        <f t="shared" si="58"/>
        <v>0</v>
      </c>
      <c r="BS11" s="446">
        <f t="shared" si="59"/>
        <v>0</v>
      </c>
      <c r="BT11" s="446">
        <f t="shared" si="60"/>
        <v>0</v>
      </c>
      <c r="BU11" s="446">
        <f t="shared" si="61"/>
        <v>0</v>
      </c>
      <c r="BV11" s="446">
        <f t="shared" si="62"/>
        <v>0</v>
      </c>
      <c r="BW11" s="446">
        <f t="shared" si="63"/>
        <v>0</v>
      </c>
      <c r="BX11" s="446">
        <f t="shared" si="64"/>
        <v>0</v>
      </c>
      <c r="BY11" s="421">
        <f t="shared" si="65"/>
        <v>0</v>
      </c>
      <c r="BZ11" s="421">
        <f t="shared" si="66"/>
        <v>0</v>
      </c>
      <c r="CA11" s="421">
        <f t="shared" si="67"/>
        <v>0</v>
      </c>
      <c r="CB11" s="421">
        <f t="shared" si="68"/>
        <v>0</v>
      </c>
      <c r="CC11" s="421">
        <f t="shared" si="69"/>
        <v>0</v>
      </c>
      <c r="CD11" s="421">
        <f t="shared" si="70"/>
        <v>0</v>
      </c>
      <c r="CK11"/>
      <c r="CM11"/>
      <c r="GV11"/>
      <c r="GX11"/>
      <c r="LB11">
        <v>2041</v>
      </c>
      <c r="LC11" t="s">
        <v>373</v>
      </c>
      <c r="LD11" t="s">
        <v>856</v>
      </c>
      <c r="LF11" s="772">
        <v>7</v>
      </c>
      <c r="LG11" s="454">
        <v>45.574000000000005</v>
      </c>
      <c r="LH11"/>
      <c r="LI11" t="s">
        <v>472</v>
      </c>
      <c r="LJ11">
        <v>2900</v>
      </c>
      <c r="LK11" t="s">
        <v>546</v>
      </c>
      <c r="LL11" t="s">
        <v>553</v>
      </c>
      <c r="LM11" t="s">
        <v>547</v>
      </c>
      <c r="LN11" s="772">
        <v>6</v>
      </c>
      <c r="LP11" t="s">
        <v>374</v>
      </c>
      <c r="LQ11" t="s">
        <v>547</v>
      </c>
      <c r="LR11" t="s">
        <v>553</v>
      </c>
      <c r="LS11" t="s">
        <v>690</v>
      </c>
      <c r="LT11" t="s">
        <v>660</v>
      </c>
      <c r="LU11" s="772">
        <v>38</v>
      </c>
      <c r="NI11"/>
      <c r="NK11"/>
      <c r="NS11" s="169"/>
      <c r="PQ11"/>
      <c r="PS11"/>
      <c r="RD11"/>
      <c r="RK11"/>
      <c r="RM11"/>
      <c r="RT11"/>
      <c r="SF11"/>
      <c r="SH11"/>
      <c r="SM11"/>
      <c r="SO11"/>
      <c r="SY11"/>
      <c r="TA11"/>
      <c r="TG11"/>
      <c r="TP11"/>
      <c r="TR11"/>
      <c r="TV11"/>
      <c r="TX11"/>
    </row>
    <row r="12" spans="1:559" x14ac:dyDescent="0.3">
      <c r="A12" s="262"/>
      <c r="B12" s="262"/>
      <c r="C12" s="266" t="s">
        <v>468</v>
      </c>
      <c r="D12" s="266" t="s">
        <v>390</v>
      </c>
      <c r="E12" s="412">
        <f t="shared" si="3"/>
        <v>0</v>
      </c>
      <c r="F12" s="413">
        <f t="shared" si="4"/>
        <v>0</v>
      </c>
      <c r="G12" s="148">
        <f t="shared" si="5"/>
        <v>0</v>
      </c>
      <c r="H12" s="414">
        <f t="shared" si="6"/>
        <v>0</v>
      </c>
      <c r="I12" s="415">
        <f t="shared" si="7"/>
        <v>0</v>
      </c>
      <c r="J12" s="416">
        <f t="shared" si="8"/>
        <v>0</v>
      </c>
      <c r="K12" s="417">
        <f t="shared" si="9"/>
        <v>0</v>
      </c>
      <c r="L12" s="418">
        <f t="shared" si="10"/>
        <v>0</v>
      </c>
      <c r="M12" s="419">
        <f t="shared" si="11"/>
        <v>0</v>
      </c>
      <c r="N12" s="420">
        <f t="shared" si="12"/>
        <v>0</v>
      </c>
      <c r="O12" s="421">
        <f t="shared" si="13"/>
        <v>0</v>
      </c>
      <c r="P12" s="422">
        <f t="shared" si="14"/>
        <v>0</v>
      </c>
      <c r="Q12" s="423">
        <f t="shared" si="15"/>
        <v>0</v>
      </c>
      <c r="R12" s="424">
        <f t="shared" si="16"/>
        <v>0</v>
      </c>
      <c r="S12" s="425">
        <f t="shared" si="17"/>
        <v>0</v>
      </c>
      <c r="T12" s="426">
        <f t="shared" si="18"/>
        <v>0</v>
      </c>
      <c r="U12" s="428" t="s">
        <v>390</v>
      </c>
      <c r="V12" s="419">
        <f t="shared" si="19"/>
        <v>0</v>
      </c>
      <c r="W12" s="420">
        <f t="shared" si="20"/>
        <v>0</v>
      </c>
      <c r="X12" s="421">
        <f t="shared" si="21"/>
        <v>0</v>
      </c>
      <c r="Y12" s="422">
        <f t="shared" si="22"/>
        <v>0</v>
      </c>
      <c r="Z12" s="423">
        <f t="shared" si="23"/>
        <v>0</v>
      </c>
      <c r="AA12" s="424">
        <f t="shared" si="24"/>
        <v>0</v>
      </c>
      <c r="AB12" s="425">
        <f t="shared" si="25"/>
        <v>0</v>
      </c>
      <c r="AC12" s="426">
        <f t="shared" si="26"/>
        <v>0</v>
      </c>
      <c r="AD12" s="428" t="s">
        <v>390</v>
      </c>
      <c r="AE12" s="419">
        <f t="shared" si="27"/>
        <v>0</v>
      </c>
      <c r="AF12" s="420">
        <f t="shared" si="28"/>
        <v>0</v>
      </c>
      <c r="AG12" s="419">
        <f t="shared" si="29"/>
        <v>0</v>
      </c>
      <c r="AH12" s="420">
        <f t="shared" si="30"/>
        <v>0</v>
      </c>
      <c r="AI12" s="421">
        <f t="shared" si="31"/>
        <v>0</v>
      </c>
      <c r="AJ12" s="421">
        <f t="shared" si="71"/>
        <v>0</v>
      </c>
      <c r="AK12" s="443"/>
      <c r="AL12" s="428" t="s">
        <v>390</v>
      </c>
      <c r="AM12" s="428" t="s">
        <v>390</v>
      </c>
      <c r="AN12" s="419">
        <f t="shared" si="32"/>
        <v>0</v>
      </c>
      <c r="AO12" s="420">
        <f t="shared" si="33"/>
        <v>0</v>
      </c>
      <c r="AP12" s="419">
        <f t="shared" si="72"/>
        <v>0</v>
      </c>
      <c r="AQ12" s="420">
        <f t="shared" si="73"/>
        <v>0</v>
      </c>
      <c r="AR12" s="419">
        <f t="shared" si="34"/>
        <v>0</v>
      </c>
      <c r="AS12" s="420">
        <f t="shared" si="35"/>
        <v>0</v>
      </c>
      <c r="AT12" s="421">
        <f t="shared" si="36"/>
        <v>0</v>
      </c>
      <c r="AU12" s="422">
        <f t="shared" si="37"/>
        <v>0</v>
      </c>
      <c r="AV12" s="419">
        <f t="shared" si="38"/>
        <v>0</v>
      </c>
      <c r="AW12" s="420">
        <f t="shared" si="39"/>
        <v>0</v>
      </c>
      <c r="AX12" s="421">
        <f t="shared" si="40"/>
        <v>0</v>
      </c>
      <c r="AY12" s="422">
        <f t="shared" si="41"/>
        <v>0</v>
      </c>
      <c r="AZ12" s="419">
        <f t="shared" si="42"/>
        <v>0</v>
      </c>
      <c r="BA12" s="420">
        <f t="shared" si="43"/>
        <v>0</v>
      </c>
      <c r="BB12" s="421">
        <f t="shared" si="44"/>
        <v>0</v>
      </c>
      <c r="BC12" s="419">
        <f t="shared" si="45"/>
        <v>0</v>
      </c>
      <c r="BD12" s="420">
        <f t="shared" si="46"/>
        <v>0</v>
      </c>
      <c r="BE12" s="421">
        <f t="shared" si="47"/>
        <v>0</v>
      </c>
      <c r="BF12" s="421">
        <f t="shared" si="48"/>
        <v>0</v>
      </c>
      <c r="BG12" s="422">
        <f t="shared" si="49"/>
        <v>0</v>
      </c>
      <c r="BH12" s="423">
        <f t="shared" si="50"/>
        <v>0</v>
      </c>
      <c r="BI12" s="424" cm="1">
        <f t="array" aca="1" ref="BI12" ca="1">SUM(IFERROR(GETPIVOTDATA("QTY",$SN$5,"Size (inch)",A12),0),IFERROR(GETPIVOTDATA("QTY",$SN$5,"Size (inch)",B12),0),IFERROR(GETPIVOTDATA("QTY",$SN$5,"Size (inch)",C12),0),IFERROR(GETPIVPOTDATA("QTY",$SN$5,"Size (inch)",D12),0))</f>
        <v>0</v>
      </c>
      <c r="BJ12" s="425">
        <f t="shared" si="51"/>
        <v>0</v>
      </c>
      <c r="BK12" s="426">
        <f t="shared" si="52"/>
        <v>0</v>
      </c>
      <c r="BL12" s="428" t="s">
        <v>390</v>
      </c>
      <c r="BM12" s="419">
        <f t="shared" si="53"/>
        <v>0</v>
      </c>
      <c r="BN12" s="419">
        <f t="shared" si="54"/>
        <v>0</v>
      </c>
      <c r="BO12" s="419">
        <f t="shared" si="55"/>
        <v>0</v>
      </c>
      <c r="BP12" s="419">
        <f t="shared" si="56"/>
        <v>0</v>
      </c>
      <c r="BQ12" s="419">
        <f t="shared" si="57"/>
        <v>0</v>
      </c>
      <c r="BR12" s="419">
        <f t="shared" si="58"/>
        <v>0</v>
      </c>
      <c r="BS12" s="446">
        <f t="shared" si="59"/>
        <v>0</v>
      </c>
      <c r="BT12" s="446">
        <f t="shared" si="60"/>
        <v>0</v>
      </c>
      <c r="BU12" s="446">
        <f t="shared" si="61"/>
        <v>0</v>
      </c>
      <c r="BV12" s="446">
        <f t="shared" si="62"/>
        <v>0</v>
      </c>
      <c r="BW12" s="446">
        <f t="shared" si="63"/>
        <v>0</v>
      </c>
      <c r="BX12" s="446">
        <f t="shared" si="64"/>
        <v>0</v>
      </c>
      <c r="BY12" s="421">
        <f t="shared" si="65"/>
        <v>0</v>
      </c>
      <c r="BZ12" s="421">
        <f t="shared" si="66"/>
        <v>0</v>
      </c>
      <c r="CA12" s="421">
        <f t="shared" si="67"/>
        <v>0</v>
      </c>
      <c r="CB12" s="421">
        <f t="shared" si="68"/>
        <v>0</v>
      </c>
      <c r="CC12" s="421">
        <f t="shared" si="69"/>
        <v>0</v>
      </c>
      <c r="CD12" s="421">
        <f t="shared" si="70"/>
        <v>0</v>
      </c>
      <c r="CK12"/>
      <c r="CM12"/>
      <c r="GV12"/>
      <c r="GX12"/>
      <c r="LB12">
        <v>2041</v>
      </c>
      <c r="LC12" t="s">
        <v>374</v>
      </c>
      <c r="LF12" s="772">
        <v>18</v>
      </c>
      <c r="LG12" s="454">
        <v>116.3108</v>
      </c>
      <c r="LH12"/>
      <c r="LI12" t="s">
        <v>469</v>
      </c>
      <c r="LJ12"/>
      <c r="LN12" s="772">
        <v>9</v>
      </c>
      <c r="LP12" t="s">
        <v>454</v>
      </c>
      <c r="LU12" s="772">
        <v>65</v>
      </c>
      <c r="NI12"/>
      <c r="NK12"/>
      <c r="NS12" s="169"/>
      <c r="PQ12"/>
      <c r="PS12"/>
      <c r="RD12"/>
      <c r="RK12"/>
      <c r="RM12"/>
      <c r="RT12"/>
      <c r="SF12"/>
      <c r="SH12"/>
      <c r="SM12"/>
      <c r="SO12"/>
      <c r="SY12"/>
      <c r="TA12"/>
      <c r="TG12"/>
      <c r="TP12"/>
      <c r="TR12"/>
      <c r="TV12"/>
      <c r="TX12"/>
    </row>
    <row r="13" spans="1:559" x14ac:dyDescent="0.3">
      <c r="A13" s="262" t="s">
        <v>483</v>
      </c>
      <c r="B13" s="462">
        <v>2.5</v>
      </c>
      <c r="C13" s="266" t="s">
        <v>475</v>
      </c>
      <c r="D13" s="266" t="s">
        <v>376</v>
      </c>
      <c r="E13" s="412">
        <f t="shared" si="3"/>
        <v>0</v>
      </c>
      <c r="F13" s="413">
        <f t="shared" si="4"/>
        <v>0</v>
      </c>
      <c r="G13" s="148">
        <f t="shared" si="5"/>
        <v>0</v>
      </c>
      <c r="H13" s="414">
        <f t="shared" si="6"/>
        <v>0</v>
      </c>
      <c r="I13" s="415">
        <f t="shared" si="7"/>
        <v>0</v>
      </c>
      <c r="J13" s="416">
        <f t="shared" si="8"/>
        <v>0</v>
      </c>
      <c r="K13" s="417">
        <f t="shared" si="9"/>
        <v>0</v>
      </c>
      <c r="L13" s="418">
        <f t="shared" si="10"/>
        <v>0</v>
      </c>
      <c r="M13" s="419">
        <f t="shared" si="11"/>
        <v>0</v>
      </c>
      <c r="N13" s="420">
        <f t="shared" si="12"/>
        <v>0</v>
      </c>
      <c r="O13" s="421">
        <f t="shared" si="13"/>
        <v>0</v>
      </c>
      <c r="P13" s="422">
        <f t="shared" si="14"/>
        <v>0</v>
      </c>
      <c r="Q13" s="423">
        <f t="shared" si="15"/>
        <v>0</v>
      </c>
      <c r="R13" s="424">
        <f t="shared" si="16"/>
        <v>0</v>
      </c>
      <c r="S13" s="425">
        <f t="shared" si="17"/>
        <v>0</v>
      </c>
      <c r="T13" s="426">
        <f t="shared" si="18"/>
        <v>0</v>
      </c>
      <c r="U13" s="428" t="s">
        <v>376</v>
      </c>
      <c r="V13" s="419">
        <f t="shared" si="19"/>
        <v>0</v>
      </c>
      <c r="W13" s="420">
        <f t="shared" si="20"/>
        <v>0</v>
      </c>
      <c r="X13" s="421">
        <f t="shared" si="21"/>
        <v>0</v>
      </c>
      <c r="Y13" s="422">
        <f t="shared" si="22"/>
        <v>0</v>
      </c>
      <c r="Z13" s="423">
        <f t="shared" si="23"/>
        <v>0</v>
      </c>
      <c r="AA13" s="424">
        <f t="shared" si="24"/>
        <v>0</v>
      </c>
      <c r="AB13" s="425">
        <f t="shared" si="25"/>
        <v>0</v>
      </c>
      <c r="AC13" s="426">
        <f t="shared" si="26"/>
        <v>0</v>
      </c>
      <c r="AD13" s="428" t="s">
        <v>376</v>
      </c>
      <c r="AE13" s="419">
        <f t="shared" si="27"/>
        <v>0</v>
      </c>
      <c r="AF13" s="420">
        <f t="shared" si="28"/>
        <v>0</v>
      </c>
      <c r="AG13" s="419">
        <f t="shared" si="29"/>
        <v>0</v>
      </c>
      <c r="AH13" s="420">
        <f t="shared" si="30"/>
        <v>0</v>
      </c>
      <c r="AI13" s="421">
        <f t="shared" si="31"/>
        <v>0</v>
      </c>
      <c r="AJ13" s="421">
        <f t="shared" si="71"/>
        <v>0</v>
      </c>
      <c r="AK13" s="443"/>
      <c r="AL13" s="428" t="s">
        <v>430</v>
      </c>
      <c r="AM13" s="428" t="s">
        <v>376</v>
      </c>
      <c r="AN13" s="419">
        <f t="shared" si="32"/>
        <v>0</v>
      </c>
      <c r="AO13" s="420">
        <f t="shared" si="33"/>
        <v>0</v>
      </c>
      <c r="AP13" s="419">
        <f t="shared" si="72"/>
        <v>0</v>
      </c>
      <c r="AQ13" s="420">
        <f t="shared" si="73"/>
        <v>0</v>
      </c>
      <c r="AR13" s="419">
        <f t="shared" si="34"/>
        <v>0</v>
      </c>
      <c r="AS13" s="420">
        <f t="shared" si="35"/>
        <v>0</v>
      </c>
      <c r="AT13" s="421">
        <f t="shared" si="36"/>
        <v>0</v>
      </c>
      <c r="AU13" s="422">
        <f t="shared" si="37"/>
        <v>0</v>
      </c>
      <c r="AV13" s="419">
        <f t="shared" si="38"/>
        <v>0</v>
      </c>
      <c r="AW13" s="420">
        <f t="shared" si="39"/>
        <v>0</v>
      </c>
      <c r="AX13" s="421">
        <f t="shared" si="40"/>
        <v>0</v>
      </c>
      <c r="AY13" s="422">
        <f t="shared" si="41"/>
        <v>0</v>
      </c>
      <c r="AZ13" s="419">
        <f t="shared" si="42"/>
        <v>0</v>
      </c>
      <c r="BA13" s="420">
        <f t="shared" si="43"/>
        <v>0</v>
      </c>
      <c r="BB13" s="421">
        <f t="shared" si="44"/>
        <v>0</v>
      </c>
      <c r="BC13" s="419">
        <f t="shared" si="45"/>
        <v>0</v>
      </c>
      <c r="BD13" s="420">
        <f t="shared" si="46"/>
        <v>0</v>
      </c>
      <c r="BE13" s="421">
        <f t="shared" si="47"/>
        <v>0</v>
      </c>
      <c r="BF13" s="421">
        <f t="shared" si="48"/>
        <v>0</v>
      </c>
      <c r="BG13" s="422">
        <f t="shared" si="49"/>
        <v>0</v>
      </c>
      <c r="BH13" s="423">
        <f t="shared" si="50"/>
        <v>0</v>
      </c>
      <c r="BI13" s="424" cm="1">
        <f t="array" aca="1" ref="BI13" ca="1">SUM(IFERROR(GETPIVOTDATA("QTY",$SN$5,"Size (inch)",A13),0),IFERROR(GETPIVOTDATA("QTY",$SN$5,"Size (inch)",B13),0),IFERROR(GETPIVOTDATA("QTY",$SN$5,"Size (inch)",C13),0),IFERROR(GETPIVPOTDATA("QTY",$SN$5,"Size (inch)",D13),0))</f>
        <v>0</v>
      </c>
      <c r="BJ13" s="425">
        <f t="shared" si="51"/>
        <v>0</v>
      </c>
      <c r="BK13" s="426">
        <f t="shared" si="52"/>
        <v>0</v>
      </c>
      <c r="BL13" s="428" t="s">
        <v>376</v>
      </c>
      <c r="BM13" s="419">
        <f t="shared" si="53"/>
        <v>0</v>
      </c>
      <c r="BN13" s="419">
        <f t="shared" si="54"/>
        <v>0</v>
      </c>
      <c r="BO13" s="419">
        <f t="shared" si="55"/>
        <v>0</v>
      </c>
      <c r="BP13" s="419">
        <f t="shared" si="56"/>
        <v>0</v>
      </c>
      <c r="BQ13" s="419">
        <f t="shared" si="57"/>
        <v>0</v>
      </c>
      <c r="BR13" s="419">
        <f t="shared" si="58"/>
        <v>0</v>
      </c>
      <c r="BS13" s="446">
        <f t="shared" si="59"/>
        <v>0</v>
      </c>
      <c r="BT13" s="446">
        <f t="shared" si="60"/>
        <v>0</v>
      </c>
      <c r="BU13" s="446">
        <f t="shared" si="61"/>
        <v>0</v>
      </c>
      <c r="BV13" s="446">
        <f t="shared" si="62"/>
        <v>0</v>
      </c>
      <c r="BW13" s="446">
        <f t="shared" si="63"/>
        <v>0</v>
      </c>
      <c r="BX13" s="446">
        <f t="shared" si="64"/>
        <v>0</v>
      </c>
      <c r="BY13" s="421">
        <f t="shared" si="65"/>
        <v>0</v>
      </c>
      <c r="BZ13" s="421">
        <f t="shared" si="66"/>
        <v>0</v>
      </c>
      <c r="CA13" s="421">
        <f t="shared" si="67"/>
        <v>0</v>
      </c>
      <c r="CB13" s="421">
        <f t="shared" si="68"/>
        <v>0</v>
      </c>
      <c r="CC13" s="421">
        <f t="shared" si="69"/>
        <v>0</v>
      </c>
      <c r="CD13" s="421">
        <f t="shared" si="70"/>
        <v>0</v>
      </c>
      <c r="CK13"/>
      <c r="CM13"/>
      <c r="GV13"/>
      <c r="GX13"/>
      <c r="LB13">
        <v>2041</v>
      </c>
      <c r="LC13" t="s">
        <v>374</v>
      </c>
      <c r="LD13" t="s">
        <v>553</v>
      </c>
      <c r="LE13" t="s">
        <v>547</v>
      </c>
      <c r="LF13" s="772">
        <v>18</v>
      </c>
      <c r="LG13" s="454">
        <v>116.3108</v>
      </c>
      <c r="LH13"/>
      <c r="LI13" t="s">
        <v>469</v>
      </c>
      <c r="LJ13">
        <v>2051</v>
      </c>
      <c r="LK13" t="s">
        <v>593</v>
      </c>
      <c r="LL13" t="s">
        <v>553</v>
      </c>
      <c r="LM13" t="s">
        <v>547</v>
      </c>
      <c r="LN13" s="772">
        <v>1</v>
      </c>
      <c r="NI13"/>
      <c r="NK13"/>
      <c r="PQ13"/>
      <c r="PS13"/>
      <c r="RD13"/>
      <c r="RK13"/>
      <c r="RM13"/>
      <c r="RT13"/>
      <c r="SF13"/>
      <c r="SH13"/>
      <c r="SM13"/>
      <c r="SO13"/>
      <c r="SY13"/>
      <c r="TA13"/>
      <c r="TG13"/>
      <c r="TP13"/>
      <c r="TR13"/>
      <c r="TV13"/>
      <c r="TX13"/>
    </row>
    <row r="14" spans="1:559" x14ac:dyDescent="0.3">
      <c r="A14" s="262"/>
      <c r="B14" s="262"/>
      <c r="C14" s="266" t="s">
        <v>476</v>
      </c>
      <c r="D14" s="266" t="s">
        <v>391</v>
      </c>
      <c r="E14" s="412">
        <f t="shared" si="3"/>
        <v>0</v>
      </c>
      <c r="F14" s="413">
        <f t="shared" si="4"/>
        <v>0</v>
      </c>
      <c r="G14" s="148">
        <f t="shared" si="5"/>
        <v>0</v>
      </c>
      <c r="H14" s="414">
        <f t="shared" si="6"/>
        <v>0</v>
      </c>
      <c r="I14" s="415">
        <f t="shared" si="7"/>
        <v>0</v>
      </c>
      <c r="J14" s="416">
        <f t="shared" si="8"/>
        <v>0</v>
      </c>
      <c r="K14" s="417">
        <f t="shared" si="9"/>
        <v>0</v>
      </c>
      <c r="L14" s="418">
        <f t="shared" si="10"/>
        <v>0</v>
      </c>
      <c r="M14" s="419">
        <f t="shared" si="11"/>
        <v>0</v>
      </c>
      <c r="N14" s="420">
        <f t="shared" si="12"/>
        <v>0</v>
      </c>
      <c r="O14" s="421">
        <f t="shared" si="13"/>
        <v>0</v>
      </c>
      <c r="P14" s="422">
        <f t="shared" si="14"/>
        <v>0</v>
      </c>
      <c r="Q14" s="423">
        <f t="shared" si="15"/>
        <v>0</v>
      </c>
      <c r="R14" s="424">
        <f t="shared" si="16"/>
        <v>0</v>
      </c>
      <c r="S14" s="425">
        <f t="shared" si="17"/>
        <v>0</v>
      </c>
      <c r="T14" s="426">
        <f t="shared" si="18"/>
        <v>0</v>
      </c>
      <c r="U14" s="428" t="s">
        <v>391</v>
      </c>
      <c r="V14" s="419">
        <f t="shared" si="19"/>
        <v>0</v>
      </c>
      <c r="W14" s="420">
        <f t="shared" si="20"/>
        <v>0</v>
      </c>
      <c r="X14" s="421">
        <f t="shared" si="21"/>
        <v>0</v>
      </c>
      <c r="Y14" s="422">
        <f t="shared" si="22"/>
        <v>0</v>
      </c>
      <c r="Z14" s="423">
        <f t="shared" si="23"/>
        <v>0</v>
      </c>
      <c r="AA14" s="424">
        <f t="shared" si="24"/>
        <v>0</v>
      </c>
      <c r="AB14" s="425">
        <f t="shared" si="25"/>
        <v>0</v>
      </c>
      <c r="AC14" s="426">
        <f t="shared" si="26"/>
        <v>0</v>
      </c>
      <c r="AD14" s="428" t="s">
        <v>391</v>
      </c>
      <c r="AE14" s="419">
        <f t="shared" si="27"/>
        <v>0</v>
      </c>
      <c r="AF14" s="420">
        <f t="shared" si="28"/>
        <v>0</v>
      </c>
      <c r="AG14" s="419">
        <f t="shared" si="29"/>
        <v>0</v>
      </c>
      <c r="AH14" s="420">
        <f t="shared" si="30"/>
        <v>0</v>
      </c>
      <c r="AI14" s="421">
        <f t="shared" si="31"/>
        <v>0</v>
      </c>
      <c r="AJ14" s="421">
        <f t="shared" si="71"/>
        <v>0</v>
      </c>
      <c r="AK14" s="443"/>
      <c r="AL14" s="428" t="s">
        <v>391</v>
      </c>
      <c r="AM14" s="428" t="s">
        <v>391</v>
      </c>
      <c r="AN14" s="419">
        <f t="shared" si="32"/>
        <v>0</v>
      </c>
      <c r="AO14" s="420">
        <f t="shared" si="33"/>
        <v>0</v>
      </c>
      <c r="AP14" s="419">
        <f t="shared" si="72"/>
        <v>0</v>
      </c>
      <c r="AQ14" s="420">
        <f t="shared" si="73"/>
        <v>0</v>
      </c>
      <c r="AR14" s="419">
        <f t="shared" si="34"/>
        <v>0</v>
      </c>
      <c r="AS14" s="420">
        <f t="shared" si="35"/>
        <v>0</v>
      </c>
      <c r="AT14" s="421">
        <f t="shared" si="36"/>
        <v>0</v>
      </c>
      <c r="AU14" s="422">
        <f t="shared" si="37"/>
        <v>0</v>
      </c>
      <c r="AV14" s="419">
        <f t="shared" si="38"/>
        <v>0</v>
      </c>
      <c r="AW14" s="420">
        <f t="shared" si="39"/>
        <v>0</v>
      </c>
      <c r="AX14" s="421">
        <f t="shared" si="40"/>
        <v>0</v>
      </c>
      <c r="AY14" s="422">
        <f t="shared" si="41"/>
        <v>0</v>
      </c>
      <c r="AZ14" s="419">
        <f t="shared" si="42"/>
        <v>0</v>
      </c>
      <c r="BA14" s="420">
        <f t="shared" si="43"/>
        <v>0</v>
      </c>
      <c r="BB14" s="421">
        <f t="shared" si="44"/>
        <v>0</v>
      </c>
      <c r="BC14" s="419">
        <f t="shared" si="45"/>
        <v>0</v>
      </c>
      <c r="BD14" s="420">
        <f t="shared" si="46"/>
        <v>0</v>
      </c>
      <c r="BE14" s="421">
        <f t="shared" si="47"/>
        <v>0</v>
      </c>
      <c r="BF14" s="421">
        <f t="shared" si="48"/>
        <v>0</v>
      </c>
      <c r="BG14" s="422">
        <f t="shared" si="49"/>
        <v>0</v>
      </c>
      <c r="BH14" s="423">
        <f t="shared" si="50"/>
        <v>0</v>
      </c>
      <c r="BI14" s="424" cm="1">
        <f t="array" aca="1" ref="BI14" ca="1">SUM(IFERROR(GETPIVOTDATA("QTY",$SN$5,"Size (inch)",A14),0),IFERROR(GETPIVOTDATA("QTY",$SN$5,"Size (inch)",B14),0),IFERROR(GETPIVOTDATA("QTY",$SN$5,"Size (inch)",C14),0),IFERROR(GETPIVPOTDATA("QTY",$SN$5,"Size (inch)",D14),0))</f>
        <v>0</v>
      </c>
      <c r="BJ14" s="425">
        <f t="shared" si="51"/>
        <v>0</v>
      </c>
      <c r="BK14" s="426">
        <f t="shared" si="52"/>
        <v>0</v>
      </c>
      <c r="BL14" s="428" t="s">
        <v>391</v>
      </c>
      <c r="BM14" s="419">
        <f t="shared" si="53"/>
        <v>0</v>
      </c>
      <c r="BN14" s="419">
        <f t="shared" si="54"/>
        <v>0</v>
      </c>
      <c r="BO14" s="419">
        <f t="shared" si="55"/>
        <v>0</v>
      </c>
      <c r="BP14" s="419">
        <f t="shared" si="56"/>
        <v>0</v>
      </c>
      <c r="BQ14" s="419">
        <f t="shared" si="57"/>
        <v>0</v>
      </c>
      <c r="BR14" s="419">
        <f t="shared" si="58"/>
        <v>0</v>
      </c>
      <c r="BS14" s="446">
        <f t="shared" si="59"/>
        <v>0</v>
      </c>
      <c r="BT14" s="446">
        <f t="shared" si="60"/>
        <v>0</v>
      </c>
      <c r="BU14" s="446">
        <f t="shared" si="61"/>
        <v>0</v>
      </c>
      <c r="BV14" s="446">
        <f t="shared" si="62"/>
        <v>0</v>
      </c>
      <c r="BW14" s="446">
        <f t="shared" si="63"/>
        <v>0</v>
      </c>
      <c r="BX14" s="446">
        <f t="shared" si="64"/>
        <v>0</v>
      </c>
      <c r="BY14" s="421">
        <f t="shared" si="65"/>
        <v>0</v>
      </c>
      <c r="BZ14" s="421">
        <f t="shared" si="66"/>
        <v>0</v>
      </c>
      <c r="CA14" s="421">
        <f t="shared" si="67"/>
        <v>0</v>
      </c>
      <c r="CB14" s="421">
        <f t="shared" si="68"/>
        <v>0</v>
      </c>
      <c r="CC14" s="421">
        <f t="shared" si="69"/>
        <v>0</v>
      </c>
      <c r="CD14" s="421">
        <f t="shared" si="70"/>
        <v>0</v>
      </c>
      <c r="CK14"/>
      <c r="CM14"/>
      <c r="GV14"/>
      <c r="GX14"/>
      <c r="LB14">
        <v>2041</v>
      </c>
      <c r="LC14" t="s">
        <v>374</v>
      </c>
      <c r="LD14" t="s">
        <v>856</v>
      </c>
      <c r="LF14" s="772">
        <v>18</v>
      </c>
      <c r="LG14" s="454">
        <v>116.3108</v>
      </c>
      <c r="LH14"/>
      <c r="LI14" t="s">
        <v>469</v>
      </c>
      <c r="LJ14">
        <v>2522</v>
      </c>
      <c r="LK14" t="s">
        <v>546</v>
      </c>
      <c r="LL14" t="s">
        <v>553</v>
      </c>
      <c r="LM14" t="s">
        <v>547</v>
      </c>
      <c r="LN14" s="772">
        <v>2</v>
      </c>
      <c r="NI14"/>
      <c r="NK14"/>
      <c r="PQ14"/>
      <c r="PS14"/>
      <c r="RD14"/>
      <c r="RK14"/>
      <c r="RM14"/>
      <c r="RT14"/>
      <c r="SF14"/>
      <c r="SH14"/>
      <c r="SM14"/>
      <c r="SO14"/>
      <c r="SY14"/>
      <c r="TA14"/>
      <c r="TG14"/>
      <c r="TP14"/>
      <c r="TR14"/>
      <c r="TV14"/>
      <c r="TX14"/>
    </row>
    <row r="15" spans="1:559" x14ac:dyDescent="0.3">
      <c r="A15" s="262"/>
      <c r="B15" s="262"/>
      <c r="C15" s="266" t="s">
        <v>225</v>
      </c>
      <c r="D15" s="266" t="s">
        <v>392</v>
      </c>
      <c r="E15" s="412">
        <f t="shared" si="3"/>
        <v>0</v>
      </c>
      <c r="F15" s="413">
        <f t="shared" si="4"/>
        <v>0</v>
      </c>
      <c r="G15" s="148">
        <f t="shared" si="5"/>
        <v>0</v>
      </c>
      <c r="H15" s="414">
        <f t="shared" si="6"/>
        <v>0</v>
      </c>
      <c r="I15" s="415">
        <f t="shared" si="7"/>
        <v>0</v>
      </c>
      <c r="J15" s="416">
        <f t="shared" si="8"/>
        <v>0</v>
      </c>
      <c r="K15" s="417">
        <f t="shared" si="9"/>
        <v>0</v>
      </c>
      <c r="L15" s="418">
        <f t="shared" si="10"/>
        <v>0</v>
      </c>
      <c r="M15" s="419">
        <f t="shared" si="11"/>
        <v>0</v>
      </c>
      <c r="N15" s="420">
        <f t="shared" si="12"/>
        <v>0</v>
      </c>
      <c r="O15" s="421">
        <f t="shared" si="13"/>
        <v>0</v>
      </c>
      <c r="P15" s="422">
        <f t="shared" si="14"/>
        <v>0</v>
      </c>
      <c r="Q15" s="423">
        <f t="shared" si="15"/>
        <v>0</v>
      </c>
      <c r="R15" s="424">
        <f t="shared" si="16"/>
        <v>0</v>
      </c>
      <c r="S15" s="425">
        <f t="shared" si="17"/>
        <v>0</v>
      </c>
      <c r="T15" s="426">
        <f t="shared" si="18"/>
        <v>0</v>
      </c>
      <c r="U15" s="428" t="s">
        <v>392</v>
      </c>
      <c r="V15" s="419">
        <f t="shared" si="19"/>
        <v>0</v>
      </c>
      <c r="W15" s="420">
        <f t="shared" si="20"/>
        <v>0</v>
      </c>
      <c r="X15" s="421">
        <f t="shared" si="21"/>
        <v>0</v>
      </c>
      <c r="Y15" s="422">
        <f t="shared" si="22"/>
        <v>0</v>
      </c>
      <c r="Z15" s="423">
        <f t="shared" si="23"/>
        <v>0</v>
      </c>
      <c r="AA15" s="424">
        <f t="shared" si="24"/>
        <v>0</v>
      </c>
      <c r="AB15" s="425">
        <f t="shared" si="25"/>
        <v>0</v>
      </c>
      <c r="AC15" s="426">
        <f t="shared" si="26"/>
        <v>0</v>
      </c>
      <c r="AD15" s="428" t="s">
        <v>392</v>
      </c>
      <c r="AE15" s="419">
        <f t="shared" si="27"/>
        <v>0</v>
      </c>
      <c r="AF15" s="420">
        <f t="shared" si="28"/>
        <v>0</v>
      </c>
      <c r="AG15" s="419">
        <f t="shared" si="29"/>
        <v>0</v>
      </c>
      <c r="AH15" s="420">
        <f t="shared" si="30"/>
        <v>0</v>
      </c>
      <c r="AI15" s="421">
        <f t="shared" si="31"/>
        <v>0</v>
      </c>
      <c r="AJ15" s="421">
        <f t="shared" si="71"/>
        <v>0</v>
      </c>
      <c r="AK15" s="443"/>
      <c r="AL15" s="428" t="s">
        <v>392</v>
      </c>
      <c r="AM15" s="428" t="s">
        <v>392</v>
      </c>
      <c r="AN15" s="419">
        <f t="shared" si="32"/>
        <v>0</v>
      </c>
      <c r="AO15" s="420">
        <f t="shared" si="33"/>
        <v>0</v>
      </c>
      <c r="AP15" s="419">
        <f t="shared" si="72"/>
        <v>0</v>
      </c>
      <c r="AQ15" s="420">
        <f t="shared" si="73"/>
        <v>0</v>
      </c>
      <c r="AR15" s="419">
        <f t="shared" si="34"/>
        <v>0</v>
      </c>
      <c r="AS15" s="420">
        <f t="shared" si="35"/>
        <v>0</v>
      </c>
      <c r="AT15" s="421">
        <f t="shared" si="36"/>
        <v>0</v>
      </c>
      <c r="AU15" s="422">
        <f t="shared" si="37"/>
        <v>0</v>
      </c>
      <c r="AV15" s="419">
        <f t="shared" si="38"/>
        <v>0</v>
      </c>
      <c r="AW15" s="420">
        <f t="shared" si="39"/>
        <v>0</v>
      </c>
      <c r="AX15" s="421">
        <f t="shared" si="40"/>
        <v>0</v>
      </c>
      <c r="AY15" s="422">
        <f t="shared" si="41"/>
        <v>0</v>
      </c>
      <c r="AZ15" s="419">
        <f t="shared" si="42"/>
        <v>0</v>
      </c>
      <c r="BA15" s="420">
        <f t="shared" si="43"/>
        <v>0</v>
      </c>
      <c r="BB15" s="421">
        <f t="shared" si="44"/>
        <v>0</v>
      </c>
      <c r="BC15" s="419">
        <f t="shared" si="45"/>
        <v>0</v>
      </c>
      <c r="BD15" s="420">
        <f t="shared" si="46"/>
        <v>0</v>
      </c>
      <c r="BE15" s="421">
        <f t="shared" si="47"/>
        <v>0</v>
      </c>
      <c r="BF15" s="421">
        <f t="shared" si="48"/>
        <v>0</v>
      </c>
      <c r="BG15" s="422">
        <f t="shared" si="49"/>
        <v>0</v>
      </c>
      <c r="BH15" s="423">
        <f t="shared" si="50"/>
        <v>0</v>
      </c>
      <c r="BI15" s="424" cm="1">
        <f t="array" aca="1" ref="BI15" ca="1">SUM(IFERROR(GETPIVOTDATA("QTY",$SN$5,"Size (inch)",A15),0),IFERROR(GETPIVOTDATA("QTY",$SN$5,"Size (inch)",B15),0),IFERROR(GETPIVOTDATA("QTY",$SN$5,"Size (inch)",C15),0),IFERROR(GETPIVPOTDATA("QTY",$SN$5,"Size (inch)",D15),0))</f>
        <v>0</v>
      </c>
      <c r="BJ15" s="425">
        <f t="shared" si="51"/>
        <v>0</v>
      </c>
      <c r="BK15" s="426">
        <f t="shared" si="52"/>
        <v>0</v>
      </c>
      <c r="BL15" s="428" t="s">
        <v>392</v>
      </c>
      <c r="BM15" s="419">
        <f t="shared" si="53"/>
        <v>0</v>
      </c>
      <c r="BN15" s="419">
        <f t="shared" si="54"/>
        <v>0</v>
      </c>
      <c r="BO15" s="419">
        <f t="shared" si="55"/>
        <v>0</v>
      </c>
      <c r="BP15" s="419">
        <f t="shared" si="56"/>
        <v>0</v>
      </c>
      <c r="BQ15" s="419">
        <f t="shared" si="57"/>
        <v>0</v>
      </c>
      <c r="BR15" s="419">
        <f t="shared" si="58"/>
        <v>0</v>
      </c>
      <c r="BS15" s="446">
        <f t="shared" si="59"/>
        <v>0</v>
      </c>
      <c r="BT15" s="446">
        <f t="shared" si="60"/>
        <v>0</v>
      </c>
      <c r="BU15" s="446">
        <f t="shared" si="61"/>
        <v>0</v>
      </c>
      <c r="BV15" s="446">
        <f t="shared" si="62"/>
        <v>0</v>
      </c>
      <c r="BW15" s="446">
        <f t="shared" si="63"/>
        <v>0</v>
      </c>
      <c r="BX15" s="446">
        <f t="shared" si="64"/>
        <v>0</v>
      </c>
      <c r="BY15" s="421">
        <f t="shared" si="65"/>
        <v>0</v>
      </c>
      <c r="BZ15" s="421">
        <f t="shared" si="66"/>
        <v>0</v>
      </c>
      <c r="CA15" s="421">
        <f t="shared" si="67"/>
        <v>0</v>
      </c>
      <c r="CB15" s="421">
        <f t="shared" si="68"/>
        <v>0</v>
      </c>
      <c r="CC15" s="421">
        <f t="shared" si="69"/>
        <v>0</v>
      </c>
      <c r="CD15" s="421">
        <f t="shared" si="70"/>
        <v>0</v>
      </c>
      <c r="CK15"/>
      <c r="CM15"/>
      <c r="GV15"/>
      <c r="GX15"/>
      <c r="LB15" t="s">
        <v>857</v>
      </c>
      <c r="LF15" s="772">
        <v>31</v>
      </c>
      <c r="LG15" s="454">
        <v>200.01740000000001</v>
      </c>
      <c r="LH15"/>
      <c r="LI15" t="s">
        <v>469</v>
      </c>
      <c r="LJ15">
        <v>2523</v>
      </c>
      <c r="LK15" t="s">
        <v>546</v>
      </c>
      <c r="LL15" t="s">
        <v>553</v>
      </c>
      <c r="LM15" t="s">
        <v>547</v>
      </c>
      <c r="LN15" s="772">
        <v>3</v>
      </c>
      <c r="NI15"/>
      <c r="NK15"/>
      <c r="PQ15"/>
      <c r="PS15"/>
      <c r="RD15"/>
      <c r="RK15"/>
      <c r="RM15"/>
      <c r="RT15"/>
      <c r="SF15"/>
      <c r="SH15"/>
      <c r="SM15"/>
      <c r="SO15"/>
      <c r="SY15"/>
      <c r="TA15"/>
      <c r="TG15"/>
      <c r="TP15"/>
      <c r="TR15"/>
      <c r="TV15"/>
      <c r="TX15"/>
    </row>
    <row r="16" spans="1:559" x14ac:dyDescent="0.3">
      <c r="A16" s="262"/>
      <c r="B16" s="262"/>
      <c r="C16" s="266" t="s">
        <v>224</v>
      </c>
      <c r="D16" s="266" t="s">
        <v>393</v>
      </c>
      <c r="E16" s="412">
        <f t="shared" si="3"/>
        <v>0</v>
      </c>
      <c r="F16" s="413">
        <f t="shared" si="4"/>
        <v>0</v>
      </c>
      <c r="G16" s="148">
        <f t="shared" si="5"/>
        <v>0</v>
      </c>
      <c r="H16" s="414">
        <f t="shared" si="6"/>
        <v>0</v>
      </c>
      <c r="I16" s="415">
        <f t="shared" si="7"/>
        <v>0</v>
      </c>
      <c r="J16" s="416">
        <f t="shared" si="8"/>
        <v>0</v>
      </c>
      <c r="K16" s="417">
        <f t="shared" si="9"/>
        <v>0</v>
      </c>
      <c r="L16" s="418">
        <f t="shared" si="10"/>
        <v>0</v>
      </c>
      <c r="M16" s="419">
        <f t="shared" si="11"/>
        <v>0</v>
      </c>
      <c r="N16" s="420">
        <f t="shared" si="12"/>
        <v>0</v>
      </c>
      <c r="O16" s="421">
        <f t="shared" si="13"/>
        <v>0</v>
      </c>
      <c r="P16" s="422">
        <f t="shared" si="14"/>
        <v>0</v>
      </c>
      <c r="Q16" s="423">
        <f t="shared" si="15"/>
        <v>0</v>
      </c>
      <c r="R16" s="424">
        <f t="shared" si="16"/>
        <v>0</v>
      </c>
      <c r="S16" s="425">
        <f t="shared" si="17"/>
        <v>0</v>
      </c>
      <c r="T16" s="426">
        <f t="shared" si="18"/>
        <v>0</v>
      </c>
      <c r="U16" s="428" t="s">
        <v>393</v>
      </c>
      <c r="V16" s="419">
        <f t="shared" si="19"/>
        <v>0</v>
      </c>
      <c r="W16" s="420">
        <f t="shared" si="20"/>
        <v>0</v>
      </c>
      <c r="X16" s="421">
        <f t="shared" si="21"/>
        <v>0</v>
      </c>
      <c r="Y16" s="422">
        <f t="shared" si="22"/>
        <v>0</v>
      </c>
      <c r="Z16" s="423">
        <f t="shared" si="23"/>
        <v>0</v>
      </c>
      <c r="AA16" s="424">
        <f t="shared" si="24"/>
        <v>0</v>
      </c>
      <c r="AB16" s="425">
        <f t="shared" si="25"/>
        <v>0</v>
      </c>
      <c r="AC16" s="426">
        <f t="shared" si="26"/>
        <v>0</v>
      </c>
      <c r="AD16" s="428" t="s">
        <v>393</v>
      </c>
      <c r="AE16" s="419">
        <f t="shared" si="27"/>
        <v>0</v>
      </c>
      <c r="AF16" s="420">
        <f t="shared" si="28"/>
        <v>0</v>
      </c>
      <c r="AG16" s="419">
        <f t="shared" si="29"/>
        <v>0</v>
      </c>
      <c r="AH16" s="420">
        <f t="shared" si="30"/>
        <v>0</v>
      </c>
      <c r="AI16" s="421">
        <f t="shared" si="31"/>
        <v>0</v>
      </c>
      <c r="AJ16" s="421">
        <f t="shared" si="71"/>
        <v>0</v>
      </c>
      <c r="AK16" s="443"/>
      <c r="AL16" s="428" t="s">
        <v>393</v>
      </c>
      <c r="AM16" s="428" t="s">
        <v>393</v>
      </c>
      <c r="AN16" s="419">
        <f t="shared" si="32"/>
        <v>0</v>
      </c>
      <c r="AO16" s="420">
        <f t="shared" si="33"/>
        <v>0</v>
      </c>
      <c r="AP16" s="419">
        <f t="shared" si="72"/>
        <v>0</v>
      </c>
      <c r="AQ16" s="420">
        <f t="shared" si="73"/>
        <v>0</v>
      </c>
      <c r="AR16" s="419">
        <f t="shared" si="34"/>
        <v>0</v>
      </c>
      <c r="AS16" s="420">
        <f t="shared" si="35"/>
        <v>0</v>
      </c>
      <c r="AT16" s="421">
        <f t="shared" si="36"/>
        <v>0</v>
      </c>
      <c r="AU16" s="422">
        <f t="shared" si="37"/>
        <v>0</v>
      </c>
      <c r="AV16" s="419">
        <f t="shared" si="38"/>
        <v>0</v>
      </c>
      <c r="AW16" s="420">
        <f t="shared" si="39"/>
        <v>0</v>
      </c>
      <c r="AX16" s="421">
        <f t="shared" si="40"/>
        <v>0</v>
      </c>
      <c r="AY16" s="422">
        <f t="shared" si="41"/>
        <v>0</v>
      </c>
      <c r="AZ16" s="419">
        <f t="shared" si="42"/>
        <v>0</v>
      </c>
      <c r="BA16" s="420">
        <f t="shared" si="43"/>
        <v>0</v>
      </c>
      <c r="BB16" s="421">
        <f t="shared" si="44"/>
        <v>0</v>
      </c>
      <c r="BC16" s="419">
        <f t="shared" si="45"/>
        <v>0</v>
      </c>
      <c r="BD16" s="420">
        <f t="shared" si="46"/>
        <v>0</v>
      </c>
      <c r="BE16" s="421">
        <f t="shared" si="47"/>
        <v>0</v>
      </c>
      <c r="BF16" s="421">
        <f t="shared" si="48"/>
        <v>0</v>
      </c>
      <c r="BG16" s="422">
        <f t="shared" si="49"/>
        <v>0</v>
      </c>
      <c r="BH16" s="423">
        <f t="shared" si="50"/>
        <v>0</v>
      </c>
      <c r="BI16" s="424" cm="1">
        <f t="array" aca="1" ref="BI16" ca="1">SUM(IFERROR(GETPIVOTDATA("QTY",$SN$5,"Size (inch)",A16),0),IFERROR(GETPIVOTDATA("QTY",$SN$5,"Size (inch)",B16),0),IFERROR(GETPIVOTDATA("QTY",$SN$5,"Size (inch)",C16),0),IFERROR(GETPIVPOTDATA("QTY",$SN$5,"Size (inch)",D16),0))</f>
        <v>0</v>
      </c>
      <c r="BJ16" s="425">
        <f t="shared" si="51"/>
        <v>0</v>
      </c>
      <c r="BK16" s="426">
        <f t="shared" si="52"/>
        <v>0</v>
      </c>
      <c r="BL16" s="428" t="s">
        <v>393</v>
      </c>
      <c r="BM16" s="419">
        <f t="shared" si="53"/>
        <v>0</v>
      </c>
      <c r="BN16" s="419">
        <f t="shared" si="54"/>
        <v>0</v>
      </c>
      <c r="BO16" s="419">
        <f t="shared" si="55"/>
        <v>0</v>
      </c>
      <c r="BP16" s="419">
        <f t="shared" si="56"/>
        <v>0</v>
      </c>
      <c r="BQ16" s="419">
        <f t="shared" si="57"/>
        <v>0</v>
      </c>
      <c r="BR16" s="419">
        <f t="shared" si="58"/>
        <v>0</v>
      </c>
      <c r="BS16" s="446">
        <f t="shared" si="59"/>
        <v>0</v>
      </c>
      <c r="BT16" s="446">
        <f t="shared" si="60"/>
        <v>0</v>
      </c>
      <c r="BU16" s="446">
        <f t="shared" si="61"/>
        <v>0</v>
      </c>
      <c r="BV16" s="446">
        <f t="shared" si="62"/>
        <v>0</v>
      </c>
      <c r="BW16" s="446">
        <f t="shared" si="63"/>
        <v>0</v>
      </c>
      <c r="BX16" s="446">
        <f t="shared" si="64"/>
        <v>0</v>
      </c>
      <c r="BY16" s="421">
        <f t="shared" si="65"/>
        <v>0</v>
      </c>
      <c r="BZ16" s="421">
        <f t="shared" si="66"/>
        <v>0</v>
      </c>
      <c r="CA16" s="421">
        <f t="shared" si="67"/>
        <v>0</v>
      </c>
      <c r="CB16" s="421">
        <f t="shared" si="68"/>
        <v>0</v>
      </c>
      <c r="CC16" s="421">
        <f t="shared" si="69"/>
        <v>0</v>
      </c>
      <c r="CD16" s="421">
        <f t="shared" si="70"/>
        <v>0</v>
      </c>
      <c r="CK16"/>
      <c r="CM16"/>
      <c r="GV16"/>
      <c r="GX16"/>
      <c r="LB16" t="s">
        <v>454</v>
      </c>
      <c r="LF16" s="772">
        <v>31</v>
      </c>
      <c r="LG16" s="454">
        <v>200.01740000000001</v>
      </c>
      <c r="LH16"/>
      <c r="LI16" t="s">
        <v>469</v>
      </c>
      <c r="LJ16">
        <v>2900</v>
      </c>
      <c r="LK16" t="s">
        <v>546</v>
      </c>
      <c r="LL16" t="s">
        <v>553</v>
      </c>
      <c r="LM16" t="s">
        <v>547</v>
      </c>
      <c r="LN16" s="772">
        <v>3</v>
      </c>
      <c r="NI16"/>
      <c r="NK16"/>
      <c r="PQ16"/>
      <c r="PS16"/>
      <c r="RD16"/>
      <c r="RK16"/>
      <c r="RM16"/>
      <c r="RT16"/>
      <c r="SF16"/>
      <c r="SH16"/>
      <c r="SM16"/>
      <c r="SO16"/>
      <c r="SY16"/>
      <c r="TA16"/>
      <c r="TG16"/>
      <c r="TP16"/>
      <c r="TR16"/>
      <c r="TV16"/>
      <c r="TX16"/>
    </row>
    <row r="17" spans="1:544" x14ac:dyDescent="0.3">
      <c r="A17" s="262"/>
      <c r="B17" s="262"/>
      <c r="C17" s="266" t="s">
        <v>226</v>
      </c>
      <c r="D17" s="266" t="s">
        <v>394</v>
      </c>
      <c r="E17" s="412">
        <f t="shared" si="3"/>
        <v>0</v>
      </c>
      <c r="F17" s="413">
        <f t="shared" si="4"/>
        <v>0</v>
      </c>
      <c r="G17" s="148">
        <f t="shared" si="5"/>
        <v>0</v>
      </c>
      <c r="H17" s="414">
        <f t="shared" si="6"/>
        <v>0</v>
      </c>
      <c r="I17" s="415">
        <f t="shared" si="7"/>
        <v>0</v>
      </c>
      <c r="J17" s="416">
        <f t="shared" si="8"/>
        <v>0</v>
      </c>
      <c r="K17" s="417">
        <f t="shared" si="9"/>
        <v>0</v>
      </c>
      <c r="L17" s="418">
        <f t="shared" si="10"/>
        <v>0</v>
      </c>
      <c r="M17" s="419">
        <f t="shared" si="11"/>
        <v>0</v>
      </c>
      <c r="N17" s="420">
        <f t="shared" si="12"/>
        <v>0</v>
      </c>
      <c r="O17" s="421">
        <f t="shared" si="13"/>
        <v>0</v>
      </c>
      <c r="P17" s="422">
        <f t="shared" si="14"/>
        <v>0</v>
      </c>
      <c r="Q17" s="423">
        <f t="shared" si="15"/>
        <v>0</v>
      </c>
      <c r="R17" s="424">
        <f t="shared" si="16"/>
        <v>0</v>
      </c>
      <c r="S17" s="425">
        <f t="shared" si="17"/>
        <v>0</v>
      </c>
      <c r="T17" s="426">
        <f t="shared" si="18"/>
        <v>0</v>
      </c>
      <c r="U17" s="428" t="s">
        <v>394</v>
      </c>
      <c r="V17" s="419">
        <f t="shared" si="19"/>
        <v>0</v>
      </c>
      <c r="W17" s="420">
        <f t="shared" si="20"/>
        <v>0</v>
      </c>
      <c r="X17" s="421">
        <f t="shared" si="21"/>
        <v>0</v>
      </c>
      <c r="Y17" s="422">
        <f t="shared" si="22"/>
        <v>0</v>
      </c>
      <c r="Z17" s="423">
        <f t="shared" si="23"/>
        <v>0</v>
      </c>
      <c r="AA17" s="424">
        <f t="shared" si="24"/>
        <v>0</v>
      </c>
      <c r="AB17" s="425">
        <f t="shared" si="25"/>
        <v>0</v>
      </c>
      <c r="AC17" s="426">
        <f t="shared" si="26"/>
        <v>0</v>
      </c>
      <c r="AD17" s="428" t="s">
        <v>394</v>
      </c>
      <c r="AE17" s="419">
        <f t="shared" si="27"/>
        <v>0</v>
      </c>
      <c r="AF17" s="420">
        <f t="shared" si="28"/>
        <v>0</v>
      </c>
      <c r="AG17" s="419">
        <f t="shared" si="29"/>
        <v>0</v>
      </c>
      <c r="AH17" s="420">
        <f t="shared" si="30"/>
        <v>0</v>
      </c>
      <c r="AI17" s="421">
        <f t="shared" si="31"/>
        <v>0</v>
      </c>
      <c r="AJ17" s="421">
        <f t="shared" si="71"/>
        <v>0</v>
      </c>
      <c r="AK17" s="443"/>
      <c r="AL17" s="428" t="s">
        <v>394</v>
      </c>
      <c r="AM17" s="428" t="s">
        <v>394</v>
      </c>
      <c r="AN17" s="419">
        <f t="shared" si="32"/>
        <v>0</v>
      </c>
      <c r="AO17" s="420">
        <f t="shared" si="33"/>
        <v>0</v>
      </c>
      <c r="AP17" s="419">
        <f t="shared" si="72"/>
        <v>0</v>
      </c>
      <c r="AQ17" s="420">
        <f t="shared" si="73"/>
        <v>0</v>
      </c>
      <c r="AR17" s="419">
        <f t="shared" si="34"/>
        <v>0</v>
      </c>
      <c r="AS17" s="420">
        <f t="shared" si="35"/>
        <v>0</v>
      </c>
      <c r="AT17" s="421">
        <f t="shared" si="36"/>
        <v>0</v>
      </c>
      <c r="AU17" s="422">
        <f t="shared" si="37"/>
        <v>0</v>
      </c>
      <c r="AV17" s="419">
        <f t="shared" si="38"/>
        <v>0</v>
      </c>
      <c r="AW17" s="420">
        <f t="shared" si="39"/>
        <v>0</v>
      </c>
      <c r="AX17" s="421">
        <f t="shared" si="40"/>
        <v>0</v>
      </c>
      <c r="AY17" s="422">
        <f t="shared" si="41"/>
        <v>0</v>
      </c>
      <c r="AZ17" s="419">
        <f t="shared" si="42"/>
        <v>0</v>
      </c>
      <c r="BA17" s="420">
        <f t="shared" si="43"/>
        <v>0</v>
      </c>
      <c r="BB17" s="421">
        <f t="shared" si="44"/>
        <v>0</v>
      </c>
      <c r="BC17" s="419">
        <f t="shared" si="45"/>
        <v>0</v>
      </c>
      <c r="BD17" s="420">
        <f t="shared" si="46"/>
        <v>0</v>
      </c>
      <c r="BE17" s="421">
        <f t="shared" si="47"/>
        <v>0</v>
      </c>
      <c r="BF17" s="421">
        <f t="shared" si="48"/>
        <v>0</v>
      </c>
      <c r="BG17" s="422">
        <f t="shared" si="49"/>
        <v>0</v>
      </c>
      <c r="BH17" s="423">
        <f t="shared" si="50"/>
        <v>0</v>
      </c>
      <c r="BI17" s="424" cm="1">
        <f t="array" aca="1" ref="BI17" ca="1">SUM(IFERROR(GETPIVOTDATA("QTY",$SN$5,"Size (inch)",A17),0),IFERROR(GETPIVOTDATA("QTY",$SN$5,"Size (inch)",B17),0),IFERROR(GETPIVOTDATA("QTY",$SN$5,"Size (inch)",C17),0),IFERROR(GETPIVPOTDATA("QTY",$SN$5,"Size (inch)",D17),0))</f>
        <v>0</v>
      </c>
      <c r="BJ17" s="425">
        <f t="shared" si="51"/>
        <v>0</v>
      </c>
      <c r="BK17" s="426">
        <f t="shared" si="52"/>
        <v>0</v>
      </c>
      <c r="BL17" s="428" t="s">
        <v>394</v>
      </c>
      <c r="BM17" s="419">
        <f t="shared" si="53"/>
        <v>0</v>
      </c>
      <c r="BN17" s="419">
        <f t="shared" si="54"/>
        <v>0</v>
      </c>
      <c r="BO17" s="419">
        <f t="shared" si="55"/>
        <v>0</v>
      </c>
      <c r="BP17" s="419">
        <f t="shared" si="56"/>
        <v>0</v>
      </c>
      <c r="BQ17" s="419">
        <f t="shared" si="57"/>
        <v>0</v>
      </c>
      <c r="BR17" s="419">
        <f t="shared" si="58"/>
        <v>0</v>
      </c>
      <c r="BS17" s="446">
        <f t="shared" si="59"/>
        <v>0</v>
      </c>
      <c r="BT17" s="446">
        <f t="shared" si="60"/>
        <v>0</v>
      </c>
      <c r="BU17" s="446">
        <f t="shared" si="61"/>
        <v>0</v>
      </c>
      <c r="BV17" s="446">
        <f t="shared" si="62"/>
        <v>0</v>
      </c>
      <c r="BW17" s="446">
        <f t="shared" si="63"/>
        <v>0</v>
      </c>
      <c r="BX17" s="446">
        <f t="shared" si="64"/>
        <v>0</v>
      </c>
      <c r="BY17" s="421">
        <f t="shared" si="65"/>
        <v>0</v>
      </c>
      <c r="BZ17" s="421">
        <f t="shared" si="66"/>
        <v>0</v>
      </c>
      <c r="CA17" s="421">
        <f t="shared" si="67"/>
        <v>0</v>
      </c>
      <c r="CB17" s="421">
        <f t="shared" si="68"/>
        <v>0</v>
      </c>
      <c r="CC17" s="421">
        <f t="shared" si="69"/>
        <v>0</v>
      </c>
      <c r="CD17" s="421">
        <f t="shared" si="70"/>
        <v>0</v>
      </c>
      <c r="CK17"/>
      <c r="CM17"/>
      <c r="GV17"/>
      <c r="GX17"/>
      <c r="LH17"/>
      <c r="LI17" t="s">
        <v>470</v>
      </c>
      <c r="LJ17"/>
      <c r="LN17" s="772">
        <v>7</v>
      </c>
      <c r="NI17"/>
      <c r="NK17"/>
      <c r="PQ17"/>
      <c r="PS17"/>
      <c r="RD17"/>
      <c r="RK17"/>
      <c r="RM17"/>
      <c r="RT17"/>
      <c r="SF17"/>
      <c r="SH17"/>
      <c r="SM17"/>
      <c r="SO17"/>
      <c r="SY17"/>
      <c r="TA17"/>
      <c r="TG17"/>
      <c r="TP17"/>
      <c r="TR17"/>
      <c r="TV17"/>
      <c r="TX17"/>
    </row>
    <row r="18" spans="1:544" x14ac:dyDescent="0.3">
      <c r="A18" s="262"/>
      <c r="B18" s="262"/>
      <c r="C18" s="266" t="s">
        <v>227</v>
      </c>
      <c r="D18" s="266" t="s">
        <v>395</v>
      </c>
      <c r="E18" s="412">
        <f t="shared" si="3"/>
        <v>0</v>
      </c>
      <c r="F18" s="413">
        <f t="shared" si="4"/>
        <v>0</v>
      </c>
      <c r="G18" s="148">
        <f t="shared" si="5"/>
        <v>0</v>
      </c>
      <c r="H18" s="414">
        <f t="shared" si="6"/>
        <v>0</v>
      </c>
      <c r="I18" s="415">
        <f t="shared" si="7"/>
        <v>0</v>
      </c>
      <c r="J18" s="416">
        <f t="shared" si="8"/>
        <v>0</v>
      </c>
      <c r="K18" s="417">
        <f t="shared" si="9"/>
        <v>0</v>
      </c>
      <c r="L18" s="418">
        <f t="shared" si="10"/>
        <v>0</v>
      </c>
      <c r="M18" s="419">
        <f t="shared" si="11"/>
        <v>0</v>
      </c>
      <c r="N18" s="420">
        <f t="shared" si="12"/>
        <v>0</v>
      </c>
      <c r="O18" s="421">
        <f t="shared" si="13"/>
        <v>0</v>
      </c>
      <c r="P18" s="422">
        <f t="shared" si="14"/>
        <v>0</v>
      </c>
      <c r="Q18" s="423">
        <f t="shared" si="15"/>
        <v>0</v>
      </c>
      <c r="R18" s="424">
        <f t="shared" si="16"/>
        <v>0</v>
      </c>
      <c r="S18" s="425">
        <f t="shared" si="17"/>
        <v>0</v>
      </c>
      <c r="T18" s="426">
        <f t="shared" si="18"/>
        <v>0</v>
      </c>
      <c r="U18" s="428" t="s">
        <v>395</v>
      </c>
      <c r="V18" s="419">
        <f t="shared" si="19"/>
        <v>0</v>
      </c>
      <c r="W18" s="420">
        <f t="shared" si="20"/>
        <v>0</v>
      </c>
      <c r="X18" s="421">
        <f t="shared" si="21"/>
        <v>0</v>
      </c>
      <c r="Y18" s="422">
        <f t="shared" si="22"/>
        <v>0</v>
      </c>
      <c r="Z18" s="423">
        <f t="shared" si="23"/>
        <v>0</v>
      </c>
      <c r="AA18" s="424">
        <f t="shared" si="24"/>
        <v>0</v>
      </c>
      <c r="AB18" s="425">
        <f t="shared" si="25"/>
        <v>0</v>
      </c>
      <c r="AC18" s="426">
        <f t="shared" si="26"/>
        <v>0</v>
      </c>
      <c r="AD18" s="428" t="s">
        <v>395</v>
      </c>
      <c r="AE18" s="419">
        <f t="shared" si="27"/>
        <v>0</v>
      </c>
      <c r="AF18" s="420">
        <f t="shared" si="28"/>
        <v>0</v>
      </c>
      <c r="AG18" s="419">
        <f t="shared" si="29"/>
        <v>0</v>
      </c>
      <c r="AH18" s="420">
        <f t="shared" si="30"/>
        <v>0</v>
      </c>
      <c r="AI18" s="421">
        <f t="shared" si="31"/>
        <v>0</v>
      </c>
      <c r="AJ18" s="421">
        <f t="shared" si="71"/>
        <v>0</v>
      </c>
      <c r="AK18" s="443"/>
      <c r="AL18" s="428" t="s">
        <v>395</v>
      </c>
      <c r="AM18" s="428" t="s">
        <v>395</v>
      </c>
      <c r="AN18" s="419">
        <f t="shared" si="32"/>
        <v>0</v>
      </c>
      <c r="AO18" s="420">
        <f t="shared" si="33"/>
        <v>0</v>
      </c>
      <c r="AP18" s="419">
        <f t="shared" si="72"/>
        <v>0</v>
      </c>
      <c r="AQ18" s="420">
        <f t="shared" si="73"/>
        <v>0</v>
      </c>
      <c r="AR18" s="419">
        <f t="shared" si="34"/>
        <v>0</v>
      </c>
      <c r="AS18" s="420">
        <f t="shared" si="35"/>
        <v>0</v>
      </c>
      <c r="AT18" s="421">
        <f t="shared" si="36"/>
        <v>0</v>
      </c>
      <c r="AU18" s="422">
        <f t="shared" si="37"/>
        <v>0</v>
      </c>
      <c r="AV18" s="419">
        <f t="shared" si="38"/>
        <v>0</v>
      </c>
      <c r="AW18" s="420">
        <f t="shared" si="39"/>
        <v>0</v>
      </c>
      <c r="AX18" s="421">
        <f t="shared" si="40"/>
        <v>0</v>
      </c>
      <c r="AY18" s="422">
        <f t="shared" si="41"/>
        <v>0</v>
      </c>
      <c r="AZ18" s="419">
        <f t="shared" si="42"/>
        <v>0</v>
      </c>
      <c r="BA18" s="420">
        <f t="shared" si="43"/>
        <v>0</v>
      </c>
      <c r="BB18" s="421">
        <f t="shared" si="44"/>
        <v>0</v>
      </c>
      <c r="BC18" s="419">
        <f t="shared" si="45"/>
        <v>0</v>
      </c>
      <c r="BD18" s="420">
        <f t="shared" si="46"/>
        <v>0</v>
      </c>
      <c r="BE18" s="421">
        <f t="shared" si="47"/>
        <v>0</v>
      </c>
      <c r="BF18" s="421">
        <f t="shared" si="48"/>
        <v>0</v>
      </c>
      <c r="BG18" s="422">
        <f t="shared" si="49"/>
        <v>0</v>
      </c>
      <c r="BH18" s="423">
        <f t="shared" si="50"/>
        <v>0</v>
      </c>
      <c r="BI18" s="424" cm="1">
        <f t="array" aca="1" ref="BI18" ca="1">SUM(IFERROR(GETPIVOTDATA("QTY",$SN$5,"Size (inch)",A18),0),IFERROR(GETPIVOTDATA("QTY",$SN$5,"Size (inch)",B18),0),IFERROR(GETPIVOTDATA("QTY",$SN$5,"Size (inch)",C18),0),IFERROR(GETPIVPOTDATA("QTY",$SN$5,"Size (inch)",D18),0))</f>
        <v>0</v>
      </c>
      <c r="BJ18" s="425">
        <f t="shared" si="51"/>
        <v>0</v>
      </c>
      <c r="BK18" s="426">
        <f t="shared" si="52"/>
        <v>0</v>
      </c>
      <c r="BL18" s="428" t="s">
        <v>395</v>
      </c>
      <c r="BM18" s="419">
        <f t="shared" si="53"/>
        <v>0</v>
      </c>
      <c r="BN18" s="419">
        <f t="shared" si="54"/>
        <v>0</v>
      </c>
      <c r="BO18" s="419">
        <f t="shared" si="55"/>
        <v>0</v>
      </c>
      <c r="BP18" s="419">
        <f t="shared" si="56"/>
        <v>0</v>
      </c>
      <c r="BQ18" s="419">
        <f t="shared" si="57"/>
        <v>0</v>
      </c>
      <c r="BR18" s="419">
        <f t="shared" si="58"/>
        <v>0</v>
      </c>
      <c r="BS18" s="446">
        <f t="shared" si="59"/>
        <v>0</v>
      </c>
      <c r="BT18" s="446">
        <f t="shared" si="60"/>
        <v>0</v>
      </c>
      <c r="BU18" s="446">
        <f t="shared" si="61"/>
        <v>0</v>
      </c>
      <c r="BV18" s="446">
        <f t="shared" si="62"/>
        <v>0</v>
      </c>
      <c r="BW18" s="446">
        <f t="shared" si="63"/>
        <v>0</v>
      </c>
      <c r="BX18" s="446">
        <f t="shared" si="64"/>
        <v>0</v>
      </c>
      <c r="BY18" s="421">
        <f t="shared" si="65"/>
        <v>0</v>
      </c>
      <c r="BZ18" s="421">
        <f t="shared" si="66"/>
        <v>0</v>
      </c>
      <c r="CA18" s="421">
        <f t="shared" si="67"/>
        <v>0</v>
      </c>
      <c r="CB18" s="421">
        <f t="shared" si="68"/>
        <v>0</v>
      </c>
      <c r="CC18" s="421">
        <f t="shared" si="69"/>
        <v>0</v>
      </c>
      <c r="CD18" s="421">
        <f t="shared" si="70"/>
        <v>0</v>
      </c>
      <c r="CK18"/>
      <c r="CM18"/>
      <c r="GV18"/>
      <c r="GX18"/>
      <c r="LH18"/>
      <c r="LI18" t="s">
        <v>470</v>
      </c>
      <c r="LJ18">
        <v>2060</v>
      </c>
      <c r="LK18" t="s">
        <v>593</v>
      </c>
      <c r="LL18" t="s">
        <v>553</v>
      </c>
      <c r="LM18" t="s">
        <v>547</v>
      </c>
      <c r="LN18" s="772">
        <v>2</v>
      </c>
      <c r="NI18"/>
      <c r="NK18"/>
      <c r="PQ18"/>
      <c r="PS18"/>
      <c r="RD18"/>
      <c r="RK18"/>
      <c r="RM18"/>
      <c r="RT18"/>
      <c r="SF18"/>
      <c r="SH18"/>
      <c r="SM18"/>
      <c r="SO18"/>
      <c r="SY18"/>
      <c r="TA18"/>
      <c r="TG18"/>
      <c r="TP18"/>
      <c r="TR18"/>
      <c r="TV18"/>
      <c r="TX18"/>
    </row>
    <row r="19" spans="1:544" x14ac:dyDescent="0.3">
      <c r="A19" s="262"/>
      <c r="B19" s="262"/>
      <c r="C19" s="266" t="s">
        <v>228</v>
      </c>
      <c r="D19" s="266" t="s">
        <v>396</v>
      </c>
      <c r="E19" s="412">
        <f t="shared" si="3"/>
        <v>0</v>
      </c>
      <c r="F19" s="413">
        <f t="shared" si="4"/>
        <v>0</v>
      </c>
      <c r="G19" s="148">
        <f t="shared" si="5"/>
        <v>0</v>
      </c>
      <c r="H19" s="414">
        <f t="shared" si="6"/>
        <v>0</v>
      </c>
      <c r="I19" s="415">
        <f t="shared" si="7"/>
        <v>0</v>
      </c>
      <c r="J19" s="416">
        <f t="shared" si="8"/>
        <v>0</v>
      </c>
      <c r="K19" s="417">
        <f t="shared" si="9"/>
        <v>0</v>
      </c>
      <c r="L19" s="418">
        <f t="shared" si="10"/>
        <v>0</v>
      </c>
      <c r="M19" s="419">
        <f t="shared" si="11"/>
        <v>0</v>
      </c>
      <c r="N19" s="420">
        <f t="shared" si="12"/>
        <v>0</v>
      </c>
      <c r="O19" s="421">
        <f t="shared" si="13"/>
        <v>0</v>
      </c>
      <c r="P19" s="422">
        <f t="shared" si="14"/>
        <v>0</v>
      </c>
      <c r="Q19" s="423">
        <f t="shared" si="15"/>
        <v>0</v>
      </c>
      <c r="R19" s="424">
        <f t="shared" si="16"/>
        <v>0</v>
      </c>
      <c r="S19" s="425">
        <f t="shared" si="17"/>
        <v>0</v>
      </c>
      <c r="T19" s="426">
        <f t="shared" si="18"/>
        <v>0</v>
      </c>
      <c r="U19" s="428" t="s">
        <v>396</v>
      </c>
      <c r="V19" s="419">
        <f t="shared" si="19"/>
        <v>0</v>
      </c>
      <c r="W19" s="420">
        <f t="shared" si="20"/>
        <v>0</v>
      </c>
      <c r="X19" s="421">
        <f t="shared" si="21"/>
        <v>0</v>
      </c>
      <c r="Y19" s="422">
        <f t="shared" si="22"/>
        <v>0</v>
      </c>
      <c r="Z19" s="423">
        <f t="shared" si="23"/>
        <v>0</v>
      </c>
      <c r="AA19" s="424">
        <f t="shared" si="24"/>
        <v>0</v>
      </c>
      <c r="AB19" s="425">
        <f t="shared" si="25"/>
        <v>0</v>
      </c>
      <c r="AC19" s="426">
        <f t="shared" si="26"/>
        <v>0</v>
      </c>
      <c r="AD19" s="428" t="s">
        <v>396</v>
      </c>
      <c r="AE19" s="419">
        <f t="shared" si="27"/>
        <v>0</v>
      </c>
      <c r="AF19" s="420">
        <f t="shared" si="28"/>
        <v>0</v>
      </c>
      <c r="AG19" s="419">
        <f t="shared" si="29"/>
        <v>0</v>
      </c>
      <c r="AH19" s="420">
        <f t="shared" si="30"/>
        <v>0</v>
      </c>
      <c r="AI19" s="421">
        <f t="shared" si="31"/>
        <v>0</v>
      </c>
      <c r="AJ19" s="421">
        <f t="shared" si="71"/>
        <v>0</v>
      </c>
      <c r="AK19" s="443"/>
      <c r="AL19" s="428" t="s">
        <v>396</v>
      </c>
      <c r="AM19" s="428" t="s">
        <v>396</v>
      </c>
      <c r="AN19" s="419">
        <f t="shared" si="32"/>
        <v>0</v>
      </c>
      <c r="AO19" s="420">
        <f t="shared" si="33"/>
        <v>0</v>
      </c>
      <c r="AP19" s="419">
        <f t="shared" si="72"/>
        <v>0</v>
      </c>
      <c r="AQ19" s="420">
        <f t="shared" si="73"/>
        <v>0</v>
      </c>
      <c r="AR19" s="419">
        <f t="shared" si="34"/>
        <v>0</v>
      </c>
      <c r="AS19" s="420">
        <f t="shared" si="35"/>
        <v>0</v>
      </c>
      <c r="AT19" s="421">
        <f t="shared" si="36"/>
        <v>0</v>
      </c>
      <c r="AU19" s="422">
        <f t="shared" si="37"/>
        <v>0</v>
      </c>
      <c r="AV19" s="419">
        <f t="shared" si="38"/>
        <v>0</v>
      </c>
      <c r="AW19" s="420">
        <f t="shared" si="39"/>
        <v>0</v>
      </c>
      <c r="AX19" s="421">
        <f t="shared" si="40"/>
        <v>0</v>
      </c>
      <c r="AY19" s="422">
        <f t="shared" si="41"/>
        <v>0</v>
      </c>
      <c r="AZ19" s="419">
        <f t="shared" si="42"/>
        <v>0</v>
      </c>
      <c r="BA19" s="420">
        <f t="shared" si="43"/>
        <v>0</v>
      </c>
      <c r="BB19" s="421">
        <f t="shared" si="44"/>
        <v>0</v>
      </c>
      <c r="BC19" s="419">
        <f t="shared" si="45"/>
        <v>0</v>
      </c>
      <c r="BD19" s="420">
        <f t="shared" si="46"/>
        <v>0</v>
      </c>
      <c r="BE19" s="421">
        <f t="shared" si="47"/>
        <v>0</v>
      </c>
      <c r="BF19" s="421">
        <f t="shared" si="48"/>
        <v>0</v>
      </c>
      <c r="BG19" s="422">
        <f t="shared" si="49"/>
        <v>0</v>
      </c>
      <c r="BH19" s="423">
        <f t="shared" si="50"/>
        <v>0</v>
      </c>
      <c r="BI19" s="424" cm="1">
        <f t="array" aca="1" ref="BI19" ca="1">SUM(IFERROR(GETPIVOTDATA("QTY",$SN$5,"Size (inch)",A19),0),IFERROR(GETPIVOTDATA("QTY",$SN$5,"Size (inch)",B19),0),IFERROR(GETPIVOTDATA("QTY",$SN$5,"Size (inch)",C19),0),IFERROR(GETPIVPOTDATA("QTY",$SN$5,"Size (inch)",D19),0))</f>
        <v>0</v>
      </c>
      <c r="BJ19" s="425">
        <f t="shared" si="51"/>
        <v>0</v>
      </c>
      <c r="BK19" s="426">
        <f t="shared" si="52"/>
        <v>0</v>
      </c>
      <c r="BL19" s="428" t="s">
        <v>396</v>
      </c>
      <c r="BM19" s="419">
        <f t="shared" si="53"/>
        <v>0</v>
      </c>
      <c r="BN19" s="419">
        <f t="shared" si="54"/>
        <v>0</v>
      </c>
      <c r="BO19" s="419">
        <f t="shared" si="55"/>
        <v>0</v>
      </c>
      <c r="BP19" s="419">
        <f t="shared" si="56"/>
        <v>0</v>
      </c>
      <c r="BQ19" s="419">
        <f t="shared" si="57"/>
        <v>0</v>
      </c>
      <c r="BR19" s="419">
        <f t="shared" si="58"/>
        <v>0</v>
      </c>
      <c r="BS19" s="446">
        <f t="shared" si="59"/>
        <v>0</v>
      </c>
      <c r="BT19" s="446">
        <f t="shared" si="60"/>
        <v>0</v>
      </c>
      <c r="BU19" s="446">
        <f t="shared" si="61"/>
        <v>0</v>
      </c>
      <c r="BV19" s="446">
        <f t="shared" si="62"/>
        <v>0</v>
      </c>
      <c r="BW19" s="446">
        <f t="shared" si="63"/>
        <v>0</v>
      </c>
      <c r="BX19" s="446">
        <f t="shared" si="64"/>
        <v>0</v>
      </c>
      <c r="BY19" s="421">
        <f t="shared" si="65"/>
        <v>0</v>
      </c>
      <c r="BZ19" s="421">
        <f t="shared" si="66"/>
        <v>0</v>
      </c>
      <c r="CA19" s="421">
        <f t="shared" si="67"/>
        <v>0</v>
      </c>
      <c r="CB19" s="421">
        <f t="shared" si="68"/>
        <v>0</v>
      </c>
      <c r="CC19" s="421">
        <f t="shared" si="69"/>
        <v>0</v>
      </c>
      <c r="CD19" s="421">
        <f t="shared" si="70"/>
        <v>0</v>
      </c>
      <c r="CK19"/>
      <c r="CM19"/>
      <c r="GV19"/>
      <c r="GX19"/>
      <c r="LH19"/>
      <c r="LI19" t="s">
        <v>470</v>
      </c>
      <c r="LJ19">
        <v>2160</v>
      </c>
      <c r="LK19" t="s">
        <v>593</v>
      </c>
      <c r="LL19" t="s">
        <v>553</v>
      </c>
      <c r="LM19" t="s">
        <v>547</v>
      </c>
      <c r="LN19" s="772">
        <v>2</v>
      </c>
      <c r="NI19"/>
      <c r="NK19"/>
      <c r="PQ19"/>
      <c r="PS19"/>
      <c r="RD19"/>
      <c r="RK19"/>
      <c r="RM19"/>
      <c r="RT19"/>
      <c r="SF19"/>
      <c r="SH19"/>
      <c r="SM19"/>
      <c r="SO19"/>
      <c r="SY19"/>
      <c r="TA19"/>
      <c r="TG19"/>
      <c r="TP19"/>
      <c r="TR19"/>
      <c r="TV19"/>
      <c r="TX19"/>
    </row>
    <row r="20" spans="1:544" x14ac:dyDescent="0.3">
      <c r="A20" s="262"/>
      <c r="B20" s="262"/>
      <c r="C20" s="266" t="s">
        <v>229</v>
      </c>
      <c r="D20" s="266" t="s">
        <v>397</v>
      </c>
      <c r="E20" s="412">
        <f t="shared" si="3"/>
        <v>0</v>
      </c>
      <c r="F20" s="413">
        <f t="shared" si="4"/>
        <v>0</v>
      </c>
      <c r="G20" s="148">
        <f t="shared" si="5"/>
        <v>0</v>
      </c>
      <c r="H20" s="414">
        <f t="shared" si="6"/>
        <v>0</v>
      </c>
      <c r="I20" s="415">
        <f t="shared" si="7"/>
        <v>0</v>
      </c>
      <c r="J20" s="416">
        <f t="shared" si="8"/>
        <v>0</v>
      </c>
      <c r="K20" s="417">
        <f t="shared" si="9"/>
        <v>0</v>
      </c>
      <c r="L20" s="418">
        <f t="shared" si="10"/>
        <v>0</v>
      </c>
      <c r="M20" s="419">
        <f t="shared" si="11"/>
        <v>0</v>
      </c>
      <c r="N20" s="420">
        <f t="shared" si="12"/>
        <v>0</v>
      </c>
      <c r="O20" s="421">
        <f t="shared" si="13"/>
        <v>0</v>
      </c>
      <c r="P20" s="422">
        <f t="shared" si="14"/>
        <v>0</v>
      </c>
      <c r="Q20" s="423">
        <f t="shared" si="15"/>
        <v>0</v>
      </c>
      <c r="R20" s="424">
        <f t="shared" si="16"/>
        <v>0</v>
      </c>
      <c r="S20" s="425">
        <f t="shared" si="17"/>
        <v>0</v>
      </c>
      <c r="T20" s="426">
        <f t="shared" si="18"/>
        <v>0</v>
      </c>
      <c r="U20" s="428" t="s">
        <v>397</v>
      </c>
      <c r="V20" s="419">
        <f t="shared" si="19"/>
        <v>0</v>
      </c>
      <c r="W20" s="420">
        <f t="shared" si="20"/>
        <v>0</v>
      </c>
      <c r="X20" s="421">
        <f t="shared" si="21"/>
        <v>0</v>
      </c>
      <c r="Y20" s="422">
        <f t="shared" si="22"/>
        <v>0</v>
      </c>
      <c r="Z20" s="423">
        <f t="shared" si="23"/>
        <v>0</v>
      </c>
      <c r="AA20" s="424">
        <f t="shared" si="24"/>
        <v>0</v>
      </c>
      <c r="AB20" s="425">
        <f t="shared" si="25"/>
        <v>0</v>
      </c>
      <c r="AC20" s="426">
        <f t="shared" si="26"/>
        <v>0</v>
      </c>
      <c r="AD20" s="428" t="s">
        <v>397</v>
      </c>
      <c r="AE20" s="419">
        <f t="shared" si="27"/>
        <v>0</v>
      </c>
      <c r="AF20" s="420">
        <f t="shared" si="28"/>
        <v>0</v>
      </c>
      <c r="AG20" s="419">
        <f t="shared" si="29"/>
        <v>0</v>
      </c>
      <c r="AH20" s="420">
        <f t="shared" si="30"/>
        <v>0</v>
      </c>
      <c r="AI20" s="421">
        <f t="shared" si="31"/>
        <v>0</v>
      </c>
      <c r="AJ20" s="421">
        <f t="shared" si="71"/>
        <v>0</v>
      </c>
      <c r="AK20" s="443"/>
      <c r="AL20" s="428" t="s">
        <v>397</v>
      </c>
      <c r="AM20" s="428" t="s">
        <v>397</v>
      </c>
      <c r="AN20" s="419">
        <f t="shared" si="32"/>
        <v>0</v>
      </c>
      <c r="AO20" s="420">
        <f t="shared" si="33"/>
        <v>0</v>
      </c>
      <c r="AP20" s="419">
        <f t="shared" si="72"/>
        <v>0</v>
      </c>
      <c r="AQ20" s="420">
        <f t="shared" si="73"/>
        <v>0</v>
      </c>
      <c r="AR20" s="419">
        <f t="shared" si="34"/>
        <v>0</v>
      </c>
      <c r="AS20" s="420">
        <f t="shared" si="35"/>
        <v>0</v>
      </c>
      <c r="AT20" s="421">
        <f t="shared" si="36"/>
        <v>0</v>
      </c>
      <c r="AU20" s="422">
        <f t="shared" si="37"/>
        <v>0</v>
      </c>
      <c r="AV20" s="419">
        <f t="shared" si="38"/>
        <v>0</v>
      </c>
      <c r="AW20" s="420">
        <f t="shared" si="39"/>
        <v>0</v>
      </c>
      <c r="AX20" s="421">
        <f t="shared" si="40"/>
        <v>0</v>
      </c>
      <c r="AY20" s="422">
        <f t="shared" si="41"/>
        <v>0</v>
      </c>
      <c r="AZ20" s="419">
        <f t="shared" si="42"/>
        <v>0</v>
      </c>
      <c r="BA20" s="420">
        <f t="shared" si="43"/>
        <v>0</v>
      </c>
      <c r="BB20" s="421">
        <f t="shared" si="44"/>
        <v>0</v>
      </c>
      <c r="BC20" s="419">
        <f t="shared" si="45"/>
        <v>0</v>
      </c>
      <c r="BD20" s="420">
        <f t="shared" si="46"/>
        <v>0</v>
      </c>
      <c r="BE20" s="421">
        <f t="shared" si="47"/>
        <v>0</v>
      </c>
      <c r="BF20" s="421">
        <f t="shared" si="48"/>
        <v>0</v>
      </c>
      <c r="BG20" s="422">
        <f t="shared" si="49"/>
        <v>0</v>
      </c>
      <c r="BH20" s="423">
        <f t="shared" si="50"/>
        <v>0</v>
      </c>
      <c r="BI20" s="424" cm="1">
        <f t="array" aca="1" ref="BI20" ca="1">SUM(IFERROR(GETPIVOTDATA("QTY",$SN$5,"Size (inch)",A20),0),IFERROR(GETPIVOTDATA("QTY",$SN$5,"Size (inch)",B20),0),IFERROR(GETPIVOTDATA("QTY",$SN$5,"Size (inch)",C20),0),IFERROR(GETPIVPOTDATA("QTY",$SN$5,"Size (inch)",D20),0))</f>
        <v>0</v>
      </c>
      <c r="BJ20" s="425">
        <f t="shared" si="51"/>
        <v>0</v>
      </c>
      <c r="BK20" s="426">
        <f t="shared" si="52"/>
        <v>0</v>
      </c>
      <c r="BL20" s="428" t="s">
        <v>397</v>
      </c>
      <c r="BM20" s="419">
        <f t="shared" si="53"/>
        <v>0</v>
      </c>
      <c r="BN20" s="419">
        <f t="shared" si="54"/>
        <v>0</v>
      </c>
      <c r="BO20" s="419">
        <f t="shared" si="55"/>
        <v>0</v>
      </c>
      <c r="BP20" s="419">
        <f t="shared" si="56"/>
        <v>0</v>
      </c>
      <c r="BQ20" s="419">
        <f t="shared" si="57"/>
        <v>0</v>
      </c>
      <c r="BR20" s="419">
        <f t="shared" si="58"/>
        <v>0</v>
      </c>
      <c r="BS20" s="446">
        <f t="shared" si="59"/>
        <v>0</v>
      </c>
      <c r="BT20" s="446">
        <f t="shared" si="60"/>
        <v>0</v>
      </c>
      <c r="BU20" s="446">
        <f t="shared" si="61"/>
        <v>0</v>
      </c>
      <c r="BV20" s="446">
        <f t="shared" si="62"/>
        <v>0</v>
      </c>
      <c r="BW20" s="446">
        <f t="shared" si="63"/>
        <v>0</v>
      </c>
      <c r="BX20" s="446">
        <f t="shared" si="64"/>
        <v>0</v>
      </c>
      <c r="BY20" s="421">
        <f t="shared" si="65"/>
        <v>0</v>
      </c>
      <c r="BZ20" s="421">
        <f t="shared" si="66"/>
        <v>0</v>
      </c>
      <c r="CA20" s="421">
        <f t="shared" si="67"/>
        <v>0</v>
      </c>
      <c r="CB20" s="421">
        <f t="shared" si="68"/>
        <v>0</v>
      </c>
      <c r="CC20" s="421">
        <f t="shared" si="69"/>
        <v>0</v>
      </c>
      <c r="CD20" s="421">
        <f t="shared" si="70"/>
        <v>0</v>
      </c>
      <c r="CK20"/>
      <c r="CM20"/>
      <c r="GV20"/>
      <c r="GX20"/>
      <c r="LH20"/>
      <c r="LI20" t="s">
        <v>470</v>
      </c>
      <c r="LJ20">
        <v>2522</v>
      </c>
      <c r="LK20" t="s">
        <v>593</v>
      </c>
      <c r="LL20" t="s">
        <v>553</v>
      </c>
      <c r="LM20" t="s">
        <v>547</v>
      </c>
      <c r="LN20" s="772">
        <v>2</v>
      </c>
      <c r="NI20"/>
      <c r="NK20"/>
      <c r="PQ20"/>
      <c r="PS20"/>
      <c r="RD20"/>
      <c r="RK20"/>
      <c r="RM20"/>
      <c r="RT20"/>
      <c r="SF20"/>
      <c r="SH20"/>
      <c r="SM20"/>
      <c r="SO20"/>
      <c r="SY20"/>
      <c r="TA20"/>
      <c r="TG20"/>
      <c r="TP20"/>
      <c r="TR20"/>
      <c r="TV20"/>
      <c r="TX20"/>
    </row>
    <row r="21" spans="1:544" x14ac:dyDescent="0.3">
      <c r="A21" s="262"/>
      <c r="B21" s="262"/>
      <c r="C21" s="266" t="s">
        <v>230</v>
      </c>
      <c r="D21" s="266" t="s">
        <v>398</v>
      </c>
      <c r="E21" s="412">
        <f t="shared" si="3"/>
        <v>0</v>
      </c>
      <c r="F21" s="413">
        <f t="shared" si="4"/>
        <v>0</v>
      </c>
      <c r="G21" s="148">
        <f t="shared" si="5"/>
        <v>0</v>
      </c>
      <c r="H21" s="414">
        <f t="shared" si="6"/>
        <v>0</v>
      </c>
      <c r="I21" s="415">
        <f t="shared" si="7"/>
        <v>0</v>
      </c>
      <c r="J21" s="416">
        <f t="shared" si="8"/>
        <v>0</v>
      </c>
      <c r="K21" s="417">
        <f t="shared" si="9"/>
        <v>0</v>
      </c>
      <c r="L21" s="418">
        <f t="shared" si="10"/>
        <v>0</v>
      </c>
      <c r="M21" s="419">
        <f t="shared" si="11"/>
        <v>0</v>
      </c>
      <c r="N21" s="420">
        <f t="shared" si="12"/>
        <v>0</v>
      </c>
      <c r="O21" s="421">
        <f t="shared" si="13"/>
        <v>0</v>
      </c>
      <c r="P21" s="422">
        <f t="shared" si="14"/>
        <v>0</v>
      </c>
      <c r="Q21" s="423">
        <f t="shared" si="15"/>
        <v>0</v>
      </c>
      <c r="R21" s="424">
        <f t="shared" si="16"/>
        <v>0</v>
      </c>
      <c r="S21" s="425">
        <f t="shared" si="17"/>
        <v>0</v>
      </c>
      <c r="T21" s="426">
        <f t="shared" si="18"/>
        <v>0</v>
      </c>
      <c r="U21" s="428" t="s">
        <v>398</v>
      </c>
      <c r="V21" s="419">
        <f t="shared" si="19"/>
        <v>0</v>
      </c>
      <c r="W21" s="420">
        <f t="shared" si="20"/>
        <v>0</v>
      </c>
      <c r="X21" s="421">
        <f t="shared" si="21"/>
        <v>0</v>
      </c>
      <c r="Y21" s="422">
        <f t="shared" si="22"/>
        <v>0</v>
      </c>
      <c r="Z21" s="423">
        <f t="shared" si="23"/>
        <v>0</v>
      </c>
      <c r="AA21" s="424">
        <f t="shared" si="24"/>
        <v>0</v>
      </c>
      <c r="AB21" s="425">
        <f t="shared" si="25"/>
        <v>0</v>
      </c>
      <c r="AC21" s="426">
        <f t="shared" si="26"/>
        <v>0</v>
      </c>
      <c r="AD21" s="428" t="s">
        <v>398</v>
      </c>
      <c r="AE21" s="419">
        <f t="shared" si="27"/>
        <v>0</v>
      </c>
      <c r="AF21" s="420">
        <f t="shared" si="28"/>
        <v>0</v>
      </c>
      <c r="AG21" s="419">
        <f t="shared" si="29"/>
        <v>0</v>
      </c>
      <c r="AH21" s="420">
        <f t="shared" si="30"/>
        <v>0</v>
      </c>
      <c r="AI21" s="421">
        <f t="shared" si="31"/>
        <v>0</v>
      </c>
      <c r="AJ21" s="421">
        <f t="shared" si="71"/>
        <v>0</v>
      </c>
      <c r="AK21" s="443"/>
      <c r="AL21" s="428" t="s">
        <v>398</v>
      </c>
      <c r="AM21" s="428" t="s">
        <v>398</v>
      </c>
      <c r="AN21" s="419">
        <f t="shared" si="32"/>
        <v>0</v>
      </c>
      <c r="AO21" s="420">
        <f t="shared" si="33"/>
        <v>0</v>
      </c>
      <c r="AP21" s="419">
        <f t="shared" si="72"/>
        <v>0</v>
      </c>
      <c r="AQ21" s="420">
        <f t="shared" si="73"/>
        <v>0</v>
      </c>
      <c r="AR21" s="419">
        <f t="shared" si="34"/>
        <v>0</v>
      </c>
      <c r="AS21" s="420">
        <f t="shared" si="35"/>
        <v>0</v>
      </c>
      <c r="AT21" s="421">
        <f t="shared" si="36"/>
        <v>0</v>
      </c>
      <c r="AU21" s="422">
        <f t="shared" si="37"/>
        <v>0</v>
      </c>
      <c r="AV21" s="419">
        <f t="shared" si="38"/>
        <v>0</v>
      </c>
      <c r="AW21" s="420">
        <f t="shared" si="39"/>
        <v>0</v>
      </c>
      <c r="AX21" s="421">
        <f t="shared" si="40"/>
        <v>0</v>
      </c>
      <c r="AY21" s="422">
        <f t="shared" si="41"/>
        <v>0</v>
      </c>
      <c r="AZ21" s="419">
        <f t="shared" si="42"/>
        <v>0</v>
      </c>
      <c r="BA21" s="420">
        <f t="shared" si="43"/>
        <v>0</v>
      </c>
      <c r="BB21" s="421">
        <f t="shared" si="44"/>
        <v>0</v>
      </c>
      <c r="BC21" s="419">
        <f t="shared" si="45"/>
        <v>0</v>
      </c>
      <c r="BD21" s="420">
        <f t="shared" si="46"/>
        <v>0</v>
      </c>
      <c r="BE21" s="421">
        <f t="shared" si="47"/>
        <v>0</v>
      </c>
      <c r="BF21" s="421">
        <f t="shared" si="48"/>
        <v>0</v>
      </c>
      <c r="BG21" s="422">
        <f t="shared" si="49"/>
        <v>0</v>
      </c>
      <c r="BH21" s="423">
        <f t="shared" si="50"/>
        <v>0</v>
      </c>
      <c r="BI21" s="424" cm="1">
        <f t="array" aca="1" ref="BI21" ca="1">SUM(IFERROR(GETPIVOTDATA("QTY",$SN$5,"Size (inch)",A21),0),IFERROR(GETPIVOTDATA("QTY",$SN$5,"Size (inch)",B21),0),IFERROR(GETPIVOTDATA("QTY",$SN$5,"Size (inch)",C21),0),IFERROR(GETPIVPOTDATA("QTY",$SN$5,"Size (inch)",D21),0))</f>
        <v>0</v>
      </c>
      <c r="BJ21" s="425">
        <f t="shared" si="51"/>
        <v>0</v>
      </c>
      <c r="BK21" s="426">
        <f t="shared" si="52"/>
        <v>0</v>
      </c>
      <c r="BL21" s="428" t="s">
        <v>398</v>
      </c>
      <c r="BM21" s="419">
        <f t="shared" si="53"/>
        <v>0</v>
      </c>
      <c r="BN21" s="419">
        <f t="shared" si="54"/>
        <v>0</v>
      </c>
      <c r="BO21" s="419">
        <f t="shared" si="55"/>
        <v>0</v>
      </c>
      <c r="BP21" s="419">
        <f t="shared" si="56"/>
        <v>0</v>
      </c>
      <c r="BQ21" s="419">
        <f t="shared" si="57"/>
        <v>0</v>
      </c>
      <c r="BR21" s="419">
        <f t="shared" si="58"/>
        <v>0</v>
      </c>
      <c r="BS21" s="446">
        <f t="shared" si="59"/>
        <v>0</v>
      </c>
      <c r="BT21" s="446">
        <f t="shared" si="60"/>
        <v>0</v>
      </c>
      <c r="BU21" s="446">
        <f t="shared" si="61"/>
        <v>0</v>
      </c>
      <c r="BV21" s="446">
        <f t="shared" si="62"/>
        <v>0</v>
      </c>
      <c r="BW21" s="446">
        <f t="shared" si="63"/>
        <v>0</v>
      </c>
      <c r="BX21" s="446">
        <f t="shared" si="64"/>
        <v>0</v>
      </c>
      <c r="BY21" s="421">
        <f t="shared" si="65"/>
        <v>0</v>
      </c>
      <c r="BZ21" s="421">
        <f t="shared" si="66"/>
        <v>0</v>
      </c>
      <c r="CA21" s="421">
        <f t="shared" si="67"/>
        <v>0</v>
      </c>
      <c r="CB21" s="421">
        <f t="shared" si="68"/>
        <v>0</v>
      </c>
      <c r="CC21" s="421">
        <f t="shared" si="69"/>
        <v>0</v>
      </c>
      <c r="CD21" s="421">
        <f t="shared" si="70"/>
        <v>0</v>
      </c>
      <c r="CK21"/>
      <c r="CM21"/>
      <c r="GV21"/>
      <c r="GX21"/>
      <c r="LH21"/>
      <c r="LI21" t="s">
        <v>470</v>
      </c>
      <c r="LJ21">
        <v>2523</v>
      </c>
      <c r="LK21" t="s">
        <v>593</v>
      </c>
      <c r="LL21" t="s">
        <v>553</v>
      </c>
      <c r="LM21" t="s">
        <v>547</v>
      </c>
      <c r="LN21" s="772">
        <v>1</v>
      </c>
      <c r="NI21"/>
      <c r="NK21"/>
      <c r="PQ21"/>
      <c r="PS21"/>
      <c r="RD21"/>
      <c r="RK21"/>
      <c r="RM21"/>
      <c r="RT21"/>
      <c r="SF21"/>
      <c r="SH21"/>
      <c r="SM21"/>
      <c r="SO21"/>
      <c r="SY21"/>
      <c r="TA21"/>
      <c r="TG21"/>
      <c r="TP21"/>
      <c r="TR21"/>
      <c r="TV21"/>
      <c r="TX21"/>
    </row>
    <row r="22" spans="1:544" x14ac:dyDescent="0.3">
      <c r="A22" s="262"/>
      <c r="B22" s="262"/>
      <c r="C22" s="266" t="s">
        <v>477</v>
      </c>
      <c r="D22" s="266" t="s">
        <v>405</v>
      </c>
      <c r="E22" s="412">
        <f t="shared" si="3"/>
        <v>0</v>
      </c>
      <c r="F22" s="413">
        <f t="shared" si="4"/>
        <v>0</v>
      </c>
      <c r="G22" s="148">
        <f t="shared" si="5"/>
        <v>0</v>
      </c>
      <c r="H22" s="414">
        <f t="shared" si="6"/>
        <v>0</v>
      </c>
      <c r="I22" s="415">
        <f t="shared" si="7"/>
        <v>0</v>
      </c>
      <c r="J22" s="416">
        <f t="shared" si="8"/>
        <v>0</v>
      </c>
      <c r="K22" s="417">
        <f t="shared" si="9"/>
        <v>0</v>
      </c>
      <c r="L22" s="418">
        <f t="shared" si="10"/>
        <v>0</v>
      </c>
      <c r="M22" s="419">
        <f t="shared" si="11"/>
        <v>0</v>
      </c>
      <c r="N22" s="420">
        <f t="shared" si="12"/>
        <v>0</v>
      </c>
      <c r="O22" s="421">
        <f t="shared" si="13"/>
        <v>0</v>
      </c>
      <c r="P22" s="422">
        <f t="shared" si="14"/>
        <v>0</v>
      </c>
      <c r="Q22" s="423">
        <f t="shared" si="15"/>
        <v>0</v>
      </c>
      <c r="R22" s="424">
        <f t="shared" si="16"/>
        <v>0</v>
      </c>
      <c r="S22" s="425">
        <f t="shared" si="17"/>
        <v>0</v>
      </c>
      <c r="T22" s="426">
        <f t="shared" si="18"/>
        <v>0</v>
      </c>
      <c r="U22" s="428" t="s">
        <v>405</v>
      </c>
      <c r="V22" s="419">
        <f t="shared" si="19"/>
        <v>0</v>
      </c>
      <c r="W22" s="420">
        <f t="shared" si="20"/>
        <v>0</v>
      </c>
      <c r="X22" s="421">
        <f t="shared" si="21"/>
        <v>0</v>
      </c>
      <c r="Y22" s="422">
        <f t="shared" si="22"/>
        <v>0</v>
      </c>
      <c r="Z22" s="423">
        <f t="shared" si="23"/>
        <v>0</v>
      </c>
      <c r="AA22" s="424">
        <f t="shared" si="24"/>
        <v>0</v>
      </c>
      <c r="AB22" s="425">
        <f t="shared" si="25"/>
        <v>0</v>
      </c>
      <c r="AC22" s="426">
        <f t="shared" si="26"/>
        <v>0</v>
      </c>
      <c r="AD22" s="428" t="s">
        <v>405</v>
      </c>
      <c r="AE22" s="419">
        <f t="shared" si="27"/>
        <v>0</v>
      </c>
      <c r="AF22" s="420">
        <f t="shared" si="28"/>
        <v>0</v>
      </c>
      <c r="AG22" s="419">
        <f t="shared" si="29"/>
        <v>0</v>
      </c>
      <c r="AH22" s="420">
        <f t="shared" si="30"/>
        <v>0</v>
      </c>
      <c r="AI22" s="421">
        <f t="shared" si="31"/>
        <v>0</v>
      </c>
      <c r="AJ22" s="421">
        <f t="shared" si="71"/>
        <v>0</v>
      </c>
      <c r="AK22" s="443"/>
      <c r="AL22" s="428" t="s">
        <v>405</v>
      </c>
      <c r="AM22" s="428" t="s">
        <v>405</v>
      </c>
      <c r="AN22" s="419">
        <f t="shared" si="32"/>
        <v>0</v>
      </c>
      <c r="AO22" s="420">
        <f t="shared" si="33"/>
        <v>0</v>
      </c>
      <c r="AP22" s="419">
        <f t="shared" si="72"/>
        <v>0</v>
      </c>
      <c r="AQ22" s="420">
        <f t="shared" si="73"/>
        <v>0</v>
      </c>
      <c r="AR22" s="419">
        <f t="shared" si="34"/>
        <v>0</v>
      </c>
      <c r="AS22" s="420">
        <f t="shared" si="35"/>
        <v>0</v>
      </c>
      <c r="AT22" s="421">
        <f t="shared" si="36"/>
        <v>0</v>
      </c>
      <c r="AU22" s="422">
        <f t="shared" si="37"/>
        <v>0</v>
      </c>
      <c r="AV22" s="419">
        <f t="shared" si="38"/>
        <v>0</v>
      </c>
      <c r="AW22" s="420">
        <f t="shared" si="39"/>
        <v>0</v>
      </c>
      <c r="AX22" s="421">
        <f t="shared" si="40"/>
        <v>0</v>
      </c>
      <c r="AY22" s="422">
        <f t="shared" si="41"/>
        <v>0</v>
      </c>
      <c r="AZ22" s="419">
        <f t="shared" si="42"/>
        <v>0</v>
      </c>
      <c r="BA22" s="420">
        <f t="shared" si="43"/>
        <v>0</v>
      </c>
      <c r="BB22" s="421">
        <f t="shared" si="44"/>
        <v>0</v>
      </c>
      <c r="BC22" s="419">
        <f t="shared" si="45"/>
        <v>0</v>
      </c>
      <c r="BD22" s="420">
        <f t="shared" si="46"/>
        <v>0</v>
      </c>
      <c r="BE22" s="421">
        <f t="shared" si="47"/>
        <v>0</v>
      </c>
      <c r="BF22" s="421">
        <f t="shared" si="48"/>
        <v>0</v>
      </c>
      <c r="BG22" s="422">
        <f t="shared" si="49"/>
        <v>0</v>
      </c>
      <c r="BH22" s="423">
        <f t="shared" si="50"/>
        <v>0</v>
      </c>
      <c r="BI22" s="424" cm="1">
        <f t="array" aca="1" ref="BI22" ca="1">SUM(IFERROR(GETPIVOTDATA("QTY",$SN$5,"Size (inch)",A22),0),IFERROR(GETPIVOTDATA("QTY",$SN$5,"Size (inch)",B22),0),IFERROR(GETPIVOTDATA("QTY",$SN$5,"Size (inch)",C22),0),IFERROR(GETPIVPOTDATA("QTY",$SN$5,"Size (inch)",D22),0))</f>
        <v>0</v>
      </c>
      <c r="BJ22" s="425">
        <f t="shared" si="51"/>
        <v>0</v>
      </c>
      <c r="BK22" s="426">
        <f t="shared" si="52"/>
        <v>0</v>
      </c>
      <c r="BL22" s="428" t="s">
        <v>405</v>
      </c>
      <c r="BM22" s="419">
        <f t="shared" si="53"/>
        <v>0</v>
      </c>
      <c r="BN22" s="419">
        <f t="shared" si="54"/>
        <v>0</v>
      </c>
      <c r="BO22" s="419">
        <f t="shared" si="55"/>
        <v>0</v>
      </c>
      <c r="BP22" s="419">
        <f t="shared" si="56"/>
        <v>0</v>
      </c>
      <c r="BQ22" s="419">
        <f t="shared" si="57"/>
        <v>0</v>
      </c>
      <c r="BR22" s="419">
        <f t="shared" si="58"/>
        <v>0</v>
      </c>
      <c r="BS22" s="446">
        <f t="shared" si="59"/>
        <v>0</v>
      </c>
      <c r="BT22" s="446">
        <f t="shared" si="60"/>
        <v>0</v>
      </c>
      <c r="BU22" s="446">
        <f t="shared" si="61"/>
        <v>0</v>
      </c>
      <c r="BV22" s="446">
        <f t="shared" si="62"/>
        <v>0</v>
      </c>
      <c r="BW22" s="446">
        <f t="shared" si="63"/>
        <v>0</v>
      </c>
      <c r="BX22" s="446">
        <f t="shared" si="64"/>
        <v>0</v>
      </c>
      <c r="BY22" s="421">
        <f t="shared" si="65"/>
        <v>0</v>
      </c>
      <c r="BZ22" s="421">
        <f t="shared" si="66"/>
        <v>0</v>
      </c>
      <c r="CA22" s="421">
        <f t="shared" si="67"/>
        <v>0</v>
      </c>
      <c r="CB22" s="421">
        <f t="shared" si="68"/>
        <v>0</v>
      </c>
      <c r="CC22" s="421">
        <f t="shared" si="69"/>
        <v>0</v>
      </c>
      <c r="CD22" s="421">
        <f t="shared" si="70"/>
        <v>0</v>
      </c>
      <c r="CK22"/>
      <c r="CM22"/>
      <c r="GV22"/>
      <c r="GX22"/>
      <c r="LH22"/>
      <c r="LI22" t="s">
        <v>454</v>
      </c>
      <c r="LJ22"/>
      <c r="LN22" s="772">
        <v>37</v>
      </c>
      <c r="NI22"/>
      <c r="NK22"/>
      <c r="PQ22"/>
      <c r="PS22"/>
      <c r="RD22"/>
      <c r="RK22"/>
      <c r="RM22"/>
      <c r="RT22"/>
      <c r="SF22"/>
      <c r="SH22"/>
      <c r="SM22"/>
      <c r="SO22"/>
      <c r="SY22"/>
      <c r="TA22"/>
      <c r="TG22"/>
      <c r="TP22"/>
      <c r="TR22"/>
      <c r="TV22"/>
      <c r="TX22"/>
    </row>
    <row r="23" spans="1:544" x14ac:dyDescent="0.3">
      <c r="A23" s="262"/>
      <c r="B23" s="262"/>
      <c r="C23" s="266" t="s">
        <v>231</v>
      </c>
      <c r="D23" s="266" t="s">
        <v>399</v>
      </c>
      <c r="E23" s="412">
        <f t="shared" si="3"/>
        <v>0</v>
      </c>
      <c r="F23" s="413">
        <f t="shared" si="4"/>
        <v>0</v>
      </c>
      <c r="G23" s="148">
        <f t="shared" si="5"/>
        <v>0</v>
      </c>
      <c r="H23" s="414">
        <f t="shared" si="6"/>
        <v>0</v>
      </c>
      <c r="I23" s="415">
        <f t="shared" si="7"/>
        <v>0</v>
      </c>
      <c r="J23" s="416">
        <f t="shared" si="8"/>
        <v>0</v>
      </c>
      <c r="K23" s="417">
        <f t="shared" si="9"/>
        <v>0</v>
      </c>
      <c r="L23" s="418">
        <f t="shared" si="10"/>
        <v>0</v>
      </c>
      <c r="M23" s="419">
        <f t="shared" si="11"/>
        <v>0</v>
      </c>
      <c r="N23" s="420">
        <f t="shared" si="12"/>
        <v>0</v>
      </c>
      <c r="O23" s="421">
        <f t="shared" si="13"/>
        <v>0</v>
      </c>
      <c r="P23" s="422">
        <f t="shared" si="14"/>
        <v>0</v>
      </c>
      <c r="Q23" s="423">
        <f t="shared" si="15"/>
        <v>0</v>
      </c>
      <c r="R23" s="424">
        <f t="shared" si="16"/>
        <v>0</v>
      </c>
      <c r="S23" s="425">
        <f t="shared" si="17"/>
        <v>0</v>
      </c>
      <c r="T23" s="426">
        <f t="shared" si="18"/>
        <v>0</v>
      </c>
      <c r="U23" s="428" t="s">
        <v>399</v>
      </c>
      <c r="V23" s="419">
        <f t="shared" si="19"/>
        <v>0</v>
      </c>
      <c r="W23" s="420">
        <f t="shared" si="20"/>
        <v>0</v>
      </c>
      <c r="X23" s="421">
        <f t="shared" si="21"/>
        <v>0</v>
      </c>
      <c r="Y23" s="422">
        <f t="shared" si="22"/>
        <v>0</v>
      </c>
      <c r="Z23" s="423">
        <f t="shared" si="23"/>
        <v>0</v>
      </c>
      <c r="AA23" s="424">
        <f t="shared" si="24"/>
        <v>0</v>
      </c>
      <c r="AB23" s="425">
        <f t="shared" si="25"/>
        <v>0</v>
      </c>
      <c r="AC23" s="426">
        <f t="shared" si="26"/>
        <v>0</v>
      </c>
      <c r="AD23" s="428" t="s">
        <v>399</v>
      </c>
      <c r="AE23" s="419">
        <f t="shared" si="27"/>
        <v>0</v>
      </c>
      <c r="AF23" s="420">
        <f t="shared" si="28"/>
        <v>0</v>
      </c>
      <c r="AG23" s="419">
        <f t="shared" si="29"/>
        <v>0</v>
      </c>
      <c r="AH23" s="420">
        <f t="shared" si="30"/>
        <v>0</v>
      </c>
      <c r="AI23" s="421">
        <f t="shared" si="31"/>
        <v>0</v>
      </c>
      <c r="AJ23" s="421">
        <f t="shared" si="71"/>
        <v>0</v>
      </c>
      <c r="AK23" s="443"/>
      <c r="AL23" s="428" t="s">
        <v>399</v>
      </c>
      <c r="AM23" s="428" t="s">
        <v>399</v>
      </c>
      <c r="AN23" s="419">
        <f t="shared" si="32"/>
        <v>0</v>
      </c>
      <c r="AO23" s="420">
        <f t="shared" si="33"/>
        <v>0</v>
      </c>
      <c r="AP23" s="419">
        <f t="shared" si="72"/>
        <v>0</v>
      </c>
      <c r="AQ23" s="420">
        <f t="shared" si="73"/>
        <v>0</v>
      </c>
      <c r="AR23" s="419">
        <f t="shared" si="34"/>
        <v>0</v>
      </c>
      <c r="AS23" s="420">
        <f t="shared" si="35"/>
        <v>0</v>
      </c>
      <c r="AT23" s="421">
        <f t="shared" si="36"/>
        <v>0</v>
      </c>
      <c r="AU23" s="422">
        <f t="shared" si="37"/>
        <v>0</v>
      </c>
      <c r="AV23" s="419">
        <f t="shared" si="38"/>
        <v>0</v>
      </c>
      <c r="AW23" s="420">
        <f t="shared" si="39"/>
        <v>0</v>
      </c>
      <c r="AX23" s="421">
        <f t="shared" si="40"/>
        <v>0</v>
      </c>
      <c r="AY23" s="422">
        <f t="shared" si="41"/>
        <v>0</v>
      </c>
      <c r="AZ23" s="419">
        <f t="shared" si="42"/>
        <v>0</v>
      </c>
      <c r="BA23" s="420">
        <f t="shared" si="43"/>
        <v>0</v>
      </c>
      <c r="BB23" s="421">
        <f t="shared" si="44"/>
        <v>0</v>
      </c>
      <c r="BC23" s="419">
        <f t="shared" si="45"/>
        <v>0</v>
      </c>
      <c r="BD23" s="420">
        <f t="shared" si="46"/>
        <v>0</v>
      </c>
      <c r="BE23" s="421">
        <f t="shared" si="47"/>
        <v>0</v>
      </c>
      <c r="BF23" s="421">
        <f t="shared" si="48"/>
        <v>0</v>
      </c>
      <c r="BG23" s="422">
        <f t="shared" si="49"/>
        <v>0</v>
      </c>
      <c r="BH23" s="423">
        <f t="shared" si="50"/>
        <v>0</v>
      </c>
      <c r="BI23" s="424" cm="1">
        <f t="array" aca="1" ref="BI23" ca="1">SUM(IFERROR(GETPIVOTDATA("QTY",$SN$5,"Size (inch)",A23),0),IFERROR(GETPIVOTDATA("QTY",$SN$5,"Size (inch)",B23),0),IFERROR(GETPIVOTDATA("QTY",$SN$5,"Size (inch)",C23),0),IFERROR(GETPIVPOTDATA("QTY",$SN$5,"Size (inch)",D23),0))</f>
        <v>0</v>
      </c>
      <c r="BJ23" s="425">
        <f t="shared" si="51"/>
        <v>0</v>
      </c>
      <c r="BK23" s="426">
        <f t="shared" si="52"/>
        <v>0</v>
      </c>
      <c r="BL23" s="428" t="s">
        <v>399</v>
      </c>
      <c r="BM23" s="419">
        <f t="shared" si="53"/>
        <v>0</v>
      </c>
      <c r="BN23" s="419">
        <f t="shared" si="54"/>
        <v>0</v>
      </c>
      <c r="BO23" s="419">
        <f t="shared" si="55"/>
        <v>0</v>
      </c>
      <c r="BP23" s="419">
        <f t="shared" si="56"/>
        <v>0</v>
      </c>
      <c r="BQ23" s="419">
        <f t="shared" si="57"/>
        <v>0</v>
      </c>
      <c r="BR23" s="419">
        <f t="shared" si="58"/>
        <v>0</v>
      </c>
      <c r="BS23" s="446">
        <f t="shared" si="59"/>
        <v>0</v>
      </c>
      <c r="BT23" s="446">
        <f t="shared" si="60"/>
        <v>0</v>
      </c>
      <c r="BU23" s="446">
        <f t="shared" si="61"/>
        <v>0</v>
      </c>
      <c r="BV23" s="446">
        <f t="shared" si="62"/>
        <v>0</v>
      </c>
      <c r="BW23" s="446">
        <f t="shared" si="63"/>
        <v>0</v>
      </c>
      <c r="BX23" s="446">
        <f t="shared" si="64"/>
        <v>0</v>
      </c>
      <c r="BY23" s="421">
        <f t="shared" si="65"/>
        <v>0</v>
      </c>
      <c r="BZ23" s="421">
        <f t="shared" si="66"/>
        <v>0</v>
      </c>
      <c r="CA23" s="421">
        <f t="shared" si="67"/>
        <v>0</v>
      </c>
      <c r="CB23" s="421">
        <f t="shared" si="68"/>
        <v>0</v>
      </c>
      <c r="CC23" s="421">
        <f t="shared" si="69"/>
        <v>0</v>
      </c>
      <c r="CD23" s="421">
        <f t="shared" si="70"/>
        <v>0</v>
      </c>
      <c r="CK23"/>
      <c r="CM23"/>
      <c r="GV23"/>
      <c r="GX23"/>
      <c r="LH23"/>
      <c r="LJ23"/>
      <c r="NI23"/>
      <c r="NK23"/>
      <c r="PQ23"/>
      <c r="PS23"/>
      <c r="RD23"/>
      <c r="RK23"/>
      <c r="RM23"/>
      <c r="RT23"/>
      <c r="SF23"/>
      <c r="SH23"/>
      <c r="SM23"/>
      <c r="SO23"/>
      <c r="SY23"/>
      <c r="TA23"/>
      <c r="TG23"/>
      <c r="TP23"/>
      <c r="TR23"/>
      <c r="TV23"/>
      <c r="TX23"/>
    </row>
    <row r="24" spans="1:544" x14ac:dyDescent="0.3">
      <c r="A24" s="262"/>
      <c r="B24" s="262"/>
      <c r="C24" s="266" t="s">
        <v>232</v>
      </c>
      <c r="D24" s="266" t="s">
        <v>400</v>
      </c>
      <c r="E24" s="412">
        <f t="shared" si="3"/>
        <v>0</v>
      </c>
      <c r="F24" s="413">
        <f t="shared" si="4"/>
        <v>0</v>
      </c>
      <c r="G24" s="148">
        <f t="shared" si="5"/>
        <v>0</v>
      </c>
      <c r="H24" s="414">
        <f t="shared" si="6"/>
        <v>0</v>
      </c>
      <c r="I24" s="415">
        <f t="shared" si="7"/>
        <v>0</v>
      </c>
      <c r="J24" s="416">
        <f t="shared" si="8"/>
        <v>0</v>
      </c>
      <c r="K24" s="417">
        <f t="shared" si="9"/>
        <v>0</v>
      </c>
      <c r="L24" s="418">
        <f t="shared" si="10"/>
        <v>0</v>
      </c>
      <c r="M24" s="419">
        <f t="shared" si="11"/>
        <v>0</v>
      </c>
      <c r="N24" s="420">
        <f t="shared" si="12"/>
        <v>0</v>
      </c>
      <c r="O24" s="421">
        <f t="shared" si="13"/>
        <v>0</v>
      </c>
      <c r="P24" s="422">
        <f t="shared" si="14"/>
        <v>0</v>
      </c>
      <c r="Q24" s="423">
        <f t="shared" si="15"/>
        <v>0</v>
      </c>
      <c r="R24" s="424">
        <f t="shared" si="16"/>
        <v>0</v>
      </c>
      <c r="S24" s="425">
        <f t="shared" si="17"/>
        <v>0</v>
      </c>
      <c r="T24" s="426">
        <f t="shared" si="18"/>
        <v>0</v>
      </c>
      <c r="U24" s="428" t="s">
        <v>400</v>
      </c>
      <c r="V24" s="419">
        <f t="shared" si="19"/>
        <v>0</v>
      </c>
      <c r="W24" s="420">
        <f t="shared" si="20"/>
        <v>0</v>
      </c>
      <c r="X24" s="421">
        <f t="shared" si="21"/>
        <v>0</v>
      </c>
      <c r="Y24" s="422">
        <f t="shared" si="22"/>
        <v>0</v>
      </c>
      <c r="Z24" s="423">
        <f t="shared" si="23"/>
        <v>0</v>
      </c>
      <c r="AA24" s="424">
        <f t="shared" si="24"/>
        <v>0</v>
      </c>
      <c r="AB24" s="425">
        <f t="shared" si="25"/>
        <v>0</v>
      </c>
      <c r="AC24" s="426">
        <f t="shared" si="26"/>
        <v>0</v>
      </c>
      <c r="AD24" s="428" t="s">
        <v>400</v>
      </c>
      <c r="AE24" s="419">
        <f t="shared" si="27"/>
        <v>0</v>
      </c>
      <c r="AF24" s="420">
        <f t="shared" si="28"/>
        <v>0</v>
      </c>
      <c r="AG24" s="419">
        <f t="shared" si="29"/>
        <v>0</v>
      </c>
      <c r="AH24" s="420">
        <f t="shared" si="30"/>
        <v>0</v>
      </c>
      <c r="AI24" s="421">
        <f t="shared" si="31"/>
        <v>0</v>
      </c>
      <c r="AJ24" s="421">
        <f t="shared" si="71"/>
        <v>0</v>
      </c>
      <c r="AK24" s="443"/>
      <c r="AL24" s="428" t="s">
        <v>400</v>
      </c>
      <c r="AM24" s="428" t="s">
        <v>400</v>
      </c>
      <c r="AN24" s="419">
        <f t="shared" si="32"/>
        <v>0</v>
      </c>
      <c r="AO24" s="420">
        <f t="shared" si="33"/>
        <v>0</v>
      </c>
      <c r="AP24" s="419">
        <f t="shared" si="72"/>
        <v>0</v>
      </c>
      <c r="AQ24" s="420">
        <f t="shared" si="73"/>
        <v>0</v>
      </c>
      <c r="AR24" s="419">
        <f t="shared" si="34"/>
        <v>0</v>
      </c>
      <c r="AS24" s="420">
        <f t="shared" si="35"/>
        <v>0</v>
      </c>
      <c r="AT24" s="421">
        <f t="shared" si="36"/>
        <v>0</v>
      </c>
      <c r="AU24" s="422">
        <f t="shared" si="37"/>
        <v>0</v>
      </c>
      <c r="AV24" s="419">
        <f t="shared" si="38"/>
        <v>0</v>
      </c>
      <c r="AW24" s="420">
        <f t="shared" si="39"/>
        <v>0</v>
      </c>
      <c r="AX24" s="421">
        <f t="shared" si="40"/>
        <v>0</v>
      </c>
      <c r="AY24" s="422">
        <f t="shared" si="41"/>
        <v>0</v>
      </c>
      <c r="AZ24" s="419">
        <f t="shared" si="42"/>
        <v>0</v>
      </c>
      <c r="BA24" s="420">
        <f t="shared" si="43"/>
        <v>0</v>
      </c>
      <c r="BB24" s="421">
        <f t="shared" si="44"/>
        <v>0</v>
      </c>
      <c r="BC24" s="419">
        <f t="shared" si="45"/>
        <v>0</v>
      </c>
      <c r="BD24" s="420">
        <f t="shared" si="46"/>
        <v>0</v>
      </c>
      <c r="BE24" s="421">
        <f t="shared" si="47"/>
        <v>0</v>
      </c>
      <c r="BF24" s="421">
        <f t="shared" si="48"/>
        <v>0</v>
      </c>
      <c r="BG24" s="422">
        <f t="shared" si="49"/>
        <v>0</v>
      </c>
      <c r="BH24" s="423">
        <f t="shared" si="50"/>
        <v>0</v>
      </c>
      <c r="BI24" s="424" cm="1">
        <f t="array" aca="1" ref="BI24" ca="1">SUM(IFERROR(GETPIVOTDATA("QTY",$SN$5,"Size (inch)",A24),0),IFERROR(GETPIVOTDATA("QTY",$SN$5,"Size (inch)",B24),0),IFERROR(GETPIVOTDATA("QTY",$SN$5,"Size (inch)",C24),0),IFERROR(GETPIVPOTDATA("QTY",$SN$5,"Size (inch)",D24),0))</f>
        <v>0</v>
      </c>
      <c r="BJ24" s="425">
        <f t="shared" si="51"/>
        <v>0</v>
      </c>
      <c r="BK24" s="426">
        <f t="shared" si="52"/>
        <v>0</v>
      </c>
      <c r="BL24" s="428" t="s">
        <v>400</v>
      </c>
      <c r="BM24" s="419">
        <f t="shared" si="53"/>
        <v>0</v>
      </c>
      <c r="BN24" s="419">
        <f t="shared" si="54"/>
        <v>0</v>
      </c>
      <c r="BO24" s="419">
        <f t="shared" si="55"/>
        <v>0</v>
      </c>
      <c r="BP24" s="419">
        <f t="shared" si="56"/>
        <v>0</v>
      </c>
      <c r="BQ24" s="419">
        <f t="shared" si="57"/>
        <v>0</v>
      </c>
      <c r="BR24" s="419">
        <f t="shared" si="58"/>
        <v>0</v>
      </c>
      <c r="BS24" s="446">
        <f t="shared" si="59"/>
        <v>0</v>
      </c>
      <c r="BT24" s="446">
        <f t="shared" si="60"/>
        <v>0</v>
      </c>
      <c r="BU24" s="446">
        <f t="shared" si="61"/>
        <v>0</v>
      </c>
      <c r="BV24" s="446">
        <f t="shared" si="62"/>
        <v>0</v>
      </c>
      <c r="BW24" s="446">
        <f t="shared" si="63"/>
        <v>0</v>
      </c>
      <c r="BX24" s="446">
        <f t="shared" si="64"/>
        <v>0</v>
      </c>
      <c r="BY24" s="421">
        <f t="shared" si="65"/>
        <v>0</v>
      </c>
      <c r="BZ24" s="421">
        <f t="shared" si="66"/>
        <v>0</v>
      </c>
      <c r="CA24" s="421">
        <f t="shared" si="67"/>
        <v>0</v>
      </c>
      <c r="CB24" s="421">
        <f t="shared" si="68"/>
        <v>0</v>
      </c>
      <c r="CC24" s="421">
        <f t="shared" si="69"/>
        <v>0</v>
      </c>
      <c r="CD24" s="421">
        <f t="shared" si="70"/>
        <v>0</v>
      </c>
      <c r="CK24"/>
      <c r="CM24"/>
      <c r="GV24"/>
      <c r="GX24"/>
      <c r="LH24"/>
      <c r="LJ24"/>
      <c r="NI24"/>
      <c r="NK24"/>
      <c r="PQ24"/>
      <c r="PS24"/>
      <c r="RD24"/>
      <c r="RK24"/>
      <c r="RM24"/>
      <c r="RT24"/>
      <c r="SF24"/>
      <c r="SH24"/>
      <c r="SM24"/>
      <c r="SO24"/>
      <c r="SY24"/>
      <c r="TA24"/>
      <c r="TG24"/>
      <c r="TP24"/>
      <c r="TR24"/>
      <c r="TV24"/>
      <c r="TX24"/>
    </row>
    <row r="25" spans="1:544" x14ac:dyDescent="0.3">
      <c r="A25" s="262"/>
      <c r="B25" s="262"/>
      <c r="C25" s="266" t="s">
        <v>478</v>
      </c>
      <c r="D25" s="266" t="s">
        <v>401</v>
      </c>
      <c r="E25" s="412">
        <f t="shared" si="3"/>
        <v>0</v>
      </c>
      <c r="F25" s="413">
        <f t="shared" si="4"/>
        <v>0</v>
      </c>
      <c r="G25" s="148">
        <f t="shared" si="5"/>
        <v>0</v>
      </c>
      <c r="H25" s="414">
        <f t="shared" si="6"/>
        <v>0</v>
      </c>
      <c r="I25" s="415">
        <f t="shared" si="7"/>
        <v>0</v>
      </c>
      <c r="J25" s="416">
        <f t="shared" si="8"/>
        <v>0</v>
      </c>
      <c r="K25" s="417">
        <f t="shared" si="9"/>
        <v>0</v>
      </c>
      <c r="L25" s="418">
        <f t="shared" si="10"/>
        <v>0</v>
      </c>
      <c r="M25" s="419">
        <f t="shared" si="11"/>
        <v>0</v>
      </c>
      <c r="N25" s="420">
        <f t="shared" si="12"/>
        <v>0</v>
      </c>
      <c r="O25" s="421">
        <f t="shared" si="13"/>
        <v>0</v>
      </c>
      <c r="P25" s="422">
        <f t="shared" si="14"/>
        <v>0</v>
      </c>
      <c r="Q25" s="423">
        <f t="shared" si="15"/>
        <v>0</v>
      </c>
      <c r="R25" s="424">
        <f t="shared" si="16"/>
        <v>0</v>
      </c>
      <c r="S25" s="425">
        <f t="shared" si="17"/>
        <v>0</v>
      </c>
      <c r="T25" s="426">
        <f t="shared" si="18"/>
        <v>0</v>
      </c>
      <c r="U25" s="428" t="s">
        <v>401</v>
      </c>
      <c r="V25" s="419">
        <f t="shared" si="19"/>
        <v>0</v>
      </c>
      <c r="W25" s="420">
        <f t="shared" si="20"/>
        <v>0</v>
      </c>
      <c r="X25" s="421">
        <f t="shared" si="21"/>
        <v>0</v>
      </c>
      <c r="Y25" s="422">
        <f t="shared" si="22"/>
        <v>0</v>
      </c>
      <c r="Z25" s="423">
        <f t="shared" si="23"/>
        <v>0</v>
      </c>
      <c r="AA25" s="424">
        <f t="shared" si="24"/>
        <v>0</v>
      </c>
      <c r="AB25" s="425">
        <f t="shared" si="25"/>
        <v>0</v>
      </c>
      <c r="AC25" s="426">
        <f t="shared" si="26"/>
        <v>0</v>
      </c>
      <c r="AD25" s="428" t="s">
        <v>401</v>
      </c>
      <c r="AE25" s="419">
        <f t="shared" si="27"/>
        <v>0</v>
      </c>
      <c r="AF25" s="420">
        <f t="shared" si="28"/>
        <v>0</v>
      </c>
      <c r="AG25" s="419">
        <f t="shared" si="29"/>
        <v>0</v>
      </c>
      <c r="AH25" s="420">
        <f t="shared" si="30"/>
        <v>0</v>
      </c>
      <c r="AI25" s="421">
        <f t="shared" si="31"/>
        <v>0</v>
      </c>
      <c r="AJ25" s="421">
        <f t="shared" si="71"/>
        <v>0</v>
      </c>
      <c r="AK25" s="443"/>
      <c r="AL25" s="428" t="s">
        <v>401</v>
      </c>
      <c r="AM25" s="428" t="s">
        <v>401</v>
      </c>
      <c r="AN25" s="419">
        <f t="shared" si="32"/>
        <v>0</v>
      </c>
      <c r="AO25" s="420">
        <f t="shared" si="33"/>
        <v>0</v>
      </c>
      <c r="AP25" s="419">
        <f t="shared" si="72"/>
        <v>0</v>
      </c>
      <c r="AQ25" s="420">
        <f t="shared" si="73"/>
        <v>0</v>
      </c>
      <c r="AR25" s="419">
        <f t="shared" si="34"/>
        <v>0</v>
      </c>
      <c r="AS25" s="420">
        <f t="shared" si="35"/>
        <v>0</v>
      </c>
      <c r="AT25" s="421">
        <f t="shared" si="36"/>
        <v>0</v>
      </c>
      <c r="AU25" s="422">
        <f t="shared" si="37"/>
        <v>0</v>
      </c>
      <c r="AV25" s="419">
        <f t="shared" si="38"/>
        <v>0</v>
      </c>
      <c r="AW25" s="420">
        <f t="shared" si="39"/>
        <v>0</v>
      </c>
      <c r="AX25" s="421">
        <f t="shared" si="40"/>
        <v>0</v>
      </c>
      <c r="AY25" s="422">
        <f t="shared" si="41"/>
        <v>0</v>
      </c>
      <c r="AZ25" s="419">
        <f t="shared" si="42"/>
        <v>0</v>
      </c>
      <c r="BA25" s="420">
        <f t="shared" si="43"/>
        <v>0</v>
      </c>
      <c r="BB25" s="421">
        <f t="shared" si="44"/>
        <v>0</v>
      </c>
      <c r="BC25" s="419">
        <f t="shared" si="45"/>
        <v>0</v>
      </c>
      <c r="BD25" s="420">
        <f t="shared" si="46"/>
        <v>0</v>
      </c>
      <c r="BE25" s="421">
        <f t="shared" si="47"/>
        <v>0</v>
      </c>
      <c r="BF25" s="421">
        <f t="shared" si="48"/>
        <v>0</v>
      </c>
      <c r="BG25" s="422">
        <f t="shared" si="49"/>
        <v>0</v>
      </c>
      <c r="BH25" s="423">
        <f t="shared" si="50"/>
        <v>0</v>
      </c>
      <c r="BI25" s="424" cm="1">
        <f t="array" aca="1" ref="BI25" ca="1">SUM(IFERROR(GETPIVOTDATA("QTY",$SN$5,"Size (inch)",A25),0),IFERROR(GETPIVOTDATA("QTY",$SN$5,"Size (inch)",B25),0),IFERROR(GETPIVOTDATA("QTY",$SN$5,"Size (inch)",C25),0),IFERROR(GETPIVPOTDATA("QTY",$SN$5,"Size (inch)",D25),0))</f>
        <v>0</v>
      </c>
      <c r="BJ25" s="425">
        <f t="shared" si="51"/>
        <v>0</v>
      </c>
      <c r="BK25" s="426">
        <f t="shared" si="52"/>
        <v>0</v>
      </c>
      <c r="BL25" s="428" t="s">
        <v>401</v>
      </c>
      <c r="BM25" s="419">
        <f t="shared" si="53"/>
        <v>0</v>
      </c>
      <c r="BN25" s="419">
        <f t="shared" si="54"/>
        <v>0</v>
      </c>
      <c r="BO25" s="419">
        <f t="shared" si="55"/>
        <v>0</v>
      </c>
      <c r="BP25" s="419">
        <f t="shared" si="56"/>
        <v>0</v>
      </c>
      <c r="BQ25" s="419">
        <f t="shared" si="57"/>
        <v>0</v>
      </c>
      <c r="BR25" s="419">
        <f t="shared" si="58"/>
        <v>0</v>
      </c>
      <c r="BS25" s="446">
        <f t="shared" si="59"/>
        <v>0</v>
      </c>
      <c r="BT25" s="446">
        <f t="shared" si="60"/>
        <v>0</v>
      </c>
      <c r="BU25" s="446">
        <f t="shared" si="61"/>
        <v>0</v>
      </c>
      <c r="BV25" s="446">
        <f t="shared" si="62"/>
        <v>0</v>
      </c>
      <c r="BW25" s="446">
        <f t="shared" si="63"/>
        <v>0</v>
      </c>
      <c r="BX25" s="446">
        <f t="shared" si="64"/>
        <v>0</v>
      </c>
      <c r="BY25" s="421">
        <f t="shared" si="65"/>
        <v>0</v>
      </c>
      <c r="BZ25" s="421">
        <f t="shared" si="66"/>
        <v>0</v>
      </c>
      <c r="CA25" s="421">
        <f t="shared" si="67"/>
        <v>0</v>
      </c>
      <c r="CB25" s="421">
        <f t="shared" si="68"/>
        <v>0</v>
      </c>
      <c r="CC25" s="421">
        <f t="shared" si="69"/>
        <v>0</v>
      </c>
      <c r="CD25" s="421">
        <f t="shared" si="70"/>
        <v>0</v>
      </c>
      <c r="CK25"/>
      <c r="CM25"/>
      <c r="GV25"/>
      <c r="GX25"/>
      <c r="LH25"/>
      <c r="LJ25"/>
      <c r="NI25"/>
      <c r="NK25"/>
      <c r="PQ25"/>
      <c r="PS25"/>
      <c r="RD25"/>
      <c r="RK25"/>
      <c r="RM25"/>
      <c r="RT25"/>
      <c r="SF25"/>
      <c r="SH25"/>
      <c r="SM25"/>
      <c r="SO25"/>
      <c r="SY25"/>
      <c r="TA25"/>
      <c r="TG25"/>
      <c r="TP25"/>
      <c r="TR25"/>
      <c r="TV25"/>
      <c r="TX25"/>
    </row>
    <row r="26" spans="1:544" x14ac:dyDescent="0.3">
      <c r="A26" s="262"/>
      <c r="B26" s="262"/>
      <c r="C26" s="266" t="s">
        <v>479</v>
      </c>
      <c r="D26" s="266" t="s">
        <v>402</v>
      </c>
      <c r="E26" s="412">
        <f t="shared" si="3"/>
        <v>0</v>
      </c>
      <c r="F26" s="413">
        <f t="shared" si="4"/>
        <v>0</v>
      </c>
      <c r="G26" s="148">
        <f t="shared" si="5"/>
        <v>0</v>
      </c>
      <c r="H26" s="414">
        <f t="shared" si="6"/>
        <v>0</v>
      </c>
      <c r="I26" s="415">
        <f t="shared" si="7"/>
        <v>0</v>
      </c>
      <c r="J26" s="416">
        <f t="shared" si="8"/>
        <v>0</v>
      </c>
      <c r="K26" s="417">
        <f t="shared" si="9"/>
        <v>0</v>
      </c>
      <c r="L26" s="418">
        <f t="shared" si="10"/>
        <v>0</v>
      </c>
      <c r="M26" s="419">
        <f t="shared" si="11"/>
        <v>0</v>
      </c>
      <c r="N26" s="420">
        <f t="shared" si="12"/>
        <v>0</v>
      </c>
      <c r="O26" s="421">
        <f t="shared" si="13"/>
        <v>0</v>
      </c>
      <c r="P26" s="422">
        <f t="shared" si="14"/>
        <v>0</v>
      </c>
      <c r="Q26" s="423">
        <f t="shared" si="15"/>
        <v>0</v>
      </c>
      <c r="R26" s="424">
        <f t="shared" si="16"/>
        <v>0</v>
      </c>
      <c r="S26" s="425">
        <f t="shared" si="17"/>
        <v>0</v>
      </c>
      <c r="T26" s="426">
        <f t="shared" si="18"/>
        <v>0</v>
      </c>
      <c r="U26" s="428" t="s">
        <v>402</v>
      </c>
      <c r="V26" s="419">
        <f t="shared" si="19"/>
        <v>0</v>
      </c>
      <c r="W26" s="420">
        <f t="shared" si="20"/>
        <v>0</v>
      </c>
      <c r="X26" s="421">
        <f t="shared" si="21"/>
        <v>0</v>
      </c>
      <c r="Y26" s="422">
        <f t="shared" si="22"/>
        <v>0</v>
      </c>
      <c r="Z26" s="423">
        <f t="shared" si="23"/>
        <v>0</v>
      </c>
      <c r="AA26" s="424">
        <f t="shared" si="24"/>
        <v>0</v>
      </c>
      <c r="AB26" s="425">
        <f t="shared" si="25"/>
        <v>0</v>
      </c>
      <c r="AC26" s="426">
        <f t="shared" si="26"/>
        <v>0</v>
      </c>
      <c r="AD26" s="428" t="s">
        <v>402</v>
      </c>
      <c r="AE26" s="419">
        <f t="shared" si="27"/>
        <v>0</v>
      </c>
      <c r="AF26" s="420">
        <f t="shared" si="28"/>
        <v>0</v>
      </c>
      <c r="AG26" s="419">
        <f t="shared" si="29"/>
        <v>0</v>
      </c>
      <c r="AH26" s="420">
        <f t="shared" si="30"/>
        <v>0</v>
      </c>
      <c r="AI26" s="421">
        <f t="shared" si="31"/>
        <v>0</v>
      </c>
      <c r="AJ26" s="421">
        <f t="shared" si="71"/>
        <v>0</v>
      </c>
      <c r="AK26" s="443"/>
      <c r="AL26" s="428" t="s">
        <v>402</v>
      </c>
      <c r="AM26" s="428" t="s">
        <v>402</v>
      </c>
      <c r="AN26" s="419">
        <f t="shared" si="32"/>
        <v>0</v>
      </c>
      <c r="AO26" s="420">
        <f t="shared" si="33"/>
        <v>0</v>
      </c>
      <c r="AP26" s="419">
        <f t="shared" si="72"/>
        <v>0</v>
      </c>
      <c r="AQ26" s="420">
        <f t="shared" si="73"/>
        <v>0</v>
      </c>
      <c r="AR26" s="419">
        <f t="shared" si="34"/>
        <v>0</v>
      </c>
      <c r="AS26" s="420">
        <f t="shared" si="35"/>
        <v>0</v>
      </c>
      <c r="AT26" s="421">
        <f t="shared" si="36"/>
        <v>0</v>
      </c>
      <c r="AU26" s="422">
        <f t="shared" si="37"/>
        <v>0</v>
      </c>
      <c r="AV26" s="419">
        <f t="shared" si="38"/>
        <v>0</v>
      </c>
      <c r="AW26" s="420">
        <f t="shared" si="39"/>
        <v>0</v>
      </c>
      <c r="AX26" s="421">
        <f t="shared" si="40"/>
        <v>0</v>
      </c>
      <c r="AY26" s="422">
        <f t="shared" si="41"/>
        <v>0</v>
      </c>
      <c r="AZ26" s="419">
        <f t="shared" si="42"/>
        <v>0</v>
      </c>
      <c r="BA26" s="420">
        <f t="shared" si="43"/>
        <v>0</v>
      </c>
      <c r="BB26" s="421">
        <f t="shared" si="44"/>
        <v>0</v>
      </c>
      <c r="BC26" s="419">
        <f t="shared" si="45"/>
        <v>0</v>
      </c>
      <c r="BD26" s="420">
        <f t="shared" si="46"/>
        <v>0</v>
      </c>
      <c r="BE26" s="421">
        <f t="shared" si="47"/>
        <v>0</v>
      </c>
      <c r="BF26" s="421">
        <f t="shared" si="48"/>
        <v>0</v>
      </c>
      <c r="BG26" s="422">
        <f t="shared" si="49"/>
        <v>0</v>
      </c>
      <c r="BH26" s="423">
        <f t="shared" si="50"/>
        <v>0</v>
      </c>
      <c r="BI26" s="424" cm="1">
        <f t="array" aca="1" ref="BI26" ca="1">SUM(IFERROR(GETPIVOTDATA("QTY",$SN$5,"Size (inch)",A26),0),IFERROR(GETPIVOTDATA("QTY",$SN$5,"Size (inch)",B26),0),IFERROR(GETPIVOTDATA("QTY",$SN$5,"Size (inch)",C26),0),IFERROR(GETPIVPOTDATA("QTY",$SN$5,"Size (inch)",D26),0))</f>
        <v>0</v>
      </c>
      <c r="BJ26" s="425">
        <f t="shared" si="51"/>
        <v>0</v>
      </c>
      <c r="BK26" s="426">
        <f t="shared" si="52"/>
        <v>0</v>
      </c>
      <c r="BL26" s="428" t="s">
        <v>402</v>
      </c>
      <c r="BM26" s="419">
        <f t="shared" si="53"/>
        <v>0</v>
      </c>
      <c r="BN26" s="419">
        <f t="shared" si="54"/>
        <v>0</v>
      </c>
      <c r="BO26" s="419">
        <f t="shared" si="55"/>
        <v>0</v>
      </c>
      <c r="BP26" s="419">
        <f t="shared" si="56"/>
        <v>0</v>
      </c>
      <c r="BQ26" s="419">
        <f t="shared" si="57"/>
        <v>0</v>
      </c>
      <c r="BR26" s="419">
        <f t="shared" si="58"/>
        <v>0</v>
      </c>
      <c r="BS26" s="446">
        <f t="shared" si="59"/>
        <v>0</v>
      </c>
      <c r="BT26" s="446">
        <f t="shared" si="60"/>
        <v>0</v>
      </c>
      <c r="BU26" s="446">
        <f t="shared" si="61"/>
        <v>0</v>
      </c>
      <c r="BV26" s="446">
        <f t="shared" si="62"/>
        <v>0</v>
      </c>
      <c r="BW26" s="446">
        <f t="shared" si="63"/>
        <v>0</v>
      </c>
      <c r="BX26" s="446">
        <f t="shared" si="64"/>
        <v>0</v>
      </c>
      <c r="BY26" s="421">
        <f t="shared" si="65"/>
        <v>0</v>
      </c>
      <c r="BZ26" s="421">
        <f t="shared" si="66"/>
        <v>0</v>
      </c>
      <c r="CA26" s="421">
        <f t="shared" si="67"/>
        <v>0</v>
      </c>
      <c r="CB26" s="421">
        <f t="shared" si="68"/>
        <v>0</v>
      </c>
      <c r="CC26" s="421">
        <f t="shared" si="69"/>
        <v>0</v>
      </c>
      <c r="CD26" s="421">
        <f t="shared" si="70"/>
        <v>0</v>
      </c>
      <c r="CK26"/>
      <c r="CM26"/>
      <c r="GV26"/>
      <c r="GX26"/>
      <c r="LH26"/>
      <c r="LJ26"/>
      <c r="NI26"/>
      <c r="NK26"/>
      <c r="PQ26"/>
      <c r="PS26"/>
      <c r="RD26"/>
      <c r="RK26"/>
      <c r="RM26"/>
      <c r="RT26"/>
      <c r="SF26"/>
      <c r="SH26"/>
      <c r="SM26"/>
      <c r="SO26"/>
      <c r="SY26"/>
      <c r="TA26"/>
      <c r="TG26"/>
      <c r="TP26"/>
      <c r="TR26"/>
      <c r="TV26"/>
      <c r="TX26"/>
    </row>
    <row r="27" spans="1:544" x14ac:dyDescent="0.3">
      <c r="A27" s="262"/>
      <c r="B27" s="262"/>
      <c r="C27" s="266" t="s">
        <v>480</v>
      </c>
      <c r="D27" s="266" t="s">
        <v>403</v>
      </c>
      <c r="E27" s="412">
        <f t="shared" si="3"/>
        <v>0</v>
      </c>
      <c r="F27" s="413">
        <f t="shared" si="4"/>
        <v>0</v>
      </c>
      <c r="G27" s="148">
        <f t="shared" si="5"/>
        <v>0</v>
      </c>
      <c r="H27" s="414">
        <f t="shared" si="6"/>
        <v>0</v>
      </c>
      <c r="I27" s="415">
        <f t="shared" si="7"/>
        <v>0</v>
      </c>
      <c r="J27" s="416">
        <f t="shared" si="8"/>
        <v>0</v>
      </c>
      <c r="K27" s="417">
        <f t="shared" si="9"/>
        <v>0</v>
      </c>
      <c r="L27" s="418">
        <f t="shared" si="10"/>
        <v>0</v>
      </c>
      <c r="M27" s="419">
        <f t="shared" si="11"/>
        <v>0</v>
      </c>
      <c r="N27" s="420">
        <f t="shared" si="12"/>
        <v>0</v>
      </c>
      <c r="O27" s="421">
        <f t="shared" si="13"/>
        <v>0</v>
      </c>
      <c r="P27" s="422">
        <f t="shared" si="14"/>
        <v>0</v>
      </c>
      <c r="Q27" s="423">
        <f t="shared" si="15"/>
        <v>0</v>
      </c>
      <c r="R27" s="424">
        <f t="shared" si="16"/>
        <v>0</v>
      </c>
      <c r="S27" s="425">
        <f t="shared" si="17"/>
        <v>0</v>
      </c>
      <c r="T27" s="426">
        <f t="shared" si="18"/>
        <v>0</v>
      </c>
      <c r="U27" s="428" t="s">
        <v>403</v>
      </c>
      <c r="V27" s="419">
        <f t="shared" si="19"/>
        <v>0</v>
      </c>
      <c r="W27" s="420">
        <f t="shared" si="20"/>
        <v>0</v>
      </c>
      <c r="X27" s="421">
        <f t="shared" si="21"/>
        <v>0</v>
      </c>
      <c r="Y27" s="422">
        <f t="shared" si="22"/>
        <v>0</v>
      </c>
      <c r="Z27" s="423">
        <f t="shared" si="23"/>
        <v>0</v>
      </c>
      <c r="AA27" s="424">
        <f t="shared" si="24"/>
        <v>0</v>
      </c>
      <c r="AB27" s="425">
        <f t="shared" si="25"/>
        <v>0</v>
      </c>
      <c r="AC27" s="426">
        <f t="shared" si="26"/>
        <v>0</v>
      </c>
      <c r="AD27" s="428" t="s">
        <v>403</v>
      </c>
      <c r="AE27" s="419">
        <f t="shared" si="27"/>
        <v>0</v>
      </c>
      <c r="AF27" s="420">
        <f t="shared" si="28"/>
        <v>0</v>
      </c>
      <c r="AG27" s="419">
        <f t="shared" si="29"/>
        <v>0</v>
      </c>
      <c r="AH27" s="420">
        <f t="shared" si="30"/>
        <v>0</v>
      </c>
      <c r="AI27" s="421">
        <f t="shared" si="31"/>
        <v>0</v>
      </c>
      <c r="AJ27" s="421">
        <f t="shared" si="71"/>
        <v>0</v>
      </c>
      <c r="AK27" s="443"/>
      <c r="AL27" s="428" t="s">
        <v>403</v>
      </c>
      <c r="AM27" s="428" t="s">
        <v>403</v>
      </c>
      <c r="AN27" s="419">
        <f t="shared" si="32"/>
        <v>0</v>
      </c>
      <c r="AO27" s="420">
        <f t="shared" si="33"/>
        <v>0</v>
      </c>
      <c r="AP27" s="419">
        <f t="shared" si="72"/>
        <v>0</v>
      </c>
      <c r="AQ27" s="420">
        <f t="shared" si="73"/>
        <v>0</v>
      </c>
      <c r="AR27" s="419">
        <f t="shared" si="34"/>
        <v>0</v>
      </c>
      <c r="AS27" s="420">
        <f t="shared" si="35"/>
        <v>0</v>
      </c>
      <c r="AT27" s="421">
        <f t="shared" si="36"/>
        <v>0</v>
      </c>
      <c r="AU27" s="422">
        <f t="shared" si="37"/>
        <v>0</v>
      </c>
      <c r="AV27" s="419">
        <f t="shared" si="38"/>
        <v>0</v>
      </c>
      <c r="AW27" s="420">
        <f t="shared" si="39"/>
        <v>0</v>
      </c>
      <c r="AX27" s="421">
        <f t="shared" si="40"/>
        <v>0</v>
      </c>
      <c r="AY27" s="422">
        <f t="shared" si="41"/>
        <v>0</v>
      </c>
      <c r="AZ27" s="419">
        <f t="shared" si="42"/>
        <v>0</v>
      </c>
      <c r="BA27" s="420">
        <f t="shared" si="43"/>
        <v>0</v>
      </c>
      <c r="BB27" s="421">
        <f t="shared" si="44"/>
        <v>0</v>
      </c>
      <c r="BC27" s="419">
        <f t="shared" si="45"/>
        <v>0</v>
      </c>
      <c r="BD27" s="420">
        <f t="shared" si="46"/>
        <v>0</v>
      </c>
      <c r="BE27" s="421">
        <f t="shared" si="47"/>
        <v>0</v>
      </c>
      <c r="BF27" s="421">
        <f t="shared" si="48"/>
        <v>0</v>
      </c>
      <c r="BG27" s="422">
        <f t="shared" si="49"/>
        <v>0</v>
      </c>
      <c r="BH27" s="423">
        <f t="shared" si="50"/>
        <v>0</v>
      </c>
      <c r="BI27" s="424" cm="1">
        <f t="array" aca="1" ref="BI27" ca="1">SUM(IFERROR(GETPIVOTDATA("QTY",$SN$5,"Size (inch)",A27),0),IFERROR(GETPIVOTDATA("QTY",$SN$5,"Size (inch)",B27),0),IFERROR(GETPIVOTDATA("QTY",$SN$5,"Size (inch)",C27),0),IFERROR(GETPIVPOTDATA("QTY",$SN$5,"Size (inch)",D27),0))</f>
        <v>0</v>
      </c>
      <c r="BJ27" s="425">
        <f t="shared" si="51"/>
        <v>0</v>
      </c>
      <c r="BK27" s="426">
        <f t="shared" si="52"/>
        <v>0</v>
      </c>
      <c r="BL27" s="428" t="s">
        <v>403</v>
      </c>
      <c r="BM27" s="419">
        <f t="shared" si="53"/>
        <v>0</v>
      </c>
      <c r="BN27" s="419">
        <f t="shared" si="54"/>
        <v>0</v>
      </c>
      <c r="BO27" s="419">
        <f t="shared" si="55"/>
        <v>0</v>
      </c>
      <c r="BP27" s="419">
        <f t="shared" si="56"/>
        <v>0</v>
      </c>
      <c r="BQ27" s="419">
        <f t="shared" si="57"/>
        <v>0</v>
      </c>
      <c r="BR27" s="419">
        <f t="shared" si="58"/>
        <v>0</v>
      </c>
      <c r="BS27" s="446">
        <f t="shared" si="59"/>
        <v>0</v>
      </c>
      <c r="BT27" s="446">
        <f t="shared" si="60"/>
        <v>0</v>
      </c>
      <c r="BU27" s="446">
        <f t="shared" si="61"/>
        <v>0</v>
      </c>
      <c r="BV27" s="446">
        <f t="shared" si="62"/>
        <v>0</v>
      </c>
      <c r="BW27" s="446">
        <f t="shared" si="63"/>
        <v>0</v>
      </c>
      <c r="BX27" s="446">
        <f t="shared" si="64"/>
        <v>0</v>
      </c>
      <c r="BY27" s="421">
        <f t="shared" si="65"/>
        <v>0</v>
      </c>
      <c r="BZ27" s="421">
        <f t="shared" si="66"/>
        <v>0</v>
      </c>
      <c r="CA27" s="421">
        <f t="shared" si="67"/>
        <v>0</v>
      </c>
      <c r="CB27" s="421">
        <f t="shared" si="68"/>
        <v>0</v>
      </c>
      <c r="CC27" s="421">
        <f t="shared" si="69"/>
        <v>0</v>
      </c>
      <c r="CD27" s="421">
        <f t="shared" si="70"/>
        <v>0</v>
      </c>
      <c r="CK27"/>
      <c r="CM27"/>
      <c r="GV27"/>
      <c r="GX27"/>
      <c r="LH27"/>
      <c r="LJ27"/>
      <c r="NI27"/>
      <c r="NK27"/>
      <c r="PQ27"/>
      <c r="PS27"/>
      <c r="RD27"/>
      <c r="RK27"/>
      <c r="RM27"/>
      <c r="RT27"/>
      <c r="SF27"/>
      <c r="SH27"/>
      <c r="SM27"/>
      <c r="SO27"/>
      <c r="SY27"/>
      <c r="TA27"/>
      <c r="TG27"/>
      <c r="TP27"/>
      <c r="TR27"/>
      <c r="TV27"/>
      <c r="TX27"/>
    </row>
    <row r="28" spans="1:544" x14ac:dyDescent="0.3">
      <c r="A28" s="262"/>
      <c r="B28" s="262"/>
      <c r="C28" s="266" t="s">
        <v>481</v>
      </c>
      <c r="D28" s="266" t="s">
        <v>406</v>
      </c>
      <c r="E28" s="412">
        <f t="shared" si="3"/>
        <v>0</v>
      </c>
      <c r="F28" s="413">
        <f t="shared" si="4"/>
        <v>0</v>
      </c>
      <c r="G28" s="148">
        <f t="shared" si="5"/>
        <v>0</v>
      </c>
      <c r="H28" s="414">
        <f t="shared" si="6"/>
        <v>0</v>
      </c>
      <c r="I28" s="415">
        <f t="shared" si="7"/>
        <v>0</v>
      </c>
      <c r="J28" s="416">
        <f t="shared" si="8"/>
        <v>0</v>
      </c>
      <c r="K28" s="417">
        <f t="shared" si="9"/>
        <v>0</v>
      </c>
      <c r="L28" s="418">
        <f t="shared" si="10"/>
        <v>0</v>
      </c>
      <c r="M28" s="419">
        <f t="shared" si="11"/>
        <v>0</v>
      </c>
      <c r="N28" s="420">
        <f t="shared" si="12"/>
        <v>0</v>
      </c>
      <c r="O28" s="421">
        <f t="shared" si="13"/>
        <v>0</v>
      </c>
      <c r="P28" s="422">
        <f t="shared" si="14"/>
        <v>0</v>
      </c>
      <c r="Q28" s="423">
        <f t="shared" si="15"/>
        <v>0</v>
      </c>
      <c r="R28" s="424">
        <f t="shared" si="16"/>
        <v>0</v>
      </c>
      <c r="S28" s="425">
        <f t="shared" si="17"/>
        <v>0</v>
      </c>
      <c r="T28" s="426">
        <f t="shared" si="18"/>
        <v>0</v>
      </c>
      <c r="U28" s="428" t="s">
        <v>406</v>
      </c>
      <c r="V28" s="419">
        <f t="shared" si="19"/>
        <v>0</v>
      </c>
      <c r="W28" s="420">
        <f t="shared" si="20"/>
        <v>0</v>
      </c>
      <c r="X28" s="421">
        <f t="shared" si="21"/>
        <v>0</v>
      </c>
      <c r="Y28" s="422">
        <f t="shared" si="22"/>
        <v>0</v>
      </c>
      <c r="Z28" s="423">
        <f t="shared" si="23"/>
        <v>0</v>
      </c>
      <c r="AA28" s="424">
        <f t="shared" si="24"/>
        <v>0</v>
      </c>
      <c r="AB28" s="425">
        <f t="shared" si="25"/>
        <v>0</v>
      </c>
      <c r="AC28" s="426">
        <f t="shared" si="26"/>
        <v>0</v>
      </c>
      <c r="AD28" s="428" t="s">
        <v>406</v>
      </c>
      <c r="AE28" s="419">
        <f t="shared" si="27"/>
        <v>0</v>
      </c>
      <c r="AF28" s="420">
        <f t="shared" si="28"/>
        <v>0</v>
      </c>
      <c r="AG28" s="419">
        <f t="shared" si="29"/>
        <v>0</v>
      </c>
      <c r="AH28" s="420">
        <f t="shared" si="30"/>
        <v>0</v>
      </c>
      <c r="AI28" s="421">
        <f t="shared" si="31"/>
        <v>0</v>
      </c>
      <c r="AJ28" s="421">
        <f t="shared" si="71"/>
        <v>0</v>
      </c>
      <c r="AK28" s="443"/>
      <c r="AL28" s="428" t="s">
        <v>406</v>
      </c>
      <c r="AM28" s="428" t="s">
        <v>406</v>
      </c>
      <c r="AN28" s="419">
        <f t="shared" si="32"/>
        <v>0</v>
      </c>
      <c r="AO28" s="420">
        <f t="shared" si="33"/>
        <v>0</v>
      </c>
      <c r="AP28" s="419">
        <f t="shared" si="72"/>
        <v>0</v>
      </c>
      <c r="AQ28" s="420">
        <f t="shared" si="73"/>
        <v>0</v>
      </c>
      <c r="AR28" s="419">
        <f t="shared" si="34"/>
        <v>0</v>
      </c>
      <c r="AS28" s="420">
        <f t="shared" si="35"/>
        <v>0</v>
      </c>
      <c r="AT28" s="421">
        <f t="shared" si="36"/>
        <v>0</v>
      </c>
      <c r="AU28" s="422">
        <f t="shared" si="37"/>
        <v>0</v>
      </c>
      <c r="AV28" s="419">
        <f t="shared" si="38"/>
        <v>0</v>
      </c>
      <c r="AW28" s="420">
        <f t="shared" si="39"/>
        <v>0</v>
      </c>
      <c r="AX28" s="421">
        <f t="shared" si="40"/>
        <v>0</v>
      </c>
      <c r="AY28" s="422">
        <f t="shared" si="41"/>
        <v>0</v>
      </c>
      <c r="AZ28" s="419">
        <f t="shared" si="42"/>
        <v>0</v>
      </c>
      <c r="BA28" s="420">
        <f t="shared" si="43"/>
        <v>0</v>
      </c>
      <c r="BB28" s="421">
        <f t="shared" si="44"/>
        <v>0</v>
      </c>
      <c r="BC28" s="419">
        <f t="shared" si="45"/>
        <v>0</v>
      </c>
      <c r="BD28" s="420">
        <f t="shared" si="46"/>
        <v>0</v>
      </c>
      <c r="BE28" s="421">
        <f t="shared" si="47"/>
        <v>0</v>
      </c>
      <c r="BF28" s="421">
        <f t="shared" si="48"/>
        <v>0</v>
      </c>
      <c r="BG28" s="422">
        <f t="shared" si="49"/>
        <v>0</v>
      </c>
      <c r="BH28" s="423">
        <f t="shared" si="50"/>
        <v>0</v>
      </c>
      <c r="BI28" s="424" cm="1">
        <f t="array" aca="1" ref="BI28" ca="1">SUM(IFERROR(GETPIVOTDATA("QTY",$SN$5,"Size (inch)",A28),0),IFERROR(GETPIVOTDATA("QTY",$SN$5,"Size (inch)",B28),0),IFERROR(GETPIVOTDATA("QTY",$SN$5,"Size (inch)",C28),0),IFERROR(GETPIVPOTDATA("QTY",$SN$5,"Size (inch)",D28),0))</f>
        <v>0</v>
      </c>
      <c r="BJ28" s="425">
        <f t="shared" si="51"/>
        <v>0</v>
      </c>
      <c r="BK28" s="426">
        <f t="shared" si="52"/>
        <v>0</v>
      </c>
      <c r="BL28" s="428" t="s">
        <v>406</v>
      </c>
      <c r="BM28" s="419">
        <f t="shared" si="53"/>
        <v>0</v>
      </c>
      <c r="BN28" s="419">
        <f t="shared" si="54"/>
        <v>0</v>
      </c>
      <c r="BO28" s="419">
        <f t="shared" si="55"/>
        <v>0</v>
      </c>
      <c r="BP28" s="419">
        <f t="shared" si="56"/>
        <v>0</v>
      </c>
      <c r="BQ28" s="419">
        <f t="shared" si="57"/>
        <v>0</v>
      </c>
      <c r="BR28" s="419">
        <f t="shared" si="58"/>
        <v>0</v>
      </c>
      <c r="BS28" s="446">
        <f t="shared" si="59"/>
        <v>0</v>
      </c>
      <c r="BT28" s="446">
        <f t="shared" si="60"/>
        <v>0</v>
      </c>
      <c r="BU28" s="446">
        <f t="shared" si="61"/>
        <v>0</v>
      </c>
      <c r="BV28" s="446">
        <f t="shared" si="62"/>
        <v>0</v>
      </c>
      <c r="BW28" s="446">
        <f t="shared" si="63"/>
        <v>0</v>
      </c>
      <c r="BX28" s="446">
        <f t="shared" si="64"/>
        <v>0</v>
      </c>
      <c r="BY28" s="421">
        <f t="shared" si="65"/>
        <v>0</v>
      </c>
      <c r="BZ28" s="421">
        <f t="shared" si="66"/>
        <v>0</v>
      </c>
      <c r="CA28" s="421">
        <f t="shared" si="67"/>
        <v>0</v>
      </c>
      <c r="CB28" s="421">
        <f t="shared" si="68"/>
        <v>0</v>
      </c>
      <c r="CC28" s="421">
        <f t="shared" si="69"/>
        <v>0</v>
      </c>
      <c r="CD28" s="421">
        <f t="shared" si="70"/>
        <v>0</v>
      </c>
      <c r="CK28"/>
      <c r="CM28"/>
      <c r="GV28"/>
      <c r="GX28"/>
      <c r="LH28"/>
      <c r="LJ28"/>
      <c r="NI28"/>
      <c r="NK28"/>
      <c r="PQ28"/>
      <c r="PS28"/>
      <c r="RD28"/>
      <c r="RK28"/>
      <c r="RM28"/>
      <c r="RT28"/>
      <c r="SF28"/>
      <c r="SH28"/>
      <c r="SM28"/>
      <c r="SO28"/>
      <c r="SY28"/>
      <c r="TA28"/>
      <c r="TG28"/>
      <c r="TP28"/>
      <c r="TR28"/>
      <c r="TV28"/>
      <c r="TX28"/>
    </row>
    <row r="29" spans="1:544" x14ac:dyDescent="0.3">
      <c r="A29" s="262"/>
      <c r="B29" s="262"/>
      <c r="C29" s="266" t="s">
        <v>482</v>
      </c>
      <c r="D29" s="266" t="s">
        <v>404</v>
      </c>
      <c r="E29" s="412">
        <f t="shared" si="3"/>
        <v>0</v>
      </c>
      <c r="F29" s="413">
        <f t="shared" si="4"/>
        <v>0</v>
      </c>
      <c r="G29" s="148">
        <f t="shared" si="5"/>
        <v>0</v>
      </c>
      <c r="H29" s="414">
        <f t="shared" si="6"/>
        <v>0</v>
      </c>
      <c r="I29" s="415">
        <f t="shared" si="7"/>
        <v>0</v>
      </c>
      <c r="J29" s="416">
        <f t="shared" si="8"/>
        <v>0</v>
      </c>
      <c r="K29" s="417">
        <f t="shared" si="9"/>
        <v>0</v>
      </c>
      <c r="L29" s="418">
        <f t="shared" si="10"/>
        <v>0</v>
      </c>
      <c r="M29" s="419">
        <f t="shared" si="11"/>
        <v>0</v>
      </c>
      <c r="N29" s="420">
        <f t="shared" si="12"/>
        <v>0</v>
      </c>
      <c r="O29" s="421">
        <f t="shared" si="13"/>
        <v>0</v>
      </c>
      <c r="P29" s="422">
        <f t="shared" si="14"/>
        <v>0</v>
      </c>
      <c r="Q29" s="423">
        <f t="shared" si="15"/>
        <v>0</v>
      </c>
      <c r="R29" s="424">
        <f t="shared" si="16"/>
        <v>0</v>
      </c>
      <c r="S29" s="425">
        <f t="shared" si="17"/>
        <v>0</v>
      </c>
      <c r="T29" s="426">
        <f t="shared" si="18"/>
        <v>0</v>
      </c>
      <c r="U29" s="428" t="s">
        <v>404</v>
      </c>
      <c r="V29" s="419">
        <f t="shared" si="19"/>
        <v>0</v>
      </c>
      <c r="W29" s="420">
        <f t="shared" si="20"/>
        <v>0</v>
      </c>
      <c r="X29" s="421">
        <f t="shared" si="21"/>
        <v>0</v>
      </c>
      <c r="Y29" s="422">
        <f t="shared" si="22"/>
        <v>0</v>
      </c>
      <c r="Z29" s="423">
        <f t="shared" si="23"/>
        <v>0</v>
      </c>
      <c r="AA29" s="424">
        <f t="shared" si="24"/>
        <v>0</v>
      </c>
      <c r="AB29" s="425">
        <f t="shared" si="25"/>
        <v>0</v>
      </c>
      <c r="AC29" s="426">
        <f t="shared" si="26"/>
        <v>0</v>
      </c>
      <c r="AD29" s="428" t="s">
        <v>404</v>
      </c>
      <c r="AE29" s="419">
        <f t="shared" si="27"/>
        <v>0</v>
      </c>
      <c r="AF29" s="420">
        <f t="shared" si="28"/>
        <v>0</v>
      </c>
      <c r="AG29" s="419">
        <f t="shared" si="29"/>
        <v>0</v>
      </c>
      <c r="AH29" s="420">
        <f t="shared" si="30"/>
        <v>0</v>
      </c>
      <c r="AI29" s="421">
        <f t="shared" si="31"/>
        <v>0</v>
      </c>
      <c r="AJ29" s="421">
        <f t="shared" si="71"/>
        <v>0</v>
      </c>
      <c r="AK29" s="444"/>
      <c r="AL29" s="428" t="s">
        <v>404</v>
      </c>
      <c r="AM29" s="428" t="s">
        <v>404</v>
      </c>
      <c r="AN29" s="419">
        <f t="shared" si="32"/>
        <v>0</v>
      </c>
      <c r="AO29" s="420">
        <f t="shared" si="33"/>
        <v>0</v>
      </c>
      <c r="AP29" s="419">
        <f t="shared" si="72"/>
        <v>0</v>
      </c>
      <c r="AQ29" s="420">
        <f t="shared" si="73"/>
        <v>0</v>
      </c>
      <c r="AR29" s="419">
        <f t="shared" si="34"/>
        <v>0</v>
      </c>
      <c r="AS29" s="420">
        <f t="shared" si="35"/>
        <v>0</v>
      </c>
      <c r="AT29" s="421">
        <f t="shared" si="36"/>
        <v>0</v>
      </c>
      <c r="AU29" s="422">
        <f t="shared" si="37"/>
        <v>0</v>
      </c>
      <c r="AV29" s="419">
        <f t="shared" si="38"/>
        <v>0</v>
      </c>
      <c r="AW29" s="420">
        <f t="shared" si="39"/>
        <v>0</v>
      </c>
      <c r="AX29" s="421">
        <f t="shared" si="40"/>
        <v>0</v>
      </c>
      <c r="AY29" s="422">
        <f t="shared" si="41"/>
        <v>0</v>
      </c>
      <c r="AZ29" s="419">
        <f t="shared" si="42"/>
        <v>0</v>
      </c>
      <c r="BA29" s="420">
        <f t="shared" si="43"/>
        <v>0</v>
      </c>
      <c r="BB29" s="421">
        <f t="shared" si="44"/>
        <v>0</v>
      </c>
      <c r="BC29" s="419">
        <f t="shared" si="45"/>
        <v>0</v>
      </c>
      <c r="BD29" s="420">
        <f t="shared" si="46"/>
        <v>0</v>
      </c>
      <c r="BE29" s="421">
        <f t="shared" si="47"/>
        <v>0</v>
      </c>
      <c r="BF29" s="421">
        <f t="shared" si="48"/>
        <v>0</v>
      </c>
      <c r="BG29" s="422">
        <f t="shared" si="49"/>
        <v>0</v>
      </c>
      <c r="BH29" s="423">
        <f t="shared" si="50"/>
        <v>0</v>
      </c>
      <c r="BI29" s="424" cm="1">
        <f t="array" aca="1" ref="BI29" ca="1">SUM(IFERROR(GETPIVOTDATA("QTY",$SN$5,"Size (inch)",A29),0),IFERROR(GETPIVOTDATA("QTY",$SN$5,"Size (inch)",B29),0),IFERROR(GETPIVOTDATA("QTY",$SN$5,"Size (inch)",C29),0),IFERROR(GETPIVPOTDATA("QTY",$SN$5,"Size (inch)",D29),0))</f>
        <v>0</v>
      </c>
      <c r="BJ29" s="425">
        <f t="shared" si="51"/>
        <v>0</v>
      </c>
      <c r="BK29" s="426">
        <f t="shared" si="52"/>
        <v>0</v>
      </c>
      <c r="BL29" s="428" t="s">
        <v>404</v>
      </c>
      <c r="BM29" s="419">
        <f t="shared" si="53"/>
        <v>0</v>
      </c>
      <c r="BN29" s="419">
        <f t="shared" si="54"/>
        <v>0</v>
      </c>
      <c r="BO29" s="419">
        <f t="shared" si="55"/>
        <v>0</v>
      </c>
      <c r="BP29" s="419">
        <f t="shared" si="56"/>
        <v>0</v>
      </c>
      <c r="BQ29" s="419">
        <f t="shared" si="57"/>
        <v>0</v>
      </c>
      <c r="BR29" s="419">
        <f t="shared" si="58"/>
        <v>0</v>
      </c>
      <c r="BS29" s="446">
        <f t="shared" si="59"/>
        <v>0</v>
      </c>
      <c r="BT29" s="446">
        <f t="shared" si="60"/>
        <v>0</v>
      </c>
      <c r="BU29" s="446">
        <f t="shared" si="61"/>
        <v>0</v>
      </c>
      <c r="BV29" s="446">
        <f t="shared" si="62"/>
        <v>0</v>
      </c>
      <c r="BW29" s="446">
        <f t="shared" si="63"/>
        <v>0</v>
      </c>
      <c r="BX29" s="446">
        <f t="shared" si="64"/>
        <v>0</v>
      </c>
      <c r="BY29" s="421">
        <f t="shared" si="65"/>
        <v>0</v>
      </c>
      <c r="BZ29" s="421">
        <f t="shared" si="66"/>
        <v>0</v>
      </c>
      <c r="CA29" s="421">
        <f t="shared" si="67"/>
        <v>0</v>
      </c>
      <c r="CB29" s="421">
        <f t="shared" si="68"/>
        <v>0</v>
      </c>
      <c r="CC29" s="421">
        <f t="shared" si="69"/>
        <v>0</v>
      </c>
      <c r="CD29" s="421">
        <f t="shared" si="70"/>
        <v>0</v>
      </c>
      <c r="CM29"/>
      <c r="LJ29"/>
    </row>
    <row r="30" spans="1:544" x14ac:dyDescent="0.3">
      <c r="CM30"/>
      <c r="LJ30"/>
    </row>
    <row r="31" spans="1:544" x14ac:dyDescent="0.3">
      <c r="CM31"/>
      <c r="LJ31"/>
    </row>
    <row r="32" spans="1:544" x14ac:dyDescent="0.3">
      <c r="CM32"/>
      <c r="LJ32"/>
    </row>
    <row r="33" spans="91:322" x14ac:dyDescent="0.3">
      <c r="CM33"/>
      <c r="LJ33"/>
    </row>
    <row r="34" spans="91:322" x14ac:dyDescent="0.3">
      <c r="CM34"/>
      <c r="LJ34"/>
    </row>
    <row r="35" spans="91:322" x14ac:dyDescent="0.3">
      <c r="CM35"/>
      <c r="LJ35"/>
    </row>
    <row r="36" spans="91:322" x14ac:dyDescent="0.3">
      <c r="CM36"/>
      <c r="LJ36"/>
    </row>
    <row r="37" spans="91:322" x14ac:dyDescent="0.3">
      <c r="CM37"/>
      <c r="LJ37"/>
    </row>
    <row r="38" spans="91:322" x14ac:dyDescent="0.3">
      <c r="CM38"/>
      <c r="LJ38"/>
    </row>
    <row r="39" spans="91:322" x14ac:dyDescent="0.3">
      <c r="CM39"/>
      <c r="LJ39"/>
    </row>
    <row r="40" spans="91:322" x14ac:dyDescent="0.3">
      <c r="CM40"/>
      <c r="LJ40"/>
    </row>
    <row r="41" spans="91:322" x14ac:dyDescent="0.3">
      <c r="CM41"/>
      <c r="LJ41"/>
    </row>
    <row r="42" spans="91:322" x14ac:dyDescent="0.3">
      <c r="CM42"/>
      <c r="LJ42"/>
    </row>
    <row r="43" spans="91:322" x14ac:dyDescent="0.3">
      <c r="CM43"/>
      <c r="LJ43"/>
    </row>
    <row r="44" spans="91:322" x14ac:dyDescent="0.3">
      <c r="LJ44"/>
    </row>
    <row r="45" spans="91:322" x14ac:dyDescent="0.3">
      <c r="LJ45"/>
    </row>
    <row r="46" spans="91:322" x14ac:dyDescent="0.3">
      <c r="LJ46"/>
    </row>
    <row r="47" spans="91:322" x14ac:dyDescent="0.3">
      <c r="LJ47"/>
    </row>
    <row r="48" spans="91:322" x14ac:dyDescent="0.3">
      <c r="LJ48"/>
    </row>
    <row r="49" spans="322:322" x14ac:dyDescent="0.3">
      <c r="LJ49"/>
    </row>
    <row r="50" spans="322:322" x14ac:dyDescent="0.3">
      <c r="LJ50"/>
    </row>
    <row r="51" spans="322:322" x14ac:dyDescent="0.3">
      <c r="LJ51"/>
    </row>
    <row r="52" spans="322:322" x14ac:dyDescent="0.3">
      <c r="LJ52"/>
    </row>
    <row r="53" spans="322:322" x14ac:dyDescent="0.3">
      <c r="LJ53"/>
    </row>
    <row r="54" spans="322:322" x14ac:dyDescent="0.3">
      <c r="LJ54"/>
    </row>
    <row r="55" spans="322:322" x14ac:dyDescent="0.3">
      <c r="LJ55"/>
    </row>
    <row r="56" spans="322:322" x14ac:dyDescent="0.3">
      <c r="LJ56"/>
    </row>
    <row r="57" spans="322:322" x14ac:dyDescent="0.3">
      <c r="LJ57"/>
    </row>
    <row r="58" spans="322:322" x14ac:dyDescent="0.3">
      <c r="LJ58"/>
    </row>
    <row r="59" spans="322:322" x14ac:dyDescent="0.3">
      <c r="LJ59"/>
    </row>
    <row r="60" spans="322:322" x14ac:dyDescent="0.3">
      <c r="LJ60"/>
    </row>
    <row r="61" spans="322:322" x14ac:dyDescent="0.3">
      <c r="LJ61"/>
    </row>
    <row r="62" spans="322:322" x14ac:dyDescent="0.3">
      <c r="LJ62"/>
    </row>
    <row r="63" spans="322:322" x14ac:dyDescent="0.3">
      <c r="LJ63"/>
    </row>
    <row r="64" spans="322:322" x14ac:dyDescent="0.3">
      <c r="LJ64"/>
    </row>
    <row r="65" spans="322:322" x14ac:dyDescent="0.3">
      <c r="LJ65"/>
    </row>
    <row r="66" spans="322:322" x14ac:dyDescent="0.3">
      <c r="LJ66"/>
    </row>
    <row r="67" spans="322:322" x14ac:dyDescent="0.3">
      <c r="LJ67"/>
    </row>
    <row r="68" spans="322:322" x14ac:dyDescent="0.3">
      <c r="LJ68"/>
    </row>
    <row r="69" spans="322:322" x14ac:dyDescent="0.3">
      <c r="LJ69"/>
    </row>
    <row r="70" spans="322:322" x14ac:dyDescent="0.3">
      <c r="LJ70"/>
    </row>
    <row r="71" spans="322:322" x14ac:dyDescent="0.3">
      <c r="LJ71"/>
    </row>
    <row r="72" spans="322:322" x14ac:dyDescent="0.3">
      <c r="LJ72"/>
    </row>
    <row r="73" spans="322:322" x14ac:dyDescent="0.3">
      <c r="LJ73"/>
    </row>
    <row r="74" spans="322:322" x14ac:dyDescent="0.3">
      <c r="LJ74"/>
    </row>
    <row r="75" spans="322:322" x14ac:dyDescent="0.3">
      <c r="LJ75"/>
    </row>
    <row r="76" spans="322:322" x14ac:dyDescent="0.3">
      <c r="LJ76"/>
    </row>
    <row r="77" spans="322:322" x14ac:dyDescent="0.3">
      <c r="LJ77"/>
    </row>
    <row r="78" spans="322:322" x14ac:dyDescent="0.3">
      <c r="LJ78"/>
    </row>
    <row r="79" spans="322:322" x14ac:dyDescent="0.3">
      <c r="LJ79"/>
    </row>
    <row r="80" spans="322:322" x14ac:dyDescent="0.3">
      <c r="LJ80"/>
    </row>
    <row r="81" spans="322:322" x14ac:dyDescent="0.3">
      <c r="LJ81"/>
    </row>
    <row r="82" spans="322:322" x14ac:dyDescent="0.3">
      <c r="LJ82"/>
    </row>
    <row r="83" spans="322:322" x14ac:dyDescent="0.3">
      <c r="LJ83"/>
    </row>
    <row r="84" spans="322:322" x14ac:dyDescent="0.3">
      <c r="LJ84"/>
    </row>
    <row r="85" spans="322:322" x14ac:dyDescent="0.3">
      <c r="LJ85"/>
    </row>
    <row r="86" spans="322:322" x14ac:dyDescent="0.3">
      <c r="LJ86"/>
    </row>
    <row r="87" spans="322:322" x14ac:dyDescent="0.3">
      <c r="LJ87"/>
    </row>
    <row r="88" spans="322:322" x14ac:dyDescent="0.3">
      <c r="LJ88"/>
    </row>
    <row r="89" spans="322:322" x14ac:dyDescent="0.3">
      <c r="LJ89"/>
    </row>
    <row r="90" spans="322:322" x14ac:dyDescent="0.3">
      <c r="LJ90"/>
    </row>
    <row r="91" spans="322:322" x14ac:dyDescent="0.3">
      <c r="LJ91"/>
    </row>
    <row r="92" spans="322:322" x14ac:dyDescent="0.3">
      <c r="LJ92"/>
    </row>
    <row r="93" spans="322:322" x14ac:dyDescent="0.3">
      <c r="LJ93"/>
    </row>
    <row r="94" spans="322:322" x14ac:dyDescent="0.3">
      <c r="LJ94"/>
    </row>
    <row r="95" spans="322:322" x14ac:dyDescent="0.3">
      <c r="LJ95"/>
    </row>
    <row r="96" spans="322:322" x14ac:dyDescent="0.3">
      <c r="LJ96"/>
    </row>
    <row r="97" spans="322:322" x14ac:dyDescent="0.3">
      <c r="LJ97"/>
    </row>
  </sheetData>
  <mergeCells count="171">
    <mergeCell ref="GQ1:KZ2"/>
    <mergeCell ref="TF4:TI4"/>
    <mergeCell ref="ST1:TI3"/>
    <mergeCell ref="TW4:TZ4"/>
    <mergeCell ref="TK1:TZ3"/>
    <mergeCell ref="RS4:RX4"/>
    <mergeCell ref="RE1:RX3"/>
    <mergeCell ref="QR4:QV4"/>
    <mergeCell ref="QX4:RC4"/>
    <mergeCell ref="TK4:TO4"/>
    <mergeCell ref="TQ4:TU4"/>
    <mergeCell ref="RZ4:SE4"/>
    <mergeCell ref="SG4:SL4"/>
    <mergeCell ref="ST4:SX4"/>
    <mergeCell ref="SZ4:TD4"/>
    <mergeCell ref="SN4:SR4"/>
    <mergeCell ref="RZ1:SR3"/>
    <mergeCell ref="RE4:RJ4"/>
    <mergeCell ref="RL4:RQ4"/>
    <mergeCell ref="QX3:RC3"/>
    <mergeCell ref="PK1:RC2"/>
    <mergeCell ref="PK3:PP3"/>
    <mergeCell ref="OM4:OQ4"/>
    <mergeCell ref="OS4:OW4"/>
    <mergeCell ref="OY4:PC4"/>
    <mergeCell ref="IA4:ID4"/>
    <mergeCell ref="IF4:II4"/>
    <mergeCell ref="MV4:NA4"/>
    <mergeCell ref="JR4:JV4"/>
    <mergeCell ref="JX4:KB4"/>
    <mergeCell ref="QR3:QV3"/>
    <mergeCell ref="QF4:QJ4"/>
    <mergeCell ref="QL4:QP4"/>
    <mergeCell ref="PK4:PP4"/>
    <mergeCell ref="PR4:PW4"/>
    <mergeCell ref="PE4:PI4"/>
    <mergeCell ref="MI4:MM4"/>
    <mergeCell ref="PR3:PW3"/>
    <mergeCell ref="QF3:QJ3"/>
    <mergeCell ref="QL3:QP3"/>
    <mergeCell ref="KV4:KZ4"/>
    <mergeCell ref="E1:T1"/>
    <mergeCell ref="V1:AC3"/>
    <mergeCell ref="LB1:NH2"/>
    <mergeCell ref="LB3:LG3"/>
    <mergeCell ref="HU3:HY3"/>
    <mergeCell ref="IA3:ID3"/>
    <mergeCell ref="IF3:II3"/>
    <mergeCell ref="IK3:IN3"/>
    <mergeCell ref="LI3:LN3"/>
    <mergeCell ref="MV3:NA3"/>
    <mergeCell ref="NC3:NH3"/>
    <mergeCell ref="AE3:AF3"/>
    <mergeCell ref="AG3:AI3"/>
    <mergeCell ref="AN1:BK2"/>
    <mergeCell ref="BS3:BX3"/>
    <mergeCell ref="BY3:CD3"/>
    <mergeCell ref="KD3:KH3"/>
    <mergeCell ref="KJ3:KN3"/>
    <mergeCell ref="KP3:KT3"/>
    <mergeCell ref="KV3:KZ3"/>
    <mergeCell ref="AV3:AY3"/>
    <mergeCell ref="AZ3:BB3"/>
    <mergeCell ref="AP3:AQ3"/>
    <mergeCell ref="AR3:AU3"/>
    <mergeCell ref="FS4:FW4"/>
    <mergeCell ref="FG3:FK3"/>
    <mergeCell ref="FG4:FK4"/>
    <mergeCell ref="CF3:CJ3"/>
    <mergeCell ref="CL3:CP3"/>
    <mergeCell ref="EO4:ES4"/>
    <mergeCell ref="CX4:DB4"/>
    <mergeCell ref="CR3:CV3"/>
    <mergeCell ref="E2:L3"/>
    <mergeCell ref="M2:T3"/>
    <mergeCell ref="HI3:HM3"/>
    <mergeCell ref="HO3:HS3"/>
    <mergeCell ref="FY3:GC3"/>
    <mergeCell ref="FY4:GC4"/>
    <mergeCell ref="OG4:OK4"/>
    <mergeCell ref="CF1:GO2"/>
    <mergeCell ref="BM1:CD2"/>
    <mergeCell ref="BM3:BR3"/>
    <mergeCell ref="GE3:GI3"/>
    <mergeCell ref="LW3:MA3"/>
    <mergeCell ref="LW4:MA4"/>
    <mergeCell ref="MC3:MG3"/>
    <mergeCell ref="NC4:NH4"/>
    <mergeCell ref="NJ4:NM4"/>
    <mergeCell ref="NU4:NY4"/>
    <mergeCell ref="OA4:OE4"/>
    <mergeCell ref="IP3:IS3"/>
    <mergeCell ref="IU3:IX3"/>
    <mergeCell ref="NJ1:PI3"/>
    <mergeCell ref="JR3:JV3"/>
    <mergeCell ref="JX3:KB3"/>
    <mergeCell ref="MC4:MG4"/>
    <mergeCell ref="MI3:MM3"/>
    <mergeCell ref="FS3:FW3"/>
    <mergeCell ref="AE5:AK5"/>
    <mergeCell ref="AE1:AK2"/>
    <mergeCell ref="HC3:HG3"/>
    <mergeCell ref="EU3:EX3"/>
    <mergeCell ref="FA4:FE4"/>
    <mergeCell ref="FA3:FE3"/>
    <mergeCell ref="EU4:EY4"/>
    <mergeCell ref="DU3:DX3"/>
    <mergeCell ref="DU4:DX4"/>
    <mergeCell ref="DZ3:EC3"/>
    <mergeCell ref="DZ4:EC4"/>
    <mergeCell ref="EO3:ER3"/>
    <mergeCell ref="EE3:EH3"/>
    <mergeCell ref="EE4:EH4"/>
    <mergeCell ref="EJ3:EM3"/>
    <mergeCell ref="EJ4:EM4"/>
    <mergeCell ref="DP4:DS4"/>
    <mergeCell ref="CR4:CV4"/>
    <mergeCell ref="AN5:BK5"/>
    <mergeCell ref="AN3:AO3"/>
    <mergeCell ref="BM5:CD5"/>
    <mergeCell ref="BC3:BE3"/>
    <mergeCell ref="FM3:FQ3"/>
    <mergeCell ref="FM4:FQ4"/>
    <mergeCell ref="UJ5:UM5"/>
    <mergeCell ref="UJ6:UM6"/>
    <mergeCell ref="UJ7:UM7"/>
    <mergeCell ref="V5:AC5"/>
    <mergeCell ref="CF4:CJ4"/>
    <mergeCell ref="E5:L5"/>
    <mergeCell ref="M5:T5"/>
    <mergeCell ref="PY4:QD4"/>
    <mergeCell ref="PY3:QD3"/>
    <mergeCell ref="LP3:LU3"/>
    <mergeCell ref="LP4:LU4"/>
    <mergeCell ref="CX3:DB3"/>
    <mergeCell ref="DD3:DH3"/>
    <mergeCell ref="DJ3:DN3"/>
    <mergeCell ref="CL4:CP4"/>
    <mergeCell ref="GQ4:GU4"/>
    <mergeCell ref="GW4:HA4"/>
    <mergeCell ref="DD4:DH4"/>
    <mergeCell ref="DJ4:DN4"/>
    <mergeCell ref="DP3:DS3"/>
    <mergeCell ref="GK4:GO4"/>
    <mergeCell ref="HU4:HY4"/>
    <mergeCell ref="IK4:IN4"/>
    <mergeCell ref="LI4:LN4"/>
    <mergeCell ref="UJ8:UM8"/>
    <mergeCell ref="UJ9:UM9"/>
    <mergeCell ref="GE4:GI4"/>
    <mergeCell ref="GK3:GO3"/>
    <mergeCell ref="NO4:NR4"/>
    <mergeCell ref="MO4:MT4"/>
    <mergeCell ref="IP4:IS4"/>
    <mergeCell ref="IU4:IX4"/>
    <mergeCell ref="JL4:JP4"/>
    <mergeCell ref="GQ3:GU3"/>
    <mergeCell ref="GW3:HA3"/>
    <mergeCell ref="JF4:JJ4"/>
    <mergeCell ref="IZ4:JD4"/>
    <mergeCell ref="IZ3:JC3"/>
    <mergeCell ref="JF3:JI3"/>
    <mergeCell ref="JL3:JP3"/>
    <mergeCell ref="HC4:HG4"/>
    <mergeCell ref="HI4:HM4"/>
    <mergeCell ref="LB4:LG4"/>
    <mergeCell ref="MO3:MT3"/>
    <mergeCell ref="HO4:HS4"/>
    <mergeCell ref="KD4:KH4"/>
    <mergeCell ref="KJ4:KN4"/>
    <mergeCell ref="KP4:KT4"/>
  </mergeCells>
  <phoneticPr fontId="34" type="noConversion"/>
  <conditionalFormatting sqref="E6:T29 V6:AC29 AE6:AK29 AN6:BK29 BM6:CD29">
    <cfRule type="cellIs" dxfId="1180" priority="2" operator="greaterThan">
      <formula>0</formula>
    </cfRule>
  </conditionalFormatting>
  <conditionalFormatting sqref="E6:T6 V6:AC6 AE6:AJ6 AN6:BK6 BM6:CD6">
    <cfRule type="cellIs" dxfId="1179" priority="1" operator="greaterThan">
      <formula>0</formula>
    </cfRule>
  </conditionalFormatting>
  <pageMargins left="0.7" right="0.7" top="0.75" bottom="0.75" header="0.3" footer="0.3"/>
  <ignoredErrors>
    <ignoredError sqref="U9 U12 U23:U29 U14:U21" numberStoredAsText="1"/>
    <ignoredError sqref="U10:U11 U13" twoDigitTextYear="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2562-7A1C-44C1-8E28-D19A36920E52}">
  <dimension ref="A3:R65"/>
  <sheetViews>
    <sheetView workbookViewId="0">
      <selection activeCell="A6" sqref="A6"/>
    </sheetView>
  </sheetViews>
  <sheetFormatPr defaultColWidth="21.21875" defaultRowHeight="14.4" x14ac:dyDescent="0.3"/>
  <cols>
    <col min="1" max="1" width="26.6640625" bestFit="1" customWidth="1"/>
    <col min="2" max="2" width="14.33203125" style="169" bestFit="1" customWidth="1"/>
    <col min="3" max="3" width="4.44140625" style="169" bestFit="1" customWidth="1"/>
    <col min="4" max="4" width="8.5546875" bestFit="1" customWidth="1"/>
    <col min="5" max="5" width="7" bestFit="1" customWidth="1"/>
    <col min="6" max="6" width="12.77734375" bestFit="1" customWidth="1"/>
    <col min="7" max="7" width="12.109375" style="169" bestFit="1" customWidth="1"/>
    <col min="8" max="8" width="4.44140625" bestFit="1" customWidth="1"/>
    <col min="9" max="9" width="7" bestFit="1" customWidth="1"/>
    <col min="10" max="10" width="47.21875" bestFit="1" customWidth="1"/>
    <col min="11" max="11" width="14.33203125" style="169" bestFit="1" customWidth="1"/>
    <col min="12" max="12" width="13.77734375" hidden="1" customWidth="1"/>
    <col min="13" max="13" width="4.44140625" bestFit="1" customWidth="1"/>
    <col min="15" max="15" width="12.77734375" bestFit="1" customWidth="1"/>
    <col min="16" max="16" width="14.33203125" bestFit="1" customWidth="1"/>
    <col min="17" max="17" width="4.44140625" bestFit="1" customWidth="1"/>
    <col min="18" max="18" width="12.77734375" bestFit="1" customWidth="1"/>
    <col min="19" max="19" width="4.33203125" bestFit="1" customWidth="1"/>
  </cols>
  <sheetData>
    <row r="3" spans="1:18" ht="14.4" customHeight="1" x14ac:dyDescent="0.3">
      <c r="A3" s="509" t="s">
        <v>462</v>
      </c>
      <c r="B3" s="509"/>
      <c r="C3" s="509"/>
      <c r="D3" s="509"/>
      <c r="F3" s="509" t="s">
        <v>461</v>
      </c>
      <c r="G3" s="509"/>
      <c r="H3" s="509"/>
      <c r="J3" s="509" t="s">
        <v>418</v>
      </c>
      <c r="K3" s="509"/>
      <c r="L3" s="509"/>
      <c r="M3" s="509"/>
      <c r="O3" s="411" t="s">
        <v>452</v>
      </c>
      <c r="P3" t="s">
        <v>467</v>
      </c>
    </row>
    <row r="4" spans="1:18" ht="14.4" customHeight="1" x14ac:dyDescent="0.3">
      <c r="A4" s="509"/>
      <c r="B4" s="509"/>
      <c r="C4" s="509"/>
      <c r="D4" s="509"/>
      <c r="E4" t="s">
        <v>460</v>
      </c>
      <c r="F4" s="509"/>
      <c r="G4" s="509"/>
      <c r="H4" s="509"/>
      <c r="I4" t="s">
        <v>460</v>
      </c>
      <c r="J4" s="509"/>
      <c r="K4" s="509"/>
      <c r="L4" s="509"/>
      <c r="M4" s="509"/>
      <c r="N4" t="s">
        <v>460</v>
      </c>
    </row>
    <row r="5" spans="1:18" ht="43.2" x14ac:dyDescent="0.3">
      <c r="A5" s="411" t="s">
        <v>459</v>
      </c>
      <c r="B5" s="458" t="s">
        <v>386</v>
      </c>
      <c r="C5" s="169" t="s">
        <v>291</v>
      </c>
      <c r="D5" s="182" t="s">
        <v>453</v>
      </c>
      <c r="F5" s="411" t="s">
        <v>459</v>
      </c>
      <c r="G5" s="411" t="s">
        <v>386</v>
      </c>
      <c r="H5" t="s">
        <v>291</v>
      </c>
      <c r="J5" s="411" t="s">
        <v>459</v>
      </c>
      <c r="K5" s="458" t="s">
        <v>386</v>
      </c>
      <c r="L5" s="411" t="s">
        <v>382</v>
      </c>
      <c r="M5" t="s">
        <v>291</v>
      </c>
      <c r="O5" s="411" t="s">
        <v>459</v>
      </c>
      <c r="P5" s="458" t="s">
        <v>386</v>
      </c>
      <c r="Q5" s="169" t="s">
        <v>291</v>
      </c>
      <c r="R5" s="182" t="s">
        <v>453</v>
      </c>
    </row>
    <row r="6" spans="1:18" x14ac:dyDescent="0.3">
      <c r="A6" s="169" t="s">
        <v>545</v>
      </c>
      <c r="C6" s="772">
        <v>31</v>
      </c>
      <c r="D6" s="454">
        <v>200.01739999999998</v>
      </c>
      <c r="G6"/>
      <c r="J6" s="169" t="s">
        <v>585</v>
      </c>
      <c r="L6" s="169"/>
      <c r="M6" s="772">
        <v>9</v>
      </c>
      <c r="O6" s="174" t="s">
        <v>467</v>
      </c>
      <c r="Q6" s="772"/>
      <c r="R6" s="454"/>
    </row>
    <row r="7" spans="1:18" x14ac:dyDescent="0.3">
      <c r="A7" s="457" t="s">
        <v>553</v>
      </c>
      <c r="B7"/>
      <c r="C7" s="772"/>
      <c r="D7" s="454"/>
      <c r="G7"/>
      <c r="J7" s="457" t="s">
        <v>594</v>
      </c>
      <c r="K7" s="174" t="s">
        <v>372</v>
      </c>
      <c r="L7" s="174" t="s">
        <v>593</v>
      </c>
      <c r="M7" s="772">
        <v>1</v>
      </c>
      <c r="O7" s="457" t="s">
        <v>467</v>
      </c>
      <c r="P7" s="174" t="s">
        <v>467</v>
      </c>
      <c r="Q7" s="772"/>
      <c r="R7" s="454"/>
    </row>
    <row r="8" spans="1:18" x14ac:dyDescent="0.3">
      <c r="A8" s="771" t="s">
        <v>549</v>
      </c>
      <c r="B8" s="174" t="s">
        <v>374</v>
      </c>
      <c r="C8" s="772">
        <v>16</v>
      </c>
      <c r="D8" s="454">
        <v>113.3843</v>
      </c>
      <c r="G8"/>
      <c r="J8" s="457" t="s">
        <v>649</v>
      </c>
      <c r="K8" s="174" t="s">
        <v>372</v>
      </c>
      <c r="L8" s="174" t="s">
        <v>593</v>
      </c>
      <c r="M8" s="772">
        <v>2</v>
      </c>
    </row>
    <row r="9" spans="1:18" x14ac:dyDescent="0.3">
      <c r="B9" s="174" t="s">
        <v>373</v>
      </c>
      <c r="C9" s="772">
        <v>5</v>
      </c>
      <c r="D9" s="454">
        <v>25.720399999999998</v>
      </c>
      <c r="G9"/>
      <c r="J9" s="457" t="s">
        <v>654</v>
      </c>
      <c r="K9" s="174" t="s">
        <v>372</v>
      </c>
      <c r="L9" s="174" t="s">
        <v>593</v>
      </c>
      <c r="M9" s="772">
        <v>1</v>
      </c>
    </row>
    <row r="10" spans="1:18" x14ac:dyDescent="0.3">
      <c r="A10" s="771" t="s">
        <v>623</v>
      </c>
      <c r="B10" s="174" t="s">
        <v>374</v>
      </c>
      <c r="C10" s="772">
        <v>2</v>
      </c>
      <c r="D10" s="454">
        <v>2.9264999999999999</v>
      </c>
      <c r="G10"/>
      <c r="J10" s="457" t="s">
        <v>729</v>
      </c>
      <c r="K10" s="174" t="s">
        <v>374</v>
      </c>
      <c r="L10" s="174" t="s">
        <v>593</v>
      </c>
      <c r="M10" s="772">
        <v>1</v>
      </c>
    </row>
    <row r="11" spans="1:18" x14ac:dyDescent="0.3">
      <c r="B11" s="174" t="s">
        <v>373</v>
      </c>
      <c r="C11" s="772">
        <v>2</v>
      </c>
      <c r="D11" s="454">
        <v>19.8536</v>
      </c>
      <c r="G11"/>
      <c r="K11" s="174" t="s">
        <v>372</v>
      </c>
      <c r="L11" s="174" t="s">
        <v>593</v>
      </c>
      <c r="M11" s="772">
        <v>1</v>
      </c>
    </row>
    <row r="12" spans="1:18" x14ac:dyDescent="0.3">
      <c r="B12" s="174" t="s">
        <v>372</v>
      </c>
      <c r="C12" s="772">
        <v>6</v>
      </c>
      <c r="D12" s="454">
        <v>38.132600000000004</v>
      </c>
      <c r="G12"/>
      <c r="J12" s="457" t="s">
        <v>814</v>
      </c>
      <c r="K12" s="174" t="s">
        <v>815</v>
      </c>
      <c r="L12" s="174" t="s">
        <v>593</v>
      </c>
      <c r="M12" s="772">
        <v>1</v>
      </c>
    </row>
    <row r="13" spans="1:18" x14ac:dyDescent="0.3">
      <c r="B13"/>
      <c r="C13"/>
      <c r="J13" s="457" t="s">
        <v>841</v>
      </c>
      <c r="K13" s="174" t="s">
        <v>372</v>
      </c>
      <c r="L13" s="174" t="s">
        <v>593</v>
      </c>
      <c r="M13" s="772">
        <v>2</v>
      </c>
    </row>
    <row r="14" spans="1:18" x14ac:dyDescent="0.3">
      <c r="B14"/>
      <c r="C14"/>
      <c r="K14"/>
    </row>
    <row r="15" spans="1:18" x14ac:dyDescent="0.3">
      <c r="B15"/>
      <c r="C15"/>
      <c r="K15"/>
    </row>
    <row r="16" spans="1:18" x14ac:dyDescent="0.3">
      <c r="B16"/>
      <c r="C16"/>
      <c r="K16"/>
    </row>
    <row r="17" spans="2:11" x14ac:dyDescent="0.3">
      <c r="B17"/>
      <c r="C17"/>
      <c r="K17"/>
    </row>
    <row r="18" spans="2:11" x14ac:dyDescent="0.3">
      <c r="B18"/>
      <c r="C18"/>
      <c r="K18"/>
    </row>
    <row r="19" spans="2:11" x14ac:dyDescent="0.3">
      <c r="B19"/>
      <c r="C19"/>
      <c r="K19"/>
    </row>
    <row r="20" spans="2:11" x14ac:dyDescent="0.3">
      <c r="B20"/>
      <c r="C20"/>
      <c r="K20"/>
    </row>
    <row r="21" spans="2:11" x14ac:dyDescent="0.3">
      <c r="B21"/>
      <c r="C21"/>
      <c r="K21"/>
    </row>
    <row r="22" spans="2:11" x14ac:dyDescent="0.3">
      <c r="B22"/>
      <c r="C22"/>
      <c r="K22"/>
    </row>
    <row r="23" spans="2:11" x14ac:dyDescent="0.3">
      <c r="B23"/>
      <c r="C23"/>
      <c r="K23"/>
    </row>
    <row r="24" spans="2:11" x14ac:dyDescent="0.3">
      <c r="B24"/>
      <c r="C24"/>
      <c r="K24"/>
    </row>
    <row r="25" spans="2:11" x14ac:dyDescent="0.3">
      <c r="B25"/>
      <c r="C25"/>
      <c r="K25"/>
    </row>
    <row r="26" spans="2:11" x14ac:dyDescent="0.3">
      <c r="B26"/>
      <c r="C26"/>
      <c r="K26"/>
    </row>
    <row r="27" spans="2:11" x14ac:dyDescent="0.3">
      <c r="B27"/>
      <c r="C27"/>
      <c r="K27"/>
    </row>
    <row r="28" spans="2:11" x14ac:dyDescent="0.3">
      <c r="B28"/>
      <c r="C28"/>
      <c r="K28"/>
    </row>
    <row r="29" spans="2:11" x14ac:dyDescent="0.3">
      <c r="B29"/>
      <c r="C29"/>
      <c r="K29"/>
    </row>
    <row r="30" spans="2:11" x14ac:dyDescent="0.3">
      <c r="B30"/>
      <c r="C30"/>
      <c r="K30"/>
    </row>
    <row r="31" spans="2:11" x14ac:dyDescent="0.3">
      <c r="B31"/>
      <c r="C31"/>
      <c r="K31"/>
    </row>
    <row r="32" spans="2:11" x14ac:dyDescent="0.3">
      <c r="B32"/>
      <c r="C32"/>
      <c r="K32"/>
    </row>
    <row r="33" spans="2:11" x14ac:dyDescent="0.3">
      <c r="B33"/>
      <c r="C33"/>
      <c r="K33"/>
    </row>
    <row r="34" spans="2:11" x14ac:dyDescent="0.3">
      <c r="B34"/>
      <c r="C34"/>
      <c r="K34"/>
    </row>
    <row r="35" spans="2:11" x14ac:dyDescent="0.3">
      <c r="B35"/>
      <c r="C35"/>
      <c r="K35"/>
    </row>
    <row r="36" spans="2:11" x14ac:dyDescent="0.3">
      <c r="B36"/>
      <c r="C36"/>
      <c r="K36"/>
    </row>
    <row r="37" spans="2:11" x14ac:dyDescent="0.3">
      <c r="B37"/>
      <c r="C37"/>
      <c r="K37"/>
    </row>
    <row r="38" spans="2:11" x14ac:dyDescent="0.3">
      <c r="B38"/>
      <c r="C38"/>
      <c r="K38"/>
    </row>
    <row r="39" spans="2:11" x14ac:dyDescent="0.3">
      <c r="B39"/>
      <c r="C39"/>
      <c r="K39"/>
    </row>
    <row r="40" spans="2:11" x14ac:dyDescent="0.3">
      <c r="B40"/>
      <c r="C40"/>
      <c r="K40"/>
    </row>
    <row r="41" spans="2:11" x14ac:dyDescent="0.3">
      <c r="B41"/>
      <c r="C41"/>
      <c r="K41"/>
    </row>
    <row r="42" spans="2:11" x14ac:dyDescent="0.3">
      <c r="B42"/>
      <c r="C42"/>
      <c r="K42"/>
    </row>
    <row r="43" spans="2:11" x14ac:dyDescent="0.3">
      <c r="B43"/>
      <c r="C43"/>
      <c r="K43"/>
    </row>
    <row r="44" spans="2:11" x14ac:dyDescent="0.3">
      <c r="B44"/>
      <c r="C44"/>
      <c r="K44"/>
    </row>
    <row r="45" spans="2:11" x14ac:dyDescent="0.3">
      <c r="B45"/>
      <c r="C45"/>
      <c r="K45"/>
    </row>
    <row r="46" spans="2:11" x14ac:dyDescent="0.3">
      <c r="B46"/>
      <c r="C46"/>
    </row>
    <row r="47" spans="2:11" x14ac:dyDescent="0.3">
      <c r="B47"/>
      <c r="C47"/>
    </row>
    <row r="48" spans="2:11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</sheetData>
  <mergeCells count="3">
    <mergeCell ref="A3:D4"/>
    <mergeCell ref="F3:H4"/>
    <mergeCell ref="J3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0A65-C11E-4F83-9594-A39129BF327F}">
  <sheetPr codeName="Sheet10"/>
  <dimension ref="A1:K653"/>
  <sheetViews>
    <sheetView workbookViewId="0"/>
  </sheetViews>
  <sheetFormatPr defaultColWidth="10.44140625" defaultRowHeight="15.6" x14ac:dyDescent="0.3"/>
  <cols>
    <col min="1" max="1" width="5" style="408" bestFit="1" customWidth="1"/>
    <col min="2" max="2" width="26.77734375" style="408" bestFit="1" customWidth="1"/>
    <col min="3" max="3" width="12.88671875" style="408" bestFit="1" customWidth="1"/>
    <col min="4" max="4" width="19.5546875" style="408" bestFit="1" customWidth="1"/>
    <col min="5" max="5" width="12.21875" style="408" bestFit="1" customWidth="1"/>
    <col min="6" max="6" width="20.5546875" style="408" bestFit="1" customWidth="1"/>
    <col min="7" max="7" width="15.5546875" style="408" bestFit="1" customWidth="1"/>
    <col min="8" max="8" width="11.6640625" style="408" bestFit="1" customWidth="1"/>
    <col min="9" max="9" width="12.109375" style="408" bestFit="1" customWidth="1"/>
    <col min="10" max="10" width="54.6640625" style="169" hidden="1" customWidth="1"/>
    <col min="11" max="11" width="7.44140625" style="169" hidden="1" customWidth="1"/>
    <col min="12" max="16384" width="10.44140625" style="169"/>
  </cols>
  <sheetData>
    <row r="1" spans="1:10" ht="25.8" x14ac:dyDescent="0.3">
      <c r="A1" s="169"/>
      <c r="B1" s="280" t="s">
        <v>364</v>
      </c>
      <c r="C1" s="280" t="s">
        <v>365</v>
      </c>
      <c r="D1" s="280" t="s">
        <v>368</v>
      </c>
      <c r="E1" s="280" t="s">
        <v>361</v>
      </c>
      <c r="F1" s="407" t="s">
        <v>366</v>
      </c>
      <c r="G1" s="280" t="s">
        <v>362</v>
      </c>
      <c r="H1" s="280" t="s">
        <v>367</v>
      </c>
      <c r="I1" s="280" t="s">
        <v>369</v>
      </c>
    </row>
    <row r="2" spans="1:10" ht="14.4" x14ac:dyDescent="0.3">
      <c r="A2" s="169">
        <v>2041</v>
      </c>
      <c r="B2" s="169" t="s">
        <v>539</v>
      </c>
      <c r="C2" s="169" t="s">
        <v>558</v>
      </c>
      <c r="D2" s="169" t="s">
        <v>553</v>
      </c>
      <c r="E2" s="169" t="s">
        <v>372</v>
      </c>
      <c r="F2" s="169" t="s">
        <v>695</v>
      </c>
      <c r="G2" s="169" t="s">
        <v>597</v>
      </c>
      <c r="H2" s="169">
        <v>1</v>
      </c>
      <c r="I2" s="169" t="s">
        <v>624</v>
      </c>
      <c r="J2" s="169" t="s">
        <v>390</v>
      </c>
    </row>
    <row r="3" spans="1:10" ht="14.4" x14ac:dyDescent="0.3">
      <c r="A3" s="169"/>
      <c r="B3" s="169" t="s">
        <v>539</v>
      </c>
      <c r="C3" s="169" t="s">
        <v>558</v>
      </c>
      <c r="D3" s="169" t="s">
        <v>553</v>
      </c>
      <c r="E3" s="169" t="s">
        <v>372</v>
      </c>
      <c r="F3" s="169" t="s">
        <v>699</v>
      </c>
      <c r="G3" s="169" t="s">
        <v>650</v>
      </c>
      <c r="H3" s="169">
        <v>1</v>
      </c>
      <c r="I3" s="169" t="s">
        <v>624</v>
      </c>
      <c r="J3" s="169" t="s">
        <v>389</v>
      </c>
    </row>
    <row r="4" spans="1:10" ht="14.4" x14ac:dyDescent="0.3">
      <c r="A4" s="169"/>
      <c r="B4" s="169" t="s">
        <v>539</v>
      </c>
      <c r="C4" s="169" t="s">
        <v>558</v>
      </c>
      <c r="D4" s="169" t="s">
        <v>553</v>
      </c>
      <c r="E4" s="169" t="s">
        <v>372</v>
      </c>
      <c r="F4" s="169" t="s">
        <v>853</v>
      </c>
      <c r="G4" s="169" t="s">
        <v>715</v>
      </c>
      <c r="H4" s="169">
        <v>1</v>
      </c>
      <c r="I4" s="169" t="s">
        <v>624</v>
      </c>
      <c r="J4" s="169" t="s">
        <v>390</v>
      </c>
    </row>
    <row r="5" spans="1:10" ht="14.4" x14ac:dyDescent="0.3">
      <c r="A5" s="169"/>
      <c r="B5" s="169" t="s">
        <v>539</v>
      </c>
      <c r="C5" s="169" t="s">
        <v>558</v>
      </c>
      <c r="D5" s="169" t="s">
        <v>553</v>
      </c>
      <c r="E5" s="169" t="s">
        <v>372</v>
      </c>
      <c r="F5" s="169" t="s">
        <v>709</v>
      </c>
      <c r="G5" s="169" t="s">
        <v>710</v>
      </c>
      <c r="H5" s="169">
        <v>1</v>
      </c>
      <c r="I5" s="169" t="s">
        <v>624</v>
      </c>
      <c r="J5" s="169" t="s">
        <v>389</v>
      </c>
    </row>
    <row r="6" spans="1:10" ht="14.4" x14ac:dyDescent="0.3">
      <c r="A6" s="169"/>
      <c r="B6" s="169" t="s">
        <v>539</v>
      </c>
      <c r="C6" s="169" t="s">
        <v>558</v>
      </c>
      <c r="D6" s="169" t="s">
        <v>553</v>
      </c>
      <c r="E6" s="169" t="s">
        <v>372</v>
      </c>
      <c r="F6" s="169" t="s">
        <v>686</v>
      </c>
      <c r="G6" s="169" t="s">
        <v>597</v>
      </c>
      <c r="H6" s="169">
        <v>1</v>
      </c>
      <c r="I6" s="169" t="s">
        <v>624</v>
      </c>
      <c r="J6" s="169" t="s">
        <v>389</v>
      </c>
    </row>
    <row r="7" spans="1:10" ht="14.4" x14ac:dyDescent="0.3">
      <c r="A7" s="169"/>
      <c r="B7" s="169" t="s">
        <v>539</v>
      </c>
      <c r="C7" s="169" t="s">
        <v>558</v>
      </c>
      <c r="D7" s="169" t="s">
        <v>553</v>
      </c>
      <c r="E7" s="169" t="s">
        <v>372</v>
      </c>
      <c r="F7" s="169" t="s">
        <v>702</v>
      </c>
      <c r="G7" s="169" t="s">
        <v>703</v>
      </c>
      <c r="H7" s="169">
        <v>1</v>
      </c>
      <c r="I7" s="169" t="s">
        <v>624</v>
      </c>
      <c r="J7" s="169" t="s">
        <v>389</v>
      </c>
    </row>
    <row r="8" spans="1:10" ht="14.4" x14ac:dyDescent="0.3">
      <c r="A8" s="169"/>
      <c r="B8" s="169" t="s">
        <v>539</v>
      </c>
      <c r="C8" s="169" t="s">
        <v>558</v>
      </c>
      <c r="D8" s="169" t="s">
        <v>553</v>
      </c>
      <c r="E8" s="169" t="s">
        <v>373</v>
      </c>
      <c r="F8" s="169" t="s">
        <v>793</v>
      </c>
      <c r="G8" s="169" t="s">
        <v>794</v>
      </c>
      <c r="H8" s="169">
        <v>1</v>
      </c>
      <c r="I8" s="169" t="s">
        <v>550</v>
      </c>
      <c r="J8" s="169" t="s">
        <v>389</v>
      </c>
    </row>
    <row r="9" spans="1:10" ht="14.4" x14ac:dyDescent="0.3">
      <c r="A9" s="169"/>
      <c r="B9" s="169" t="s">
        <v>539</v>
      </c>
      <c r="C9" s="169" t="s">
        <v>558</v>
      </c>
      <c r="D9" s="169" t="s">
        <v>553</v>
      </c>
      <c r="E9" s="169" t="s">
        <v>373</v>
      </c>
      <c r="F9" s="169" t="s">
        <v>775</v>
      </c>
      <c r="G9" s="169" t="s">
        <v>776</v>
      </c>
      <c r="H9" s="169">
        <v>1</v>
      </c>
      <c r="I9" s="169" t="s">
        <v>550</v>
      </c>
      <c r="J9" s="169" t="s">
        <v>389</v>
      </c>
    </row>
    <row r="10" spans="1:10" ht="14.4" x14ac:dyDescent="0.3">
      <c r="A10" s="169"/>
      <c r="B10" s="169" t="s">
        <v>539</v>
      </c>
      <c r="C10" s="169" t="s">
        <v>558</v>
      </c>
      <c r="D10" s="169" t="s">
        <v>553</v>
      </c>
      <c r="E10" s="169" t="s">
        <v>373</v>
      </c>
      <c r="F10" s="169" t="s">
        <v>800</v>
      </c>
      <c r="G10" s="169" t="s">
        <v>794</v>
      </c>
      <c r="H10" s="169">
        <v>1</v>
      </c>
      <c r="I10" s="169" t="s">
        <v>550</v>
      </c>
      <c r="J10" s="169" t="s">
        <v>390</v>
      </c>
    </row>
    <row r="11" spans="1:10" ht="14.4" x14ac:dyDescent="0.3">
      <c r="A11" s="169"/>
      <c r="B11" s="169" t="s">
        <v>539</v>
      </c>
      <c r="C11" s="169" t="s">
        <v>558</v>
      </c>
      <c r="D11" s="169" t="s">
        <v>553</v>
      </c>
      <c r="E11" s="169" t="s">
        <v>373</v>
      </c>
      <c r="F11" s="169" t="s">
        <v>714</v>
      </c>
      <c r="G11" s="169" t="s">
        <v>715</v>
      </c>
      <c r="H11" s="169">
        <v>1</v>
      </c>
      <c r="I11" s="169" t="s">
        <v>550</v>
      </c>
      <c r="J11" s="169" t="s">
        <v>389</v>
      </c>
    </row>
    <row r="12" spans="1:10" ht="14.4" x14ac:dyDescent="0.3">
      <c r="A12" s="169"/>
      <c r="B12" s="169" t="s">
        <v>539</v>
      </c>
      <c r="C12" s="169" t="s">
        <v>558</v>
      </c>
      <c r="D12" s="169" t="s">
        <v>553</v>
      </c>
      <c r="E12" s="169" t="s">
        <v>373</v>
      </c>
      <c r="F12" s="169" t="s">
        <v>781</v>
      </c>
      <c r="G12" s="169" t="s">
        <v>782</v>
      </c>
      <c r="H12" s="169">
        <v>1</v>
      </c>
      <c r="I12" s="169" t="s">
        <v>550</v>
      </c>
      <c r="J12" s="169" t="s">
        <v>389</v>
      </c>
    </row>
    <row r="13" spans="1:10" ht="14.4" x14ac:dyDescent="0.3">
      <c r="A13" s="169"/>
      <c r="B13" s="169" t="s">
        <v>539</v>
      </c>
      <c r="C13" s="169" t="s">
        <v>558</v>
      </c>
      <c r="D13" s="169" t="s">
        <v>553</v>
      </c>
      <c r="E13" s="169" t="s">
        <v>373</v>
      </c>
      <c r="F13" s="169" t="s">
        <v>806</v>
      </c>
      <c r="G13" s="169" t="s">
        <v>804</v>
      </c>
      <c r="H13" s="169">
        <v>1</v>
      </c>
      <c r="I13" s="169" t="s">
        <v>624</v>
      </c>
      <c r="J13" s="169" t="s">
        <v>389</v>
      </c>
    </row>
    <row r="14" spans="1:10" ht="14.4" x14ac:dyDescent="0.3">
      <c r="A14" s="169"/>
      <c r="B14" s="169" t="s">
        <v>539</v>
      </c>
      <c r="C14" s="169" t="s">
        <v>558</v>
      </c>
      <c r="D14" s="169" t="s">
        <v>553</v>
      </c>
      <c r="E14" s="169" t="s">
        <v>373</v>
      </c>
      <c r="F14" s="169" t="s">
        <v>820</v>
      </c>
      <c r="G14" s="169" t="s">
        <v>611</v>
      </c>
      <c r="H14" s="169">
        <v>1</v>
      </c>
      <c r="I14" s="169" t="s">
        <v>624</v>
      </c>
      <c r="J14" s="169" t="s">
        <v>389</v>
      </c>
    </row>
    <row r="15" spans="1:10" ht="14.4" x14ac:dyDescent="0.3">
      <c r="A15" s="169"/>
      <c r="B15" s="169" t="s">
        <v>539</v>
      </c>
      <c r="C15" s="169" t="s">
        <v>558</v>
      </c>
      <c r="D15" s="169" t="s">
        <v>553</v>
      </c>
      <c r="E15" s="169" t="s">
        <v>374</v>
      </c>
      <c r="F15" s="169" t="s">
        <v>632</v>
      </c>
      <c r="G15" s="169" t="s">
        <v>566</v>
      </c>
      <c r="H15" s="169">
        <v>1</v>
      </c>
      <c r="I15" s="169" t="s">
        <v>624</v>
      </c>
      <c r="J15" s="169" t="s">
        <v>391</v>
      </c>
    </row>
    <row r="16" spans="1:10" ht="14.4" x14ac:dyDescent="0.3">
      <c r="A16" s="169"/>
      <c r="B16" s="169" t="s">
        <v>539</v>
      </c>
      <c r="C16" s="169" t="s">
        <v>558</v>
      </c>
      <c r="D16" s="169" t="s">
        <v>553</v>
      </c>
      <c r="E16" s="169" t="s">
        <v>374</v>
      </c>
      <c r="F16" s="169" t="s">
        <v>645</v>
      </c>
      <c r="G16" s="169" t="s">
        <v>570</v>
      </c>
      <c r="H16" s="169">
        <v>1</v>
      </c>
      <c r="I16" s="169" t="s">
        <v>550</v>
      </c>
      <c r="J16" s="169" t="s">
        <v>390</v>
      </c>
    </row>
    <row r="17" spans="1:10" ht="14.4" x14ac:dyDescent="0.3">
      <c r="A17" s="169"/>
      <c r="B17" s="169" t="s">
        <v>539</v>
      </c>
      <c r="C17" s="169" t="s">
        <v>558</v>
      </c>
      <c r="D17" s="169" t="s">
        <v>553</v>
      </c>
      <c r="E17" s="169" t="s">
        <v>374</v>
      </c>
      <c r="F17" s="169" t="s">
        <v>755</v>
      </c>
      <c r="G17" s="169" t="s">
        <v>756</v>
      </c>
      <c r="H17" s="169">
        <v>1</v>
      </c>
      <c r="I17" s="169" t="s">
        <v>550</v>
      </c>
      <c r="J17" s="169" t="s">
        <v>389</v>
      </c>
    </row>
    <row r="18" spans="1:10" ht="14.4" x14ac:dyDescent="0.3">
      <c r="A18" s="169"/>
      <c r="B18" s="169" t="s">
        <v>539</v>
      </c>
      <c r="C18" s="169" t="s">
        <v>558</v>
      </c>
      <c r="D18" s="169" t="s">
        <v>553</v>
      </c>
      <c r="E18" s="169" t="s">
        <v>374</v>
      </c>
      <c r="F18" s="169" t="s">
        <v>615</v>
      </c>
      <c r="G18" s="169" t="s">
        <v>616</v>
      </c>
      <c r="H18" s="169">
        <v>1</v>
      </c>
      <c r="I18" s="169" t="s">
        <v>550</v>
      </c>
      <c r="J18" s="169" t="s">
        <v>389</v>
      </c>
    </row>
    <row r="19" spans="1:10" ht="14.4" x14ac:dyDescent="0.3">
      <c r="A19" s="169"/>
      <c r="B19" s="169" t="s">
        <v>539</v>
      </c>
      <c r="C19" s="169" t="s">
        <v>558</v>
      </c>
      <c r="D19" s="169" t="s">
        <v>553</v>
      </c>
      <c r="E19" s="169" t="s">
        <v>374</v>
      </c>
      <c r="F19" s="169" t="s">
        <v>626</v>
      </c>
      <c r="G19" s="169" t="s">
        <v>616</v>
      </c>
      <c r="H19" s="169">
        <v>1</v>
      </c>
      <c r="I19" s="169" t="s">
        <v>624</v>
      </c>
      <c r="J19" s="169" t="s">
        <v>390</v>
      </c>
    </row>
    <row r="20" spans="1:10" ht="14.4" x14ac:dyDescent="0.3">
      <c r="A20" s="169"/>
      <c r="B20" s="169" t="s">
        <v>539</v>
      </c>
      <c r="C20" s="169" t="s">
        <v>558</v>
      </c>
      <c r="D20" s="169" t="s">
        <v>553</v>
      </c>
      <c r="E20" s="169" t="s">
        <v>374</v>
      </c>
      <c r="F20" s="169" t="s">
        <v>762</v>
      </c>
      <c r="G20" s="169" t="s">
        <v>756</v>
      </c>
      <c r="H20" s="169">
        <v>1</v>
      </c>
      <c r="I20" s="169" t="s">
        <v>550</v>
      </c>
      <c r="J20" s="169" t="s">
        <v>390</v>
      </c>
    </row>
    <row r="21" spans="1:10" ht="14.4" x14ac:dyDescent="0.3">
      <c r="A21" s="169"/>
      <c r="B21" s="169" t="s">
        <v>539</v>
      </c>
      <c r="C21" s="169" t="s">
        <v>558</v>
      </c>
      <c r="D21" s="169" t="s">
        <v>553</v>
      </c>
      <c r="E21" s="169" t="s">
        <v>374</v>
      </c>
      <c r="F21" s="169" t="s">
        <v>573</v>
      </c>
      <c r="G21" s="169" t="s">
        <v>574</v>
      </c>
      <c r="H21" s="169">
        <v>1</v>
      </c>
      <c r="I21" s="169" t="s">
        <v>550</v>
      </c>
      <c r="J21" s="169" t="s">
        <v>389</v>
      </c>
    </row>
    <row r="22" spans="1:10" ht="14.4" x14ac:dyDescent="0.3">
      <c r="A22" s="169"/>
      <c r="B22" s="169" t="s">
        <v>539</v>
      </c>
      <c r="C22" s="169" t="s">
        <v>558</v>
      </c>
      <c r="D22" s="169" t="s">
        <v>553</v>
      </c>
      <c r="E22" s="169" t="s">
        <v>374</v>
      </c>
      <c r="F22" s="169" t="s">
        <v>565</v>
      </c>
      <c r="G22" s="169" t="s">
        <v>566</v>
      </c>
      <c r="H22" s="169">
        <v>1</v>
      </c>
      <c r="I22" s="169" t="s">
        <v>550</v>
      </c>
      <c r="J22" s="169" t="s">
        <v>389</v>
      </c>
    </row>
    <row r="23" spans="1:10" ht="14.4" x14ac:dyDescent="0.3">
      <c r="A23" s="169"/>
      <c r="B23" s="169" t="s">
        <v>539</v>
      </c>
      <c r="C23" s="169" t="s">
        <v>558</v>
      </c>
      <c r="D23" s="169" t="s">
        <v>553</v>
      </c>
      <c r="E23" s="169" t="s">
        <v>374</v>
      </c>
      <c r="F23" s="169" t="s">
        <v>555</v>
      </c>
      <c r="G23" s="169" t="s">
        <v>556</v>
      </c>
      <c r="H23" s="169">
        <v>1</v>
      </c>
      <c r="I23" s="169" t="s">
        <v>550</v>
      </c>
      <c r="J23" s="169" t="s">
        <v>389</v>
      </c>
    </row>
    <row r="24" spans="1:10" ht="14.4" x14ac:dyDescent="0.3">
      <c r="A24" s="169"/>
      <c r="B24" s="169" t="s">
        <v>539</v>
      </c>
      <c r="C24" s="169" t="s">
        <v>558</v>
      </c>
      <c r="D24" s="169" t="s">
        <v>553</v>
      </c>
      <c r="E24" s="169" t="s">
        <v>374</v>
      </c>
      <c r="F24" s="169" t="s">
        <v>569</v>
      </c>
      <c r="G24" s="169" t="s">
        <v>570</v>
      </c>
      <c r="H24" s="169">
        <v>1</v>
      </c>
      <c r="I24" s="169" t="s">
        <v>550</v>
      </c>
      <c r="J24" s="169" t="s">
        <v>389</v>
      </c>
    </row>
    <row r="25" spans="1:10" ht="14.4" x14ac:dyDescent="0.3">
      <c r="A25" s="169"/>
      <c r="B25" s="169" t="s">
        <v>539</v>
      </c>
      <c r="C25" s="169" t="s">
        <v>558</v>
      </c>
      <c r="D25" s="169" t="s">
        <v>553</v>
      </c>
      <c r="E25" s="169" t="s">
        <v>374</v>
      </c>
      <c r="F25" s="169" t="s">
        <v>577</v>
      </c>
      <c r="G25" s="169" t="s">
        <v>578</v>
      </c>
      <c r="H25" s="169">
        <v>1</v>
      </c>
      <c r="I25" s="169" t="s">
        <v>550</v>
      </c>
      <c r="J25" s="169" t="s">
        <v>389</v>
      </c>
    </row>
    <row r="26" spans="1:10" ht="14.4" x14ac:dyDescent="0.3">
      <c r="A26" s="169"/>
      <c r="B26" s="169" t="s">
        <v>539</v>
      </c>
      <c r="C26" s="169" t="s">
        <v>558</v>
      </c>
      <c r="D26" s="169" t="s">
        <v>553</v>
      </c>
      <c r="E26" s="169" t="s">
        <v>374</v>
      </c>
      <c r="F26" s="169" t="s">
        <v>581</v>
      </c>
      <c r="G26" s="169" t="s">
        <v>582</v>
      </c>
      <c r="H26" s="169">
        <v>1</v>
      </c>
      <c r="I26" s="169" t="s">
        <v>550</v>
      </c>
      <c r="J26" s="169" t="s">
        <v>389</v>
      </c>
    </row>
    <row r="27" spans="1:10" ht="14.4" x14ac:dyDescent="0.3">
      <c r="A27" s="169"/>
      <c r="B27" s="169" t="s">
        <v>539</v>
      </c>
      <c r="C27" s="169" t="s">
        <v>558</v>
      </c>
      <c r="D27" s="169" t="s">
        <v>553</v>
      </c>
      <c r="E27" s="169" t="s">
        <v>374</v>
      </c>
      <c r="F27" s="169" t="s">
        <v>608</v>
      </c>
      <c r="G27" s="169" t="s">
        <v>566</v>
      </c>
      <c r="H27" s="169">
        <v>1</v>
      </c>
      <c r="I27" s="169" t="s">
        <v>550</v>
      </c>
      <c r="J27" s="169" t="s">
        <v>390</v>
      </c>
    </row>
    <row r="28" spans="1:10" ht="14.4" x14ac:dyDescent="0.3">
      <c r="A28" s="169"/>
      <c r="B28" s="169" t="s">
        <v>539</v>
      </c>
      <c r="C28" s="169" t="s">
        <v>558</v>
      </c>
      <c r="D28" s="169" t="s">
        <v>553</v>
      </c>
      <c r="E28" s="169" t="s">
        <v>374</v>
      </c>
      <c r="F28" s="169" t="s">
        <v>635</v>
      </c>
      <c r="G28" s="169" t="s">
        <v>636</v>
      </c>
      <c r="H28" s="169">
        <v>1</v>
      </c>
      <c r="I28" s="169" t="s">
        <v>550</v>
      </c>
      <c r="J28" s="169" t="s">
        <v>389</v>
      </c>
    </row>
    <row r="29" spans="1:10" ht="14.4" x14ac:dyDescent="0.3">
      <c r="A29" s="169"/>
      <c r="B29" s="169" t="s">
        <v>539</v>
      </c>
      <c r="C29" s="169" t="s">
        <v>558</v>
      </c>
      <c r="D29" s="169" t="s">
        <v>553</v>
      </c>
      <c r="E29" s="169" t="s">
        <v>374</v>
      </c>
      <c r="F29" s="169" t="s">
        <v>642</v>
      </c>
      <c r="G29" s="169" t="s">
        <v>639</v>
      </c>
      <c r="H29" s="169">
        <v>1</v>
      </c>
      <c r="I29" s="169" t="s">
        <v>550</v>
      </c>
      <c r="J29" s="169" t="s">
        <v>389</v>
      </c>
    </row>
    <row r="30" spans="1:10" ht="14.4" x14ac:dyDescent="0.3">
      <c r="A30" s="169"/>
      <c r="B30" s="169" t="s">
        <v>539</v>
      </c>
      <c r="C30" s="169" t="s">
        <v>558</v>
      </c>
      <c r="D30" s="169" t="s">
        <v>553</v>
      </c>
      <c r="E30" s="169" t="s">
        <v>374</v>
      </c>
      <c r="F30" s="169" t="s">
        <v>672</v>
      </c>
      <c r="G30" s="169" t="s">
        <v>673</v>
      </c>
      <c r="H30" s="169">
        <v>1</v>
      </c>
      <c r="I30" s="169" t="s">
        <v>550</v>
      </c>
      <c r="J30" s="169" t="s">
        <v>389</v>
      </c>
    </row>
    <row r="31" spans="1:10" ht="14.4" x14ac:dyDescent="0.3">
      <c r="A31" s="169"/>
      <c r="B31" s="169" t="s">
        <v>539</v>
      </c>
      <c r="C31" s="169" t="s">
        <v>558</v>
      </c>
      <c r="D31" s="169" t="s">
        <v>553</v>
      </c>
      <c r="E31" s="169" t="s">
        <v>374</v>
      </c>
      <c r="F31" s="169" t="s">
        <v>750</v>
      </c>
      <c r="G31" s="169" t="s">
        <v>751</v>
      </c>
      <c r="H31" s="169">
        <v>1</v>
      </c>
      <c r="I31" s="169" t="s">
        <v>550</v>
      </c>
      <c r="J31" s="169" t="s">
        <v>389</v>
      </c>
    </row>
    <row r="32" spans="1:10" ht="14.4" x14ac:dyDescent="0.3">
      <c r="A32" s="169"/>
      <c r="B32" s="169" t="s">
        <v>539</v>
      </c>
      <c r="C32" s="169" t="s">
        <v>558</v>
      </c>
      <c r="D32" s="169" t="s">
        <v>553</v>
      </c>
      <c r="E32" s="169" t="s">
        <v>374</v>
      </c>
      <c r="F32" s="169" t="s">
        <v>836</v>
      </c>
      <c r="G32" s="169" t="s">
        <v>748</v>
      </c>
      <c r="H32" s="169">
        <v>1</v>
      </c>
      <c r="I32" s="169" t="s">
        <v>550</v>
      </c>
      <c r="J32" s="169" t="s">
        <v>389</v>
      </c>
    </row>
    <row r="33" spans="1:10" ht="14.4" x14ac:dyDescent="0.3">
      <c r="A33"/>
      <c r="B33"/>
      <c r="C33"/>
      <c r="D33"/>
      <c r="E33"/>
      <c r="F33"/>
      <c r="G33"/>
      <c r="H33"/>
      <c r="I33"/>
      <c r="J33"/>
    </row>
    <row r="34" spans="1:10" ht="14.4" x14ac:dyDescent="0.3">
      <c r="A34"/>
      <c r="B34"/>
      <c r="C34"/>
      <c r="D34"/>
      <c r="E34"/>
      <c r="F34"/>
      <c r="G34"/>
      <c r="H34"/>
      <c r="I34"/>
      <c r="J34"/>
    </row>
    <row r="35" spans="1:10" ht="14.4" x14ac:dyDescent="0.3">
      <c r="A35"/>
      <c r="B35"/>
      <c r="C35"/>
      <c r="D35"/>
      <c r="E35"/>
      <c r="F35"/>
      <c r="G35"/>
      <c r="H35"/>
      <c r="I35"/>
      <c r="J35"/>
    </row>
    <row r="36" spans="1:10" ht="14.4" x14ac:dyDescent="0.3">
      <c r="A36"/>
      <c r="B36"/>
      <c r="C36"/>
      <c r="D36"/>
      <c r="E36"/>
      <c r="F36"/>
      <c r="G36"/>
      <c r="H36"/>
      <c r="I36"/>
      <c r="J36"/>
    </row>
    <row r="37" spans="1:10" ht="14.4" x14ac:dyDescent="0.3">
      <c r="A37"/>
      <c r="B37"/>
      <c r="C37"/>
      <c r="D37"/>
      <c r="E37"/>
      <c r="F37"/>
      <c r="G37"/>
      <c r="H37"/>
      <c r="I37"/>
      <c r="J37"/>
    </row>
    <row r="38" spans="1:10" ht="14.4" x14ac:dyDescent="0.3">
      <c r="A38"/>
      <c r="B38"/>
      <c r="C38"/>
      <c r="D38"/>
      <c r="E38"/>
      <c r="F38"/>
      <c r="G38"/>
      <c r="H38"/>
      <c r="I38"/>
      <c r="J38"/>
    </row>
    <row r="39" spans="1:10" ht="14.4" x14ac:dyDescent="0.3">
      <c r="A39"/>
      <c r="B39"/>
      <c r="C39"/>
      <c r="D39"/>
      <c r="E39"/>
      <c r="F39"/>
      <c r="G39"/>
      <c r="H39"/>
      <c r="I39"/>
      <c r="J39"/>
    </row>
    <row r="40" spans="1:10" ht="14.4" x14ac:dyDescent="0.3">
      <c r="A40"/>
      <c r="B40"/>
      <c r="C40"/>
      <c r="D40"/>
      <c r="E40"/>
      <c r="F40"/>
      <c r="G40"/>
      <c r="H40"/>
      <c r="I40"/>
      <c r="J40"/>
    </row>
    <row r="41" spans="1:10" ht="14.4" x14ac:dyDescent="0.3">
      <c r="A41"/>
      <c r="B41"/>
      <c r="C41"/>
      <c r="D41"/>
      <c r="E41"/>
      <c r="F41"/>
      <c r="G41"/>
      <c r="H41"/>
      <c r="I41"/>
      <c r="J41"/>
    </row>
    <row r="42" spans="1:10" ht="14.4" x14ac:dyDescent="0.3">
      <c r="A42"/>
      <c r="B42"/>
      <c r="C42"/>
      <c r="D42"/>
      <c r="E42"/>
      <c r="F42"/>
      <c r="G42"/>
      <c r="H42"/>
      <c r="I42"/>
      <c r="J42"/>
    </row>
    <row r="43" spans="1:10" ht="14.4" x14ac:dyDescent="0.3">
      <c r="A43"/>
      <c r="B43"/>
      <c r="C43"/>
      <c r="D43"/>
      <c r="E43"/>
      <c r="F43"/>
      <c r="G43"/>
      <c r="H43"/>
      <c r="I43"/>
      <c r="J43"/>
    </row>
    <row r="44" spans="1:10" ht="14.4" x14ac:dyDescent="0.3">
      <c r="A44"/>
      <c r="B44"/>
      <c r="C44"/>
      <c r="D44"/>
      <c r="E44"/>
      <c r="F44"/>
      <c r="G44"/>
      <c r="H44"/>
      <c r="I44"/>
      <c r="J44"/>
    </row>
    <row r="45" spans="1:10" ht="14.4" x14ac:dyDescent="0.3">
      <c r="A45"/>
      <c r="B45"/>
      <c r="C45"/>
      <c r="D45"/>
      <c r="E45"/>
      <c r="F45"/>
      <c r="G45"/>
      <c r="H45"/>
      <c r="I45"/>
      <c r="J45"/>
    </row>
    <row r="46" spans="1:10" ht="14.4" x14ac:dyDescent="0.3">
      <c r="A46"/>
      <c r="B46"/>
      <c r="C46"/>
      <c r="D46"/>
      <c r="E46"/>
      <c r="F46"/>
      <c r="G46"/>
      <c r="H46"/>
      <c r="I46"/>
      <c r="J46"/>
    </row>
    <row r="47" spans="1:10" ht="14.4" x14ac:dyDescent="0.3">
      <c r="A47"/>
      <c r="B47"/>
      <c r="C47"/>
      <c r="D47"/>
      <c r="E47"/>
      <c r="F47"/>
      <c r="G47"/>
      <c r="H47"/>
      <c r="I47"/>
      <c r="J47"/>
    </row>
    <row r="48" spans="1:10" ht="14.4" x14ac:dyDescent="0.3">
      <c r="A48"/>
      <c r="B48"/>
      <c r="C48"/>
      <c r="D48"/>
      <c r="E48"/>
      <c r="F48"/>
      <c r="G48"/>
      <c r="H48"/>
      <c r="I48"/>
      <c r="J48"/>
    </row>
    <row r="49" spans="1:10" ht="14.4" x14ac:dyDescent="0.3">
      <c r="A49"/>
      <c r="B49"/>
      <c r="C49"/>
      <c r="D49"/>
      <c r="E49"/>
      <c r="F49"/>
      <c r="G49"/>
      <c r="H49"/>
      <c r="I49"/>
      <c r="J49"/>
    </row>
    <row r="50" spans="1:10" ht="14.4" x14ac:dyDescent="0.3">
      <c r="A50"/>
      <c r="B50"/>
      <c r="C50"/>
      <c r="D50"/>
      <c r="E50"/>
      <c r="F50"/>
      <c r="G50"/>
      <c r="H50"/>
      <c r="I50"/>
      <c r="J50"/>
    </row>
    <row r="51" spans="1:10" ht="14.4" x14ac:dyDescent="0.3">
      <c r="A51"/>
      <c r="B51"/>
      <c r="C51"/>
      <c r="D51"/>
      <c r="E51"/>
      <c r="F51"/>
      <c r="G51"/>
      <c r="H51"/>
      <c r="I51"/>
      <c r="J51"/>
    </row>
    <row r="52" spans="1:10" ht="14.4" x14ac:dyDescent="0.3">
      <c r="A52"/>
      <c r="B52"/>
      <c r="C52"/>
      <c r="D52"/>
      <c r="E52"/>
      <c r="F52"/>
      <c r="G52"/>
      <c r="H52"/>
      <c r="I52"/>
      <c r="J52"/>
    </row>
    <row r="53" spans="1:10" ht="14.4" x14ac:dyDescent="0.3">
      <c r="A53"/>
      <c r="B53"/>
      <c r="C53"/>
      <c r="D53"/>
      <c r="E53"/>
      <c r="F53"/>
      <c r="G53"/>
      <c r="H53"/>
      <c r="I53"/>
      <c r="J53"/>
    </row>
    <row r="54" spans="1:10" ht="14.4" x14ac:dyDescent="0.3">
      <c r="A54"/>
      <c r="B54"/>
      <c r="C54"/>
      <c r="D54"/>
      <c r="E54"/>
      <c r="F54"/>
      <c r="G54"/>
      <c r="H54"/>
      <c r="I54"/>
      <c r="J54"/>
    </row>
    <row r="55" spans="1:10" ht="14.4" x14ac:dyDescent="0.3">
      <c r="A55"/>
      <c r="B55"/>
      <c r="C55"/>
      <c r="D55"/>
      <c r="E55"/>
      <c r="F55"/>
      <c r="G55"/>
      <c r="H55"/>
      <c r="I55"/>
      <c r="J55"/>
    </row>
    <row r="56" spans="1:10" ht="14.4" x14ac:dyDescent="0.3">
      <c r="A56"/>
      <c r="B56"/>
      <c r="C56"/>
      <c r="D56"/>
      <c r="E56"/>
      <c r="F56"/>
      <c r="G56"/>
      <c r="H56"/>
      <c r="I56"/>
      <c r="J56"/>
    </row>
    <row r="57" spans="1:10" ht="14.4" x14ac:dyDescent="0.3">
      <c r="A57"/>
      <c r="B57"/>
      <c r="C57"/>
      <c r="D57"/>
      <c r="E57"/>
      <c r="F57"/>
      <c r="G57"/>
      <c r="H57"/>
      <c r="I57"/>
      <c r="J57"/>
    </row>
    <row r="58" spans="1:10" ht="14.4" x14ac:dyDescent="0.3">
      <c r="A58"/>
      <c r="B58"/>
      <c r="C58"/>
      <c r="D58"/>
      <c r="E58"/>
      <c r="F58"/>
      <c r="G58"/>
      <c r="H58"/>
      <c r="I58"/>
      <c r="J58"/>
    </row>
    <row r="59" spans="1:10" ht="14.4" x14ac:dyDescent="0.3">
      <c r="A59"/>
      <c r="B59"/>
      <c r="C59"/>
      <c r="D59"/>
      <c r="E59"/>
      <c r="F59"/>
      <c r="G59"/>
      <c r="H59"/>
      <c r="I59"/>
      <c r="J59"/>
    </row>
    <row r="60" spans="1:10" ht="14.4" x14ac:dyDescent="0.3">
      <c r="A60"/>
      <c r="B60"/>
      <c r="C60"/>
      <c r="D60"/>
      <c r="E60"/>
      <c r="F60"/>
      <c r="G60"/>
      <c r="H60"/>
      <c r="I60"/>
      <c r="J60"/>
    </row>
    <row r="61" spans="1:10" ht="14.4" x14ac:dyDescent="0.3">
      <c r="A61"/>
      <c r="B61"/>
      <c r="C61"/>
      <c r="D61"/>
      <c r="E61"/>
      <c r="F61"/>
      <c r="G61"/>
      <c r="H61"/>
      <c r="I61"/>
      <c r="J61"/>
    </row>
    <row r="62" spans="1:10" ht="14.4" x14ac:dyDescent="0.3">
      <c r="A62"/>
      <c r="B62"/>
      <c r="C62"/>
      <c r="D62"/>
      <c r="E62"/>
      <c r="F62"/>
      <c r="G62"/>
      <c r="H62"/>
      <c r="I62"/>
      <c r="J62"/>
    </row>
    <row r="63" spans="1:10" ht="14.4" x14ac:dyDescent="0.3">
      <c r="A63"/>
      <c r="B63"/>
      <c r="C63"/>
      <c r="D63"/>
      <c r="E63"/>
      <c r="F63"/>
      <c r="G63"/>
      <c r="H63"/>
      <c r="I63"/>
      <c r="J63"/>
    </row>
    <row r="64" spans="1:10" ht="14.4" x14ac:dyDescent="0.3">
      <c r="A64"/>
      <c r="B64"/>
      <c r="C64"/>
      <c r="D64"/>
      <c r="E64"/>
      <c r="F64"/>
      <c r="G64"/>
      <c r="H64"/>
      <c r="I64"/>
      <c r="J64"/>
    </row>
    <row r="65" spans="1:10" ht="14.4" x14ac:dyDescent="0.3">
      <c r="A65"/>
      <c r="B65"/>
      <c r="C65"/>
      <c r="D65"/>
      <c r="E65"/>
      <c r="F65"/>
      <c r="G65"/>
      <c r="H65"/>
      <c r="I65"/>
      <c r="J65"/>
    </row>
    <row r="66" spans="1:10" ht="14.4" x14ac:dyDescent="0.3">
      <c r="A66"/>
      <c r="B66"/>
      <c r="C66"/>
      <c r="D66"/>
      <c r="E66"/>
      <c r="F66"/>
      <c r="G66"/>
      <c r="H66"/>
      <c r="I66"/>
      <c r="J66"/>
    </row>
    <row r="67" spans="1:10" ht="14.4" x14ac:dyDescent="0.3">
      <c r="A67"/>
      <c r="B67"/>
      <c r="C67"/>
      <c r="D67"/>
      <c r="E67"/>
      <c r="F67"/>
      <c r="G67"/>
      <c r="H67"/>
      <c r="I67"/>
      <c r="J67"/>
    </row>
    <row r="68" spans="1:10" ht="14.4" x14ac:dyDescent="0.3">
      <c r="A68"/>
      <c r="B68"/>
      <c r="C68"/>
      <c r="D68"/>
      <c r="E68"/>
      <c r="F68"/>
      <c r="G68"/>
      <c r="H68"/>
      <c r="I68"/>
      <c r="J68"/>
    </row>
    <row r="69" spans="1:10" ht="14.4" x14ac:dyDescent="0.3">
      <c r="A69"/>
      <c r="B69"/>
      <c r="C69"/>
      <c r="D69"/>
      <c r="E69"/>
      <c r="F69"/>
      <c r="G69"/>
      <c r="H69"/>
      <c r="I69"/>
      <c r="J69"/>
    </row>
    <row r="70" spans="1:10" ht="14.4" x14ac:dyDescent="0.3">
      <c r="A70"/>
      <c r="B70"/>
      <c r="C70"/>
      <c r="D70"/>
      <c r="E70"/>
      <c r="F70"/>
      <c r="G70"/>
      <c r="H70"/>
      <c r="I70"/>
      <c r="J70"/>
    </row>
    <row r="71" spans="1:10" ht="14.4" x14ac:dyDescent="0.3">
      <c r="A71"/>
      <c r="B71"/>
      <c r="C71"/>
      <c r="D71"/>
      <c r="E71"/>
      <c r="F71"/>
      <c r="G71"/>
      <c r="H71"/>
      <c r="I71"/>
      <c r="J71"/>
    </row>
    <row r="72" spans="1:10" ht="14.4" x14ac:dyDescent="0.3">
      <c r="A72"/>
      <c r="B72"/>
      <c r="C72"/>
      <c r="D72"/>
      <c r="E72"/>
      <c r="F72"/>
      <c r="G72"/>
      <c r="H72"/>
      <c r="I72"/>
      <c r="J72"/>
    </row>
    <row r="73" spans="1:10" ht="14.4" x14ac:dyDescent="0.3">
      <c r="A73"/>
      <c r="B73"/>
      <c r="C73"/>
      <c r="D73"/>
      <c r="E73"/>
      <c r="F73"/>
      <c r="G73"/>
      <c r="H73"/>
      <c r="I73"/>
      <c r="J73"/>
    </row>
    <row r="74" spans="1:10" ht="14.4" x14ac:dyDescent="0.3">
      <c r="A74"/>
      <c r="B74"/>
      <c r="C74"/>
      <c r="D74"/>
      <c r="E74"/>
      <c r="F74"/>
      <c r="G74"/>
      <c r="H74"/>
      <c r="I74"/>
      <c r="J74"/>
    </row>
    <row r="75" spans="1:10" ht="14.4" x14ac:dyDescent="0.3">
      <c r="A75"/>
      <c r="B75"/>
      <c r="C75"/>
      <c r="D75"/>
      <c r="E75"/>
      <c r="F75"/>
      <c r="G75"/>
      <c r="H75"/>
      <c r="I75"/>
      <c r="J75"/>
    </row>
    <row r="76" spans="1:10" ht="14.4" x14ac:dyDescent="0.3">
      <c r="A76"/>
      <c r="B76"/>
      <c r="C76"/>
      <c r="D76"/>
      <c r="E76"/>
      <c r="F76"/>
      <c r="G76"/>
      <c r="H76"/>
      <c r="I76"/>
      <c r="J76"/>
    </row>
    <row r="77" spans="1:10" ht="14.4" x14ac:dyDescent="0.3">
      <c r="A77"/>
      <c r="B77"/>
      <c r="C77"/>
      <c r="D77"/>
      <c r="E77"/>
      <c r="F77"/>
      <c r="G77"/>
      <c r="H77"/>
      <c r="I77"/>
      <c r="J77"/>
    </row>
    <row r="78" spans="1:10" ht="14.4" x14ac:dyDescent="0.3">
      <c r="A78"/>
      <c r="B78"/>
      <c r="C78"/>
      <c r="D78"/>
      <c r="E78"/>
      <c r="F78"/>
      <c r="G78"/>
      <c r="H78"/>
      <c r="I78"/>
      <c r="J78"/>
    </row>
    <row r="79" spans="1:10" ht="14.4" x14ac:dyDescent="0.3">
      <c r="A79"/>
      <c r="B79"/>
      <c r="C79"/>
      <c r="D79"/>
      <c r="E79"/>
      <c r="F79"/>
      <c r="G79"/>
      <c r="H79"/>
      <c r="I79"/>
      <c r="J79"/>
    </row>
    <row r="80" spans="1:10" ht="14.4" x14ac:dyDescent="0.3">
      <c r="A80"/>
      <c r="B80"/>
      <c r="C80"/>
      <c r="D80"/>
      <c r="E80"/>
      <c r="F80"/>
      <c r="G80"/>
      <c r="H80"/>
      <c r="I80"/>
      <c r="J80"/>
    </row>
    <row r="81" spans="1:10" ht="14.4" x14ac:dyDescent="0.3">
      <c r="A81"/>
      <c r="B81"/>
      <c r="C81"/>
      <c r="D81"/>
      <c r="E81"/>
      <c r="F81"/>
      <c r="G81"/>
      <c r="H81"/>
      <c r="I81"/>
      <c r="J81"/>
    </row>
    <row r="82" spans="1:10" ht="14.4" x14ac:dyDescent="0.3">
      <c r="A82"/>
      <c r="B82"/>
      <c r="C82"/>
      <c r="D82"/>
      <c r="E82"/>
      <c r="F82"/>
      <c r="G82"/>
      <c r="H82"/>
      <c r="I82"/>
      <c r="J82"/>
    </row>
    <row r="83" spans="1:10" ht="14.4" x14ac:dyDescent="0.3">
      <c r="A83"/>
      <c r="B83"/>
      <c r="C83"/>
      <c r="D83"/>
      <c r="E83"/>
      <c r="F83"/>
      <c r="G83"/>
      <c r="H83"/>
      <c r="I83"/>
      <c r="J83"/>
    </row>
    <row r="84" spans="1:10" ht="14.4" x14ac:dyDescent="0.3">
      <c r="A84"/>
      <c r="B84"/>
      <c r="C84"/>
      <c r="D84"/>
      <c r="E84"/>
      <c r="F84"/>
      <c r="G84"/>
      <c r="H84"/>
      <c r="I84"/>
      <c r="J84"/>
    </row>
    <row r="85" spans="1:10" ht="14.4" x14ac:dyDescent="0.3">
      <c r="A85"/>
      <c r="B85"/>
      <c r="C85"/>
      <c r="D85"/>
      <c r="E85"/>
      <c r="F85"/>
      <c r="G85"/>
      <c r="H85"/>
      <c r="I85"/>
      <c r="J85"/>
    </row>
    <row r="86" spans="1:10" ht="14.4" x14ac:dyDescent="0.3">
      <c r="A86"/>
      <c r="B86"/>
      <c r="C86"/>
      <c r="D86"/>
      <c r="E86"/>
      <c r="F86"/>
      <c r="G86"/>
      <c r="H86"/>
      <c r="I86"/>
      <c r="J86"/>
    </row>
    <row r="87" spans="1:10" ht="14.4" x14ac:dyDescent="0.3">
      <c r="A87"/>
      <c r="B87"/>
      <c r="C87"/>
      <c r="D87"/>
      <c r="E87"/>
      <c r="F87"/>
      <c r="G87"/>
      <c r="H87"/>
      <c r="I87"/>
      <c r="J87"/>
    </row>
    <row r="88" spans="1:10" ht="14.4" x14ac:dyDescent="0.3">
      <c r="A88"/>
      <c r="B88"/>
      <c r="C88"/>
      <c r="D88"/>
      <c r="E88"/>
      <c r="F88"/>
      <c r="G88"/>
      <c r="H88"/>
      <c r="I88"/>
      <c r="J88"/>
    </row>
    <row r="89" spans="1:10" ht="14.4" x14ac:dyDescent="0.3">
      <c r="A89"/>
      <c r="B89"/>
      <c r="C89"/>
      <c r="D89"/>
      <c r="E89"/>
      <c r="F89"/>
      <c r="G89"/>
      <c r="H89"/>
      <c r="I89"/>
      <c r="J89"/>
    </row>
    <row r="90" spans="1:10" ht="14.4" x14ac:dyDescent="0.3">
      <c r="A90"/>
      <c r="B90"/>
      <c r="C90"/>
      <c r="D90"/>
      <c r="E90"/>
      <c r="F90"/>
      <c r="G90"/>
      <c r="H90"/>
      <c r="I90"/>
      <c r="J90"/>
    </row>
    <row r="91" spans="1:10" ht="14.4" x14ac:dyDescent="0.3">
      <c r="A91"/>
      <c r="B91"/>
      <c r="C91"/>
      <c r="D91"/>
      <c r="E91"/>
      <c r="F91"/>
      <c r="G91"/>
      <c r="H91"/>
      <c r="I91"/>
      <c r="J91"/>
    </row>
    <row r="92" spans="1:10" ht="14.4" x14ac:dyDescent="0.3">
      <c r="A92"/>
      <c r="B92"/>
      <c r="C92"/>
      <c r="D92"/>
      <c r="E92"/>
      <c r="F92"/>
      <c r="G92"/>
      <c r="H92"/>
      <c r="I92"/>
      <c r="J92"/>
    </row>
    <row r="93" spans="1:10" ht="14.4" x14ac:dyDescent="0.3">
      <c r="A93"/>
      <c r="B93"/>
      <c r="C93"/>
      <c r="D93"/>
      <c r="E93"/>
      <c r="F93"/>
      <c r="G93"/>
      <c r="H93"/>
      <c r="I93"/>
      <c r="J93"/>
    </row>
    <row r="94" spans="1:10" ht="14.4" x14ac:dyDescent="0.3">
      <c r="A94"/>
      <c r="B94"/>
      <c r="C94"/>
      <c r="D94"/>
      <c r="E94"/>
      <c r="F94"/>
      <c r="G94"/>
      <c r="H94"/>
      <c r="I94"/>
      <c r="J94"/>
    </row>
    <row r="95" spans="1:10" ht="14.4" x14ac:dyDescent="0.3">
      <c r="A95"/>
      <c r="B95"/>
      <c r="C95"/>
      <c r="D95"/>
      <c r="E95"/>
      <c r="F95"/>
      <c r="G95"/>
      <c r="H95"/>
      <c r="I95"/>
      <c r="J95"/>
    </row>
    <row r="96" spans="1:10" ht="14.4" x14ac:dyDescent="0.3">
      <c r="A96"/>
      <c r="B96"/>
      <c r="C96"/>
      <c r="D96"/>
      <c r="E96"/>
      <c r="F96"/>
      <c r="G96"/>
      <c r="H96"/>
      <c r="I96"/>
      <c r="J96"/>
    </row>
    <row r="97" spans="1:10" ht="14.4" x14ac:dyDescent="0.3">
      <c r="A97"/>
      <c r="B97"/>
      <c r="C97"/>
      <c r="D97"/>
      <c r="E97"/>
      <c r="F97"/>
      <c r="G97"/>
      <c r="H97"/>
      <c r="I97"/>
      <c r="J97"/>
    </row>
    <row r="98" spans="1:10" ht="14.4" x14ac:dyDescent="0.3">
      <c r="A98"/>
      <c r="B98"/>
      <c r="C98"/>
      <c r="D98"/>
      <c r="E98"/>
      <c r="F98"/>
      <c r="G98"/>
      <c r="H98"/>
      <c r="I98"/>
      <c r="J98"/>
    </row>
    <row r="99" spans="1:10" ht="14.4" x14ac:dyDescent="0.3">
      <c r="A99"/>
      <c r="B99"/>
      <c r="C99"/>
      <c r="D99"/>
      <c r="E99"/>
      <c r="F99"/>
      <c r="G99"/>
      <c r="H99"/>
      <c r="I99"/>
      <c r="J99"/>
    </row>
    <row r="100" spans="1:10" ht="14.4" x14ac:dyDescent="0.3">
      <c r="A100"/>
      <c r="B100"/>
      <c r="C100"/>
      <c r="D100"/>
      <c r="E100"/>
      <c r="F100"/>
      <c r="G100"/>
      <c r="H100"/>
      <c r="I100"/>
      <c r="J100"/>
    </row>
    <row r="101" spans="1:10" ht="14.4" x14ac:dyDescent="0.3">
      <c r="A101"/>
      <c r="B101"/>
      <c r="C101"/>
      <c r="D101"/>
      <c r="E101"/>
      <c r="F101"/>
      <c r="G101"/>
      <c r="H101"/>
      <c r="I101"/>
      <c r="J101"/>
    </row>
    <row r="102" spans="1:10" ht="14.4" x14ac:dyDescent="0.3">
      <c r="A102"/>
      <c r="B102"/>
      <c r="C102"/>
      <c r="D102"/>
      <c r="E102"/>
      <c r="F102"/>
      <c r="G102"/>
      <c r="H102"/>
      <c r="I102"/>
      <c r="J102"/>
    </row>
    <row r="103" spans="1:10" ht="14.4" x14ac:dyDescent="0.3">
      <c r="A103"/>
      <c r="B103"/>
      <c r="C103"/>
      <c r="D103"/>
      <c r="E103"/>
      <c r="F103"/>
      <c r="G103"/>
      <c r="H103"/>
      <c r="I103"/>
      <c r="J103"/>
    </row>
    <row r="104" spans="1:10" ht="14.4" x14ac:dyDescent="0.3">
      <c r="A104"/>
      <c r="B104"/>
      <c r="C104"/>
      <c r="D104"/>
      <c r="E104"/>
      <c r="F104"/>
      <c r="G104"/>
      <c r="H104"/>
      <c r="I104"/>
      <c r="J104"/>
    </row>
    <row r="105" spans="1:10" ht="14.4" x14ac:dyDescent="0.3">
      <c r="A105"/>
      <c r="B105"/>
      <c r="C105"/>
      <c r="D105"/>
      <c r="E105"/>
      <c r="F105"/>
      <c r="G105"/>
      <c r="H105"/>
      <c r="I105"/>
      <c r="J105"/>
    </row>
    <row r="106" spans="1:10" ht="14.4" x14ac:dyDescent="0.3">
      <c r="A106"/>
      <c r="B106"/>
      <c r="C106"/>
      <c r="D106"/>
      <c r="E106"/>
      <c r="F106"/>
      <c r="G106"/>
      <c r="H106"/>
      <c r="I106"/>
      <c r="J106"/>
    </row>
    <row r="107" spans="1:10" ht="14.4" x14ac:dyDescent="0.3">
      <c r="A107"/>
      <c r="B107"/>
      <c r="C107"/>
      <c r="D107"/>
      <c r="E107"/>
      <c r="F107"/>
      <c r="G107"/>
      <c r="H107"/>
      <c r="I107"/>
      <c r="J107"/>
    </row>
    <row r="108" spans="1:10" ht="14.4" x14ac:dyDescent="0.3">
      <c r="A108"/>
      <c r="B108"/>
      <c r="C108"/>
      <c r="D108"/>
      <c r="E108"/>
      <c r="F108"/>
      <c r="G108"/>
      <c r="H108"/>
      <c r="I108"/>
      <c r="J108"/>
    </row>
    <row r="109" spans="1:10" ht="14.4" x14ac:dyDescent="0.3">
      <c r="A109"/>
      <c r="B109"/>
      <c r="C109"/>
      <c r="D109"/>
      <c r="E109"/>
      <c r="F109"/>
      <c r="G109"/>
      <c r="H109"/>
      <c r="I109"/>
      <c r="J109"/>
    </row>
    <row r="110" spans="1:10" ht="14.4" x14ac:dyDescent="0.3">
      <c r="A110"/>
      <c r="B110"/>
      <c r="C110"/>
      <c r="D110"/>
      <c r="E110"/>
      <c r="F110"/>
      <c r="G110"/>
      <c r="H110"/>
      <c r="I110"/>
      <c r="J110"/>
    </row>
    <row r="111" spans="1:10" ht="14.4" x14ac:dyDescent="0.3">
      <c r="A111"/>
      <c r="B111"/>
      <c r="C111"/>
      <c r="D111"/>
      <c r="E111"/>
      <c r="F111"/>
      <c r="G111"/>
      <c r="H111"/>
      <c r="I111"/>
      <c r="J111"/>
    </row>
    <row r="112" spans="1:10" ht="14.4" x14ac:dyDescent="0.3">
      <c r="A112"/>
      <c r="B112"/>
      <c r="C112"/>
      <c r="D112"/>
      <c r="E112"/>
      <c r="F112"/>
      <c r="G112"/>
      <c r="H112"/>
      <c r="I112"/>
      <c r="J112"/>
    </row>
    <row r="113" spans="1:10" ht="14.4" x14ac:dyDescent="0.3">
      <c r="A113"/>
      <c r="B113"/>
      <c r="C113"/>
      <c r="D113"/>
      <c r="E113"/>
      <c r="F113"/>
      <c r="G113"/>
      <c r="H113"/>
      <c r="I113"/>
      <c r="J113"/>
    </row>
    <row r="114" spans="1:10" ht="14.4" x14ac:dyDescent="0.3">
      <c r="A114"/>
      <c r="B114"/>
      <c r="C114"/>
      <c r="D114"/>
      <c r="E114"/>
      <c r="F114"/>
      <c r="G114"/>
      <c r="H114"/>
      <c r="I114"/>
      <c r="J114"/>
    </row>
    <row r="115" spans="1:10" ht="14.4" x14ac:dyDescent="0.3">
      <c r="A115"/>
      <c r="B115"/>
      <c r="C115"/>
      <c r="D115"/>
      <c r="E115"/>
      <c r="F115"/>
      <c r="G115"/>
      <c r="H115"/>
      <c r="I115"/>
      <c r="J115"/>
    </row>
    <row r="116" spans="1:10" ht="14.4" x14ac:dyDescent="0.3">
      <c r="A116"/>
      <c r="B116"/>
      <c r="C116"/>
      <c r="D116"/>
      <c r="E116"/>
      <c r="F116"/>
      <c r="G116"/>
      <c r="H116"/>
      <c r="I116"/>
      <c r="J116"/>
    </row>
    <row r="117" spans="1:10" ht="14.4" x14ac:dyDescent="0.3">
      <c r="A117"/>
      <c r="B117"/>
      <c r="C117"/>
      <c r="D117"/>
      <c r="E117"/>
      <c r="F117"/>
      <c r="G117"/>
      <c r="H117"/>
      <c r="I117"/>
      <c r="J117"/>
    </row>
    <row r="118" spans="1:10" ht="14.4" x14ac:dyDescent="0.3">
      <c r="A118"/>
      <c r="B118"/>
      <c r="C118"/>
      <c r="D118"/>
      <c r="E118"/>
      <c r="F118"/>
      <c r="G118"/>
      <c r="H118"/>
      <c r="I118"/>
      <c r="J118"/>
    </row>
    <row r="119" spans="1:10" ht="14.4" x14ac:dyDescent="0.3">
      <c r="A119"/>
      <c r="B119"/>
      <c r="C119"/>
      <c r="D119"/>
      <c r="E119"/>
      <c r="F119"/>
      <c r="G119"/>
      <c r="H119"/>
      <c r="I119"/>
      <c r="J119"/>
    </row>
    <row r="120" spans="1:10" ht="14.4" x14ac:dyDescent="0.3">
      <c r="A120"/>
      <c r="B120"/>
      <c r="C120"/>
      <c r="D120"/>
      <c r="E120"/>
      <c r="F120"/>
      <c r="G120"/>
      <c r="H120"/>
      <c r="I120"/>
      <c r="J120"/>
    </row>
    <row r="121" spans="1:10" ht="14.4" x14ac:dyDescent="0.3">
      <c r="A121"/>
      <c r="B121"/>
      <c r="C121"/>
      <c r="D121"/>
      <c r="E121"/>
      <c r="F121"/>
      <c r="G121"/>
      <c r="H121"/>
      <c r="I121"/>
      <c r="J121"/>
    </row>
    <row r="122" spans="1:10" ht="14.4" x14ac:dyDescent="0.3">
      <c r="A122"/>
      <c r="B122"/>
      <c r="C122"/>
      <c r="D122"/>
      <c r="E122"/>
      <c r="F122"/>
      <c r="G122"/>
      <c r="H122"/>
      <c r="I122"/>
      <c r="J122"/>
    </row>
    <row r="123" spans="1:10" ht="14.4" x14ac:dyDescent="0.3">
      <c r="A123"/>
      <c r="B123"/>
      <c r="C123"/>
      <c r="D123"/>
      <c r="E123"/>
      <c r="F123"/>
      <c r="G123"/>
      <c r="H123"/>
      <c r="I123"/>
      <c r="J123"/>
    </row>
    <row r="124" spans="1:10" ht="14.4" x14ac:dyDescent="0.3">
      <c r="A124"/>
      <c r="B124"/>
      <c r="C124"/>
      <c r="D124"/>
      <c r="E124"/>
      <c r="F124"/>
      <c r="G124"/>
      <c r="H124"/>
      <c r="I124"/>
      <c r="J124"/>
    </row>
    <row r="125" spans="1:10" ht="14.4" x14ac:dyDescent="0.3">
      <c r="A125"/>
      <c r="B125"/>
      <c r="C125"/>
      <c r="D125"/>
      <c r="E125"/>
      <c r="F125"/>
      <c r="G125"/>
      <c r="H125"/>
      <c r="I125"/>
      <c r="J125"/>
    </row>
    <row r="126" spans="1:10" ht="14.4" x14ac:dyDescent="0.3">
      <c r="A126"/>
      <c r="B126"/>
      <c r="C126"/>
      <c r="D126"/>
      <c r="E126"/>
      <c r="F126"/>
      <c r="G126"/>
      <c r="H126"/>
      <c r="I126"/>
      <c r="J126"/>
    </row>
    <row r="127" spans="1:10" ht="14.4" x14ac:dyDescent="0.3">
      <c r="A127"/>
      <c r="B127"/>
      <c r="C127"/>
      <c r="D127"/>
      <c r="E127"/>
      <c r="F127"/>
      <c r="G127"/>
      <c r="H127"/>
      <c r="I127"/>
      <c r="J127"/>
    </row>
    <row r="128" spans="1:10" ht="14.4" x14ac:dyDescent="0.3">
      <c r="A128"/>
      <c r="B128"/>
      <c r="C128"/>
      <c r="D128"/>
      <c r="E128"/>
      <c r="F128"/>
      <c r="G128"/>
      <c r="H128"/>
      <c r="I128"/>
      <c r="J128"/>
    </row>
    <row r="129" spans="1:10" ht="14.4" x14ac:dyDescent="0.3">
      <c r="A129"/>
      <c r="B129"/>
      <c r="C129"/>
      <c r="D129"/>
      <c r="E129"/>
      <c r="F129"/>
      <c r="G129"/>
      <c r="H129"/>
      <c r="I129"/>
      <c r="J129"/>
    </row>
    <row r="130" spans="1:10" ht="14.4" x14ac:dyDescent="0.3">
      <c r="A130"/>
      <c r="B130"/>
      <c r="C130"/>
      <c r="D130"/>
      <c r="E130"/>
      <c r="F130"/>
      <c r="G130"/>
      <c r="H130"/>
      <c r="I130"/>
      <c r="J130"/>
    </row>
    <row r="131" spans="1:10" ht="14.4" x14ac:dyDescent="0.3">
      <c r="A131"/>
      <c r="B131"/>
      <c r="C131"/>
      <c r="D131"/>
      <c r="E131"/>
      <c r="F131"/>
      <c r="G131"/>
      <c r="H131"/>
      <c r="I131"/>
      <c r="J131"/>
    </row>
    <row r="132" spans="1:10" ht="14.4" x14ac:dyDescent="0.3">
      <c r="A132"/>
      <c r="B132"/>
      <c r="C132"/>
      <c r="D132"/>
      <c r="E132"/>
      <c r="F132"/>
      <c r="G132"/>
      <c r="H132"/>
      <c r="I132"/>
      <c r="J132"/>
    </row>
    <row r="133" spans="1:10" ht="14.4" x14ac:dyDescent="0.3">
      <c r="A133"/>
      <c r="B133"/>
      <c r="C133"/>
      <c r="D133"/>
      <c r="E133"/>
      <c r="F133"/>
      <c r="G133"/>
      <c r="H133"/>
      <c r="I133"/>
      <c r="J133"/>
    </row>
    <row r="134" spans="1:10" ht="14.4" x14ac:dyDescent="0.3">
      <c r="A134"/>
      <c r="B134"/>
      <c r="C134"/>
      <c r="D134"/>
      <c r="E134"/>
      <c r="F134"/>
      <c r="G134"/>
      <c r="H134"/>
      <c r="I134"/>
      <c r="J134"/>
    </row>
    <row r="135" spans="1:10" ht="14.4" x14ac:dyDescent="0.3">
      <c r="A135"/>
      <c r="B135"/>
      <c r="C135"/>
      <c r="D135"/>
      <c r="E135"/>
      <c r="F135"/>
      <c r="G135"/>
      <c r="H135"/>
      <c r="I135"/>
      <c r="J135"/>
    </row>
    <row r="136" spans="1:10" ht="14.4" x14ac:dyDescent="0.3">
      <c r="A136"/>
      <c r="B136"/>
      <c r="C136"/>
      <c r="D136"/>
      <c r="E136"/>
      <c r="F136"/>
      <c r="G136"/>
      <c r="H136"/>
      <c r="I136"/>
      <c r="J136"/>
    </row>
    <row r="137" spans="1:10" ht="14.4" x14ac:dyDescent="0.3">
      <c r="A137"/>
      <c r="B137"/>
      <c r="C137"/>
      <c r="D137"/>
      <c r="E137"/>
      <c r="F137"/>
      <c r="G137"/>
      <c r="H137"/>
      <c r="I137"/>
      <c r="J137"/>
    </row>
    <row r="138" spans="1:10" ht="14.4" x14ac:dyDescent="0.3">
      <c r="A138"/>
      <c r="B138"/>
      <c r="C138"/>
      <c r="D138"/>
      <c r="E138"/>
      <c r="F138"/>
      <c r="G138"/>
      <c r="H138"/>
      <c r="I138"/>
      <c r="J138"/>
    </row>
    <row r="139" spans="1:10" ht="14.4" x14ac:dyDescent="0.3">
      <c r="A139"/>
      <c r="B139"/>
      <c r="C139"/>
      <c r="D139"/>
      <c r="E139"/>
      <c r="F139"/>
      <c r="G139"/>
      <c r="H139"/>
      <c r="I139"/>
      <c r="J139"/>
    </row>
    <row r="140" spans="1:10" ht="14.4" x14ac:dyDescent="0.3">
      <c r="A140"/>
      <c r="B140"/>
      <c r="C140"/>
      <c r="D140"/>
      <c r="E140"/>
      <c r="F140"/>
      <c r="G140"/>
      <c r="H140"/>
      <c r="I140"/>
      <c r="J140"/>
    </row>
    <row r="141" spans="1:10" ht="14.4" x14ac:dyDescent="0.3">
      <c r="A141"/>
      <c r="B141"/>
      <c r="C141"/>
      <c r="D141"/>
      <c r="E141"/>
      <c r="F141"/>
      <c r="G141"/>
      <c r="H141"/>
      <c r="I141"/>
      <c r="J141"/>
    </row>
    <row r="142" spans="1:10" ht="14.4" x14ac:dyDescent="0.3">
      <c r="A142"/>
      <c r="B142"/>
      <c r="C142"/>
      <c r="D142"/>
      <c r="E142"/>
      <c r="F142"/>
      <c r="G142"/>
      <c r="H142"/>
      <c r="I142"/>
      <c r="J142"/>
    </row>
    <row r="143" spans="1:10" ht="14.4" x14ac:dyDescent="0.3">
      <c r="A143"/>
      <c r="B143"/>
      <c r="C143"/>
      <c r="D143"/>
      <c r="E143"/>
      <c r="F143"/>
      <c r="G143"/>
      <c r="H143"/>
      <c r="I143"/>
      <c r="J143"/>
    </row>
    <row r="144" spans="1:10" ht="14.4" x14ac:dyDescent="0.3">
      <c r="A144"/>
      <c r="B144"/>
      <c r="C144"/>
      <c r="D144"/>
      <c r="E144"/>
      <c r="F144"/>
      <c r="G144"/>
      <c r="H144"/>
      <c r="I144"/>
      <c r="J144"/>
    </row>
    <row r="145" spans="1:10" ht="14.4" x14ac:dyDescent="0.3">
      <c r="A145"/>
      <c r="B145"/>
      <c r="C145"/>
      <c r="D145"/>
      <c r="E145"/>
      <c r="F145"/>
      <c r="G145"/>
      <c r="H145"/>
      <c r="I145"/>
      <c r="J145"/>
    </row>
    <row r="146" spans="1:10" ht="14.4" x14ac:dyDescent="0.3">
      <c r="A146"/>
      <c r="B146"/>
      <c r="C146"/>
      <c r="D146"/>
      <c r="E146"/>
      <c r="F146"/>
      <c r="G146"/>
      <c r="H146"/>
      <c r="I146"/>
      <c r="J146"/>
    </row>
    <row r="147" spans="1:10" ht="14.4" x14ac:dyDescent="0.3">
      <c r="A147"/>
      <c r="B147"/>
      <c r="C147"/>
      <c r="D147"/>
      <c r="E147"/>
      <c r="F147"/>
      <c r="G147"/>
      <c r="H147"/>
      <c r="I147"/>
      <c r="J147"/>
    </row>
    <row r="148" spans="1:10" ht="14.4" x14ac:dyDescent="0.3">
      <c r="A148"/>
      <c r="B148"/>
      <c r="C148"/>
      <c r="D148"/>
      <c r="E148"/>
      <c r="F148"/>
      <c r="G148"/>
      <c r="H148"/>
      <c r="I148"/>
      <c r="J148"/>
    </row>
    <row r="149" spans="1:10" ht="14.4" x14ac:dyDescent="0.3">
      <c r="A149"/>
      <c r="B149"/>
      <c r="C149"/>
      <c r="D149"/>
      <c r="E149"/>
      <c r="F149"/>
      <c r="G149"/>
      <c r="H149"/>
      <c r="I149"/>
      <c r="J149"/>
    </row>
    <row r="150" spans="1:10" ht="14.4" x14ac:dyDescent="0.3">
      <c r="A150"/>
      <c r="B150"/>
      <c r="C150"/>
      <c r="D150"/>
      <c r="E150"/>
      <c r="F150"/>
      <c r="G150"/>
      <c r="H150"/>
      <c r="I150"/>
      <c r="J150"/>
    </row>
    <row r="151" spans="1:10" ht="14.4" x14ac:dyDescent="0.3">
      <c r="A151"/>
      <c r="B151"/>
      <c r="C151"/>
      <c r="D151"/>
      <c r="E151"/>
      <c r="F151"/>
      <c r="G151"/>
      <c r="H151"/>
      <c r="I151"/>
      <c r="J151"/>
    </row>
    <row r="152" spans="1:10" ht="14.4" x14ac:dyDescent="0.3">
      <c r="A152"/>
      <c r="B152"/>
      <c r="C152"/>
      <c r="D152"/>
      <c r="E152"/>
      <c r="F152"/>
      <c r="G152"/>
      <c r="H152"/>
      <c r="I152"/>
      <c r="J152"/>
    </row>
    <row r="153" spans="1:10" ht="14.4" x14ac:dyDescent="0.3">
      <c r="A153"/>
      <c r="B153"/>
      <c r="C153"/>
      <c r="D153"/>
      <c r="E153"/>
      <c r="F153"/>
      <c r="G153"/>
      <c r="H153"/>
      <c r="I153"/>
      <c r="J153"/>
    </row>
    <row r="154" spans="1:10" ht="14.4" x14ac:dyDescent="0.3">
      <c r="A154"/>
      <c r="B154"/>
      <c r="C154"/>
      <c r="D154"/>
      <c r="E154"/>
      <c r="F154"/>
      <c r="G154"/>
      <c r="H154"/>
      <c r="I154"/>
      <c r="J154"/>
    </row>
    <row r="155" spans="1:10" ht="14.4" x14ac:dyDescent="0.3">
      <c r="A155"/>
      <c r="B155"/>
      <c r="C155"/>
      <c r="D155"/>
      <c r="E155"/>
      <c r="F155"/>
      <c r="G155"/>
      <c r="H155"/>
      <c r="I155"/>
      <c r="J155"/>
    </row>
    <row r="156" spans="1:10" ht="14.4" x14ac:dyDescent="0.3">
      <c r="A156"/>
      <c r="B156"/>
      <c r="C156"/>
      <c r="D156"/>
      <c r="E156"/>
      <c r="F156"/>
      <c r="G156"/>
      <c r="H156"/>
      <c r="I156"/>
      <c r="J156"/>
    </row>
    <row r="157" spans="1:10" ht="14.4" x14ac:dyDescent="0.3">
      <c r="A157"/>
      <c r="B157"/>
      <c r="C157"/>
      <c r="D157"/>
      <c r="E157"/>
      <c r="F157"/>
      <c r="G157"/>
      <c r="H157"/>
      <c r="I157"/>
      <c r="J157"/>
    </row>
    <row r="158" spans="1:10" ht="14.4" x14ac:dyDescent="0.3">
      <c r="A158"/>
      <c r="B158"/>
      <c r="C158"/>
      <c r="D158"/>
      <c r="E158"/>
      <c r="F158"/>
      <c r="G158"/>
      <c r="H158"/>
      <c r="I158"/>
      <c r="J158"/>
    </row>
    <row r="159" spans="1:10" ht="14.4" x14ac:dyDescent="0.3">
      <c r="A159"/>
      <c r="B159"/>
      <c r="C159"/>
      <c r="D159"/>
      <c r="E159"/>
      <c r="F159"/>
      <c r="G159"/>
      <c r="H159"/>
      <c r="I159"/>
      <c r="J159"/>
    </row>
    <row r="160" spans="1:10" ht="14.4" x14ac:dyDescent="0.3">
      <c r="A160"/>
      <c r="B160"/>
      <c r="C160"/>
      <c r="D160"/>
      <c r="E160"/>
      <c r="F160"/>
      <c r="G160"/>
      <c r="H160"/>
      <c r="I160"/>
      <c r="J160"/>
    </row>
    <row r="161" spans="1:10" ht="14.4" x14ac:dyDescent="0.3">
      <c r="A161"/>
      <c r="B161"/>
      <c r="C161"/>
      <c r="D161"/>
      <c r="E161"/>
      <c r="F161"/>
      <c r="G161"/>
      <c r="H161"/>
      <c r="I161"/>
      <c r="J161"/>
    </row>
    <row r="162" spans="1:10" ht="14.4" x14ac:dyDescent="0.3">
      <c r="A162"/>
      <c r="B162"/>
      <c r="C162"/>
      <c r="D162"/>
      <c r="E162"/>
      <c r="F162"/>
      <c r="G162"/>
      <c r="H162"/>
      <c r="I162"/>
      <c r="J162"/>
    </row>
    <row r="163" spans="1:10" ht="14.4" x14ac:dyDescent="0.3">
      <c r="A163"/>
      <c r="B163"/>
      <c r="C163"/>
      <c r="D163"/>
      <c r="E163"/>
      <c r="F163"/>
      <c r="G163"/>
      <c r="H163"/>
      <c r="I163"/>
      <c r="J163"/>
    </row>
    <row r="164" spans="1:10" ht="14.4" x14ac:dyDescent="0.3">
      <c r="A164"/>
      <c r="B164"/>
      <c r="C164"/>
      <c r="D164"/>
      <c r="E164"/>
      <c r="F164"/>
      <c r="G164"/>
      <c r="H164"/>
      <c r="I164"/>
      <c r="J164"/>
    </row>
    <row r="165" spans="1:10" ht="14.4" x14ac:dyDescent="0.3">
      <c r="A165"/>
      <c r="B165"/>
      <c r="C165"/>
      <c r="D165"/>
      <c r="E165"/>
      <c r="F165"/>
      <c r="G165"/>
      <c r="H165"/>
      <c r="I165"/>
      <c r="J165"/>
    </row>
    <row r="166" spans="1:10" ht="14.4" x14ac:dyDescent="0.3">
      <c r="A166"/>
      <c r="B166"/>
      <c r="C166"/>
      <c r="D166"/>
      <c r="E166"/>
      <c r="F166"/>
      <c r="G166"/>
      <c r="H166"/>
      <c r="I166"/>
      <c r="J166"/>
    </row>
    <row r="167" spans="1:10" ht="14.4" x14ac:dyDescent="0.3">
      <c r="A167"/>
      <c r="B167"/>
      <c r="C167"/>
      <c r="D167"/>
      <c r="E167"/>
      <c r="F167"/>
      <c r="G167"/>
      <c r="H167"/>
      <c r="I167"/>
      <c r="J167"/>
    </row>
    <row r="168" spans="1:10" ht="14.4" x14ac:dyDescent="0.3">
      <c r="A168"/>
      <c r="B168"/>
      <c r="C168"/>
      <c r="D168"/>
      <c r="E168"/>
      <c r="F168"/>
      <c r="G168"/>
      <c r="H168"/>
      <c r="I168"/>
      <c r="J168"/>
    </row>
    <row r="169" spans="1:10" ht="14.4" x14ac:dyDescent="0.3">
      <c r="A169"/>
      <c r="B169"/>
      <c r="C169"/>
      <c r="D169"/>
      <c r="E169"/>
      <c r="F169"/>
      <c r="G169"/>
      <c r="H169"/>
      <c r="I169"/>
      <c r="J169"/>
    </row>
    <row r="170" spans="1:10" ht="14.4" x14ac:dyDescent="0.3">
      <c r="A170"/>
      <c r="B170"/>
      <c r="C170"/>
      <c r="D170"/>
      <c r="E170"/>
      <c r="F170"/>
      <c r="G170"/>
      <c r="H170"/>
      <c r="I170"/>
      <c r="J170"/>
    </row>
    <row r="171" spans="1:10" ht="14.4" x14ac:dyDescent="0.3">
      <c r="A171"/>
      <c r="B171"/>
      <c r="C171"/>
      <c r="D171"/>
      <c r="E171"/>
      <c r="F171"/>
      <c r="G171"/>
      <c r="H171"/>
      <c r="I171"/>
      <c r="J171"/>
    </row>
    <row r="172" spans="1:10" ht="14.4" x14ac:dyDescent="0.3">
      <c r="A172"/>
      <c r="B172"/>
      <c r="C172"/>
      <c r="D172"/>
      <c r="E172"/>
      <c r="F172"/>
      <c r="G172"/>
      <c r="H172"/>
      <c r="I172"/>
      <c r="J172"/>
    </row>
    <row r="173" spans="1:10" ht="14.4" x14ac:dyDescent="0.3">
      <c r="A173"/>
      <c r="B173"/>
      <c r="C173"/>
      <c r="D173"/>
      <c r="E173"/>
      <c r="F173"/>
      <c r="G173"/>
      <c r="H173"/>
      <c r="I173"/>
      <c r="J173"/>
    </row>
    <row r="174" spans="1:10" ht="14.4" x14ac:dyDescent="0.3">
      <c r="A174"/>
      <c r="B174"/>
      <c r="C174"/>
      <c r="D174"/>
      <c r="E174"/>
      <c r="F174"/>
      <c r="G174"/>
      <c r="H174"/>
      <c r="I174"/>
      <c r="J174"/>
    </row>
    <row r="175" spans="1:10" ht="14.4" x14ac:dyDescent="0.3">
      <c r="A175"/>
      <c r="B175"/>
      <c r="C175"/>
      <c r="D175"/>
      <c r="E175"/>
      <c r="F175"/>
      <c r="G175"/>
      <c r="H175"/>
      <c r="I175"/>
      <c r="J175"/>
    </row>
    <row r="176" spans="1:10" ht="14.4" x14ac:dyDescent="0.3">
      <c r="A176"/>
      <c r="B176"/>
      <c r="C176"/>
      <c r="D176"/>
      <c r="E176"/>
      <c r="F176"/>
      <c r="G176"/>
      <c r="H176"/>
      <c r="I176"/>
      <c r="J176"/>
    </row>
    <row r="177" spans="1:10" ht="14.4" x14ac:dyDescent="0.3">
      <c r="A177"/>
      <c r="B177"/>
      <c r="C177"/>
      <c r="D177"/>
      <c r="E177"/>
      <c r="F177"/>
      <c r="G177"/>
      <c r="H177"/>
      <c r="I177"/>
      <c r="J177"/>
    </row>
    <row r="178" spans="1:10" ht="14.4" x14ac:dyDescent="0.3">
      <c r="A178"/>
      <c r="B178"/>
      <c r="C178"/>
      <c r="D178"/>
      <c r="E178"/>
      <c r="F178"/>
      <c r="G178"/>
      <c r="H178"/>
      <c r="I178"/>
      <c r="J178"/>
    </row>
    <row r="179" spans="1:10" ht="14.4" x14ac:dyDescent="0.3">
      <c r="A179"/>
      <c r="B179"/>
      <c r="C179"/>
      <c r="D179"/>
      <c r="E179"/>
      <c r="F179"/>
      <c r="G179"/>
      <c r="H179"/>
      <c r="I179"/>
      <c r="J179"/>
    </row>
    <row r="180" spans="1:10" ht="14.4" x14ac:dyDescent="0.3">
      <c r="A180"/>
      <c r="B180"/>
      <c r="C180"/>
      <c r="D180"/>
      <c r="E180"/>
      <c r="F180"/>
      <c r="G180"/>
      <c r="H180"/>
      <c r="I180"/>
      <c r="J180"/>
    </row>
    <row r="181" spans="1:10" ht="14.4" x14ac:dyDescent="0.3">
      <c r="A181"/>
      <c r="B181"/>
      <c r="C181"/>
      <c r="D181"/>
      <c r="E181"/>
      <c r="F181"/>
      <c r="G181"/>
      <c r="H181"/>
      <c r="I181"/>
      <c r="J181"/>
    </row>
    <row r="182" spans="1:10" ht="14.4" x14ac:dyDescent="0.3">
      <c r="A182"/>
      <c r="B182"/>
      <c r="C182"/>
      <c r="D182"/>
      <c r="E182"/>
      <c r="F182"/>
      <c r="G182"/>
      <c r="H182"/>
      <c r="I182"/>
      <c r="J182"/>
    </row>
    <row r="183" spans="1:10" ht="14.4" x14ac:dyDescent="0.3">
      <c r="A183"/>
      <c r="B183"/>
      <c r="C183"/>
      <c r="D183"/>
      <c r="E183"/>
      <c r="F183"/>
      <c r="G183"/>
      <c r="H183"/>
      <c r="I183"/>
      <c r="J183"/>
    </row>
    <row r="184" spans="1:10" ht="14.4" x14ac:dyDescent="0.3">
      <c r="A184"/>
      <c r="B184"/>
      <c r="C184"/>
      <c r="D184"/>
      <c r="E184"/>
      <c r="F184"/>
      <c r="G184"/>
      <c r="H184"/>
      <c r="I184"/>
      <c r="J184"/>
    </row>
    <row r="185" spans="1:10" ht="14.4" x14ac:dyDescent="0.3">
      <c r="A185"/>
      <c r="B185"/>
      <c r="C185"/>
      <c r="D185"/>
      <c r="E185"/>
      <c r="F185"/>
      <c r="G185"/>
      <c r="H185"/>
      <c r="I185"/>
      <c r="J185"/>
    </row>
    <row r="186" spans="1:10" ht="14.4" x14ac:dyDescent="0.3">
      <c r="A186"/>
      <c r="B186"/>
      <c r="C186"/>
      <c r="D186"/>
      <c r="E186"/>
      <c r="F186"/>
      <c r="G186"/>
      <c r="H186"/>
      <c r="I186"/>
      <c r="J186"/>
    </row>
    <row r="187" spans="1:10" ht="14.4" x14ac:dyDescent="0.3">
      <c r="A187"/>
      <c r="B187"/>
      <c r="C187"/>
      <c r="D187"/>
      <c r="E187"/>
      <c r="F187"/>
      <c r="G187"/>
      <c r="H187"/>
      <c r="I187"/>
      <c r="J187"/>
    </row>
    <row r="188" spans="1:10" ht="14.4" x14ac:dyDescent="0.3">
      <c r="A188"/>
      <c r="B188"/>
      <c r="C188"/>
      <c r="D188"/>
      <c r="E188"/>
      <c r="F188"/>
      <c r="G188"/>
      <c r="H188"/>
      <c r="I188"/>
      <c r="J188"/>
    </row>
    <row r="189" spans="1:10" ht="14.4" x14ac:dyDescent="0.3">
      <c r="A189"/>
      <c r="B189"/>
      <c r="C189"/>
      <c r="D189"/>
      <c r="E189"/>
      <c r="F189"/>
      <c r="G189"/>
      <c r="H189"/>
      <c r="I189"/>
      <c r="J189"/>
    </row>
    <row r="190" spans="1:10" ht="14.4" x14ac:dyDescent="0.3">
      <c r="A190"/>
      <c r="B190"/>
      <c r="C190"/>
      <c r="D190"/>
      <c r="E190"/>
      <c r="F190"/>
      <c r="G190"/>
      <c r="H190"/>
      <c r="I190"/>
      <c r="J190"/>
    </row>
    <row r="191" spans="1:10" ht="14.4" x14ac:dyDescent="0.3">
      <c r="A191"/>
      <c r="B191"/>
      <c r="C191"/>
      <c r="D191"/>
      <c r="E191"/>
      <c r="F191"/>
      <c r="G191"/>
      <c r="H191"/>
      <c r="I191"/>
      <c r="J191"/>
    </row>
    <row r="192" spans="1:10" ht="14.4" x14ac:dyDescent="0.3">
      <c r="A192"/>
      <c r="B192"/>
      <c r="C192"/>
      <c r="D192"/>
      <c r="E192"/>
      <c r="F192"/>
      <c r="G192"/>
      <c r="H192"/>
      <c r="I192"/>
      <c r="J192"/>
    </row>
    <row r="193" spans="1:10" ht="14.4" x14ac:dyDescent="0.3">
      <c r="A193"/>
      <c r="B193"/>
      <c r="C193"/>
      <c r="D193"/>
      <c r="E193"/>
      <c r="F193"/>
      <c r="G193"/>
      <c r="H193"/>
      <c r="I193"/>
      <c r="J193"/>
    </row>
    <row r="194" spans="1:10" ht="14.4" x14ac:dyDescent="0.3">
      <c r="A194"/>
      <c r="B194"/>
      <c r="C194"/>
      <c r="D194"/>
      <c r="E194"/>
      <c r="F194"/>
      <c r="G194"/>
      <c r="H194"/>
      <c r="I194"/>
      <c r="J194"/>
    </row>
    <row r="195" spans="1:10" ht="14.4" x14ac:dyDescent="0.3">
      <c r="A195"/>
      <c r="B195"/>
      <c r="C195"/>
      <c r="D195"/>
      <c r="E195"/>
      <c r="F195"/>
      <c r="G195"/>
      <c r="H195"/>
      <c r="I195"/>
      <c r="J195"/>
    </row>
    <row r="196" spans="1:10" ht="14.4" x14ac:dyDescent="0.3">
      <c r="A196"/>
      <c r="B196"/>
      <c r="C196"/>
      <c r="D196"/>
      <c r="E196"/>
      <c r="F196"/>
      <c r="G196"/>
      <c r="H196"/>
      <c r="I196"/>
      <c r="J196"/>
    </row>
    <row r="197" spans="1:10" ht="14.4" x14ac:dyDescent="0.3">
      <c r="A197"/>
      <c r="B197"/>
      <c r="C197"/>
      <c r="D197"/>
      <c r="E197"/>
      <c r="F197"/>
      <c r="G197"/>
      <c r="H197"/>
      <c r="I197"/>
      <c r="J197"/>
    </row>
    <row r="198" spans="1:10" ht="14.4" x14ac:dyDescent="0.3">
      <c r="A198"/>
      <c r="B198"/>
      <c r="C198"/>
      <c r="D198"/>
      <c r="E198"/>
      <c r="F198"/>
      <c r="G198"/>
      <c r="H198"/>
      <c r="I198"/>
      <c r="J198"/>
    </row>
    <row r="199" spans="1:10" ht="14.4" x14ac:dyDescent="0.3">
      <c r="A199"/>
      <c r="B199"/>
      <c r="C199"/>
      <c r="D199"/>
      <c r="E199"/>
      <c r="F199"/>
      <c r="G199"/>
      <c r="H199"/>
      <c r="I199"/>
      <c r="J199"/>
    </row>
    <row r="200" spans="1:10" ht="14.4" x14ac:dyDescent="0.3">
      <c r="A200"/>
      <c r="B200"/>
      <c r="C200"/>
      <c r="D200"/>
      <c r="E200"/>
      <c r="F200"/>
      <c r="G200"/>
      <c r="H200"/>
      <c r="I200"/>
      <c r="J200"/>
    </row>
    <row r="201" spans="1:10" ht="14.4" x14ac:dyDescent="0.3">
      <c r="A201"/>
      <c r="B201"/>
      <c r="C201"/>
      <c r="D201"/>
      <c r="E201"/>
      <c r="F201"/>
      <c r="G201"/>
      <c r="H201"/>
      <c r="I201"/>
      <c r="J201"/>
    </row>
    <row r="202" spans="1:10" ht="14.4" x14ac:dyDescent="0.3">
      <c r="A202"/>
      <c r="B202"/>
      <c r="C202"/>
      <c r="D202"/>
      <c r="E202"/>
      <c r="F202"/>
      <c r="G202"/>
      <c r="H202"/>
      <c r="I202"/>
      <c r="J202"/>
    </row>
    <row r="203" spans="1:10" ht="14.4" x14ac:dyDescent="0.3">
      <c r="A203"/>
      <c r="B203"/>
      <c r="C203"/>
      <c r="D203"/>
      <c r="E203"/>
      <c r="F203"/>
      <c r="G203"/>
      <c r="H203"/>
      <c r="I203"/>
      <c r="J203"/>
    </row>
    <row r="204" spans="1:10" ht="14.4" x14ac:dyDescent="0.3">
      <c r="A204"/>
      <c r="B204"/>
      <c r="C204"/>
      <c r="D204"/>
      <c r="E204"/>
      <c r="F204"/>
      <c r="G204"/>
      <c r="H204"/>
      <c r="I204"/>
      <c r="J204"/>
    </row>
    <row r="205" spans="1:10" ht="14.4" x14ac:dyDescent="0.3">
      <c r="A205"/>
      <c r="B205"/>
      <c r="C205"/>
      <c r="D205"/>
      <c r="E205"/>
      <c r="F205"/>
      <c r="G205"/>
      <c r="H205"/>
      <c r="I205"/>
      <c r="J205"/>
    </row>
    <row r="206" spans="1:10" ht="14.4" x14ac:dyDescent="0.3">
      <c r="A206"/>
      <c r="B206"/>
      <c r="C206"/>
      <c r="D206"/>
      <c r="E206"/>
      <c r="F206"/>
      <c r="G206"/>
      <c r="H206"/>
      <c r="I206"/>
      <c r="J206"/>
    </row>
    <row r="207" spans="1:10" ht="14.4" x14ac:dyDescent="0.3">
      <c r="A207"/>
      <c r="B207"/>
      <c r="C207"/>
      <c r="D207"/>
      <c r="E207"/>
      <c r="F207"/>
      <c r="G207"/>
      <c r="H207"/>
      <c r="I207"/>
      <c r="J207"/>
    </row>
    <row r="208" spans="1:10" ht="14.4" x14ac:dyDescent="0.3">
      <c r="A208"/>
      <c r="B208"/>
      <c r="C208"/>
      <c r="D208"/>
      <c r="E208"/>
      <c r="F208"/>
      <c r="G208"/>
      <c r="H208"/>
      <c r="I208"/>
      <c r="J208"/>
    </row>
    <row r="209" spans="1:10" ht="14.4" x14ac:dyDescent="0.3">
      <c r="A209"/>
      <c r="B209"/>
      <c r="C209"/>
      <c r="D209"/>
      <c r="E209"/>
      <c r="F209"/>
      <c r="G209"/>
      <c r="H209"/>
      <c r="I209"/>
      <c r="J209"/>
    </row>
    <row r="210" spans="1:10" ht="14.4" x14ac:dyDescent="0.3">
      <c r="A210"/>
      <c r="B210"/>
      <c r="C210"/>
      <c r="D210"/>
      <c r="E210"/>
      <c r="F210"/>
      <c r="G210"/>
      <c r="H210"/>
      <c r="I210"/>
      <c r="J210"/>
    </row>
    <row r="211" spans="1:10" ht="14.4" x14ac:dyDescent="0.3">
      <c r="A211"/>
      <c r="B211"/>
      <c r="C211"/>
      <c r="D211"/>
      <c r="E211"/>
      <c r="F211"/>
      <c r="G211"/>
      <c r="H211"/>
      <c r="I211"/>
      <c r="J211"/>
    </row>
    <row r="212" spans="1:10" ht="14.4" x14ac:dyDescent="0.3">
      <c r="A212"/>
      <c r="B212"/>
      <c r="C212"/>
      <c r="D212"/>
      <c r="E212"/>
      <c r="F212"/>
      <c r="G212"/>
      <c r="H212"/>
      <c r="I212"/>
      <c r="J212"/>
    </row>
    <row r="213" spans="1:10" ht="14.4" x14ac:dyDescent="0.3">
      <c r="A213"/>
      <c r="B213"/>
      <c r="C213"/>
      <c r="D213"/>
      <c r="E213"/>
      <c r="F213"/>
      <c r="G213"/>
      <c r="H213"/>
      <c r="I213"/>
      <c r="J213"/>
    </row>
    <row r="214" spans="1:10" ht="14.4" x14ac:dyDescent="0.3">
      <c r="A214"/>
      <c r="B214"/>
      <c r="C214"/>
      <c r="D214"/>
      <c r="E214"/>
      <c r="F214"/>
      <c r="G214"/>
      <c r="H214"/>
      <c r="I214"/>
      <c r="J214"/>
    </row>
    <row r="215" spans="1:10" ht="14.4" x14ac:dyDescent="0.3">
      <c r="A215"/>
      <c r="B215"/>
      <c r="C215"/>
      <c r="D215"/>
      <c r="E215"/>
      <c r="F215"/>
      <c r="G215"/>
      <c r="H215"/>
      <c r="I215"/>
      <c r="J215"/>
    </row>
    <row r="216" spans="1:10" ht="14.4" x14ac:dyDescent="0.3">
      <c r="A216"/>
      <c r="B216"/>
      <c r="C216"/>
      <c r="D216"/>
      <c r="E216"/>
      <c r="F216"/>
      <c r="G216"/>
      <c r="H216"/>
      <c r="I216"/>
      <c r="J216"/>
    </row>
    <row r="217" spans="1:10" ht="14.4" x14ac:dyDescent="0.3">
      <c r="A217"/>
      <c r="B217"/>
      <c r="C217"/>
      <c r="D217"/>
      <c r="E217"/>
      <c r="F217"/>
      <c r="G217"/>
      <c r="H217"/>
      <c r="I217"/>
      <c r="J217"/>
    </row>
    <row r="218" spans="1:10" ht="14.4" x14ac:dyDescent="0.3">
      <c r="A218"/>
      <c r="B218"/>
      <c r="C218"/>
      <c r="D218"/>
      <c r="E218"/>
      <c r="F218"/>
      <c r="G218"/>
      <c r="H218"/>
      <c r="I218"/>
      <c r="J218"/>
    </row>
    <row r="219" spans="1:10" ht="14.4" x14ac:dyDescent="0.3">
      <c r="A219"/>
      <c r="B219"/>
      <c r="C219"/>
      <c r="D219"/>
      <c r="E219"/>
      <c r="F219"/>
      <c r="G219"/>
      <c r="H219"/>
      <c r="I219"/>
      <c r="J219"/>
    </row>
    <row r="220" spans="1:10" ht="14.4" x14ac:dyDescent="0.3">
      <c r="A220"/>
      <c r="B220"/>
      <c r="C220"/>
      <c r="D220"/>
      <c r="E220"/>
      <c r="F220"/>
      <c r="G220"/>
      <c r="H220"/>
      <c r="I220"/>
      <c r="J220"/>
    </row>
    <row r="221" spans="1:10" ht="14.4" x14ac:dyDescent="0.3">
      <c r="A221"/>
      <c r="B221"/>
      <c r="C221"/>
      <c r="D221"/>
      <c r="E221"/>
      <c r="F221"/>
      <c r="G221"/>
      <c r="H221"/>
      <c r="I221"/>
      <c r="J221"/>
    </row>
    <row r="222" spans="1:10" ht="14.4" x14ac:dyDescent="0.3">
      <c r="A222"/>
      <c r="B222"/>
      <c r="C222"/>
      <c r="D222"/>
      <c r="E222"/>
      <c r="F222"/>
      <c r="G222"/>
      <c r="H222"/>
      <c r="I222"/>
      <c r="J222"/>
    </row>
    <row r="223" spans="1:10" ht="14.4" x14ac:dyDescent="0.3">
      <c r="A223"/>
      <c r="B223"/>
      <c r="C223"/>
      <c r="D223"/>
      <c r="E223"/>
      <c r="F223"/>
      <c r="G223"/>
      <c r="H223"/>
      <c r="I223"/>
      <c r="J223"/>
    </row>
    <row r="224" spans="1:10" ht="14.4" x14ac:dyDescent="0.3">
      <c r="A224"/>
      <c r="B224"/>
      <c r="C224"/>
      <c r="D224"/>
      <c r="E224"/>
      <c r="F224"/>
      <c r="G224"/>
      <c r="H224"/>
      <c r="I224"/>
      <c r="J224"/>
    </row>
    <row r="225" spans="1:10" ht="14.4" x14ac:dyDescent="0.3">
      <c r="A225"/>
      <c r="B225"/>
      <c r="C225"/>
      <c r="D225"/>
      <c r="E225"/>
      <c r="F225"/>
      <c r="G225"/>
      <c r="H225"/>
      <c r="I225"/>
      <c r="J225"/>
    </row>
    <row r="226" spans="1:10" ht="14.4" x14ac:dyDescent="0.3">
      <c r="A226"/>
      <c r="B226"/>
      <c r="C226"/>
      <c r="D226"/>
      <c r="E226"/>
      <c r="F226"/>
      <c r="G226"/>
      <c r="H226"/>
      <c r="I226"/>
      <c r="J226"/>
    </row>
    <row r="227" spans="1:10" ht="14.4" x14ac:dyDescent="0.3">
      <c r="A227"/>
      <c r="B227"/>
      <c r="C227"/>
      <c r="D227"/>
      <c r="E227"/>
      <c r="F227"/>
      <c r="G227"/>
      <c r="H227"/>
      <c r="I227"/>
      <c r="J227"/>
    </row>
    <row r="228" spans="1:10" ht="14.4" x14ac:dyDescent="0.3">
      <c r="A228"/>
      <c r="B228"/>
      <c r="C228"/>
      <c r="D228"/>
      <c r="E228"/>
      <c r="F228"/>
      <c r="G228"/>
      <c r="H228"/>
      <c r="I228"/>
      <c r="J228"/>
    </row>
    <row r="229" spans="1:10" ht="14.4" x14ac:dyDescent="0.3">
      <c r="A229"/>
      <c r="B229"/>
      <c r="C229"/>
      <c r="D229"/>
      <c r="E229"/>
      <c r="F229"/>
      <c r="G229"/>
      <c r="H229"/>
      <c r="I229"/>
      <c r="J229"/>
    </row>
    <row r="230" spans="1:10" ht="14.4" x14ac:dyDescent="0.3">
      <c r="A230"/>
      <c r="B230"/>
      <c r="C230"/>
      <c r="D230"/>
      <c r="E230"/>
      <c r="F230"/>
      <c r="G230"/>
      <c r="H230"/>
      <c r="I230"/>
      <c r="J230"/>
    </row>
    <row r="231" spans="1:10" ht="14.4" x14ac:dyDescent="0.3">
      <c r="A231"/>
      <c r="B231"/>
      <c r="C231"/>
      <c r="D231"/>
      <c r="E231"/>
      <c r="F231"/>
      <c r="G231"/>
      <c r="H231"/>
      <c r="I231"/>
      <c r="J231"/>
    </row>
    <row r="232" spans="1:10" ht="14.4" x14ac:dyDescent="0.3">
      <c r="A232"/>
      <c r="B232"/>
      <c r="C232"/>
      <c r="D232"/>
      <c r="E232"/>
      <c r="F232"/>
      <c r="G232"/>
      <c r="H232"/>
      <c r="I232"/>
      <c r="J232"/>
    </row>
    <row r="233" spans="1:10" ht="14.4" x14ac:dyDescent="0.3">
      <c r="A233"/>
      <c r="B233"/>
      <c r="C233"/>
      <c r="D233"/>
      <c r="E233"/>
      <c r="F233"/>
      <c r="G233"/>
      <c r="H233"/>
      <c r="I233"/>
      <c r="J233"/>
    </row>
    <row r="234" spans="1:10" ht="14.4" x14ac:dyDescent="0.3">
      <c r="A234"/>
      <c r="B234"/>
      <c r="C234"/>
      <c r="D234"/>
      <c r="E234"/>
      <c r="F234"/>
      <c r="G234"/>
      <c r="H234"/>
      <c r="I234"/>
      <c r="J234"/>
    </row>
    <row r="235" spans="1:10" ht="14.4" x14ac:dyDescent="0.3">
      <c r="A235"/>
      <c r="B235"/>
      <c r="C235"/>
      <c r="D235"/>
      <c r="E235"/>
      <c r="F235"/>
      <c r="G235"/>
      <c r="H235"/>
      <c r="I235"/>
      <c r="J235"/>
    </row>
    <row r="236" spans="1:10" ht="14.4" x14ac:dyDescent="0.3">
      <c r="A236"/>
      <c r="B236"/>
      <c r="C236"/>
      <c r="D236"/>
      <c r="E236"/>
      <c r="F236"/>
      <c r="G236"/>
      <c r="H236"/>
      <c r="I236"/>
      <c r="J236"/>
    </row>
    <row r="237" spans="1:10" ht="14.4" x14ac:dyDescent="0.3">
      <c r="A237"/>
      <c r="B237"/>
      <c r="C237"/>
      <c r="D237"/>
      <c r="E237"/>
      <c r="F237"/>
      <c r="G237"/>
      <c r="H237"/>
      <c r="I237"/>
      <c r="J237"/>
    </row>
    <row r="238" spans="1:10" ht="14.4" x14ac:dyDescent="0.3">
      <c r="A238"/>
      <c r="B238"/>
      <c r="C238"/>
      <c r="D238"/>
      <c r="E238"/>
      <c r="F238"/>
      <c r="G238"/>
      <c r="H238"/>
      <c r="I238"/>
      <c r="J238"/>
    </row>
    <row r="239" spans="1:10" ht="14.4" x14ac:dyDescent="0.3">
      <c r="A239"/>
      <c r="B239"/>
      <c r="C239"/>
      <c r="D239"/>
      <c r="E239"/>
      <c r="F239"/>
      <c r="G239"/>
      <c r="H239"/>
      <c r="I239"/>
      <c r="J239"/>
    </row>
    <row r="240" spans="1:10" ht="14.4" x14ac:dyDescent="0.3">
      <c r="A240"/>
      <c r="B240"/>
      <c r="C240"/>
      <c r="D240"/>
      <c r="E240"/>
      <c r="F240"/>
      <c r="G240"/>
      <c r="H240"/>
      <c r="I240"/>
      <c r="J240"/>
    </row>
    <row r="241" spans="1:10" ht="14.4" x14ac:dyDescent="0.3">
      <c r="A241"/>
      <c r="B241"/>
      <c r="C241"/>
      <c r="D241"/>
      <c r="E241"/>
      <c r="F241"/>
      <c r="G241"/>
      <c r="H241"/>
      <c r="I241"/>
      <c r="J241"/>
    </row>
    <row r="242" spans="1:10" ht="14.4" x14ac:dyDescent="0.3">
      <c r="A242"/>
      <c r="B242"/>
      <c r="C242"/>
      <c r="D242"/>
      <c r="E242"/>
      <c r="F242"/>
      <c r="G242"/>
      <c r="H242"/>
      <c r="I242"/>
      <c r="J242"/>
    </row>
    <row r="243" spans="1:10" ht="14.4" x14ac:dyDescent="0.3">
      <c r="A243"/>
      <c r="B243"/>
      <c r="C243"/>
      <c r="D243"/>
      <c r="E243"/>
      <c r="F243"/>
      <c r="G243"/>
      <c r="H243"/>
      <c r="I243"/>
      <c r="J243"/>
    </row>
    <row r="244" spans="1:10" ht="14.4" x14ac:dyDescent="0.3">
      <c r="A244"/>
      <c r="B244"/>
      <c r="C244"/>
      <c r="D244"/>
      <c r="E244"/>
      <c r="F244"/>
      <c r="G244"/>
      <c r="H244"/>
      <c r="I244"/>
      <c r="J244"/>
    </row>
    <row r="245" spans="1:10" ht="14.4" x14ac:dyDescent="0.3">
      <c r="A245"/>
      <c r="B245"/>
      <c r="C245"/>
      <c r="D245"/>
      <c r="E245"/>
      <c r="F245"/>
      <c r="G245"/>
      <c r="H245"/>
      <c r="I245"/>
      <c r="J245"/>
    </row>
    <row r="246" spans="1:10" ht="14.4" x14ac:dyDescent="0.3">
      <c r="A246"/>
      <c r="B246"/>
      <c r="C246"/>
      <c r="D246"/>
      <c r="E246"/>
      <c r="F246"/>
      <c r="G246"/>
      <c r="H246"/>
      <c r="I246"/>
      <c r="J246"/>
    </row>
    <row r="247" spans="1:10" ht="14.4" x14ac:dyDescent="0.3">
      <c r="A247"/>
      <c r="B247"/>
      <c r="C247"/>
      <c r="D247"/>
      <c r="E247"/>
      <c r="F247"/>
      <c r="G247"/>
      <c r="H247"/>
      <c r="I247"/>
      <c r="J247"/>
    </row>
    <row r="248" spans="1:10" ht="14.4" x14ac:dyDescent="0.3">
      <c r="A248"/>
      <c r="B248"/>
      <c r="C248"/>
      <c r="D248"/>
      <c r="E248"/>
      <c r="F248"/>
      <c r="G248"/>
      <c r="H248"/>
      <c r="I248"/>
      <c r="J248"/>
    </row>
    <row r="249" spans="1:10" ht="14.4" x14ac:dyDescent="0.3">
      <c r="A249"/>
      <c r="B249"/>
      <c r="C249"/>
      <c r="D249"/>
      <c r="E249"/>
      <c r="F249"/>
      <c r="G249"/>
      <c r="H249"/>
      <c r="I249"/>
      <c r="J249"/>
    </row>
    <row r="250" spans="1:10" ht="14.4" x14ac:dyDescent="0.3">
      <c r="A250"/>
      <c r="B250"/>
      <c r="C250"/>
      <c r="D250"/>
      <c r="E250"/>
      <c r="F250"/>
      <c r="G250"/>
      <c r="H250"/>
      <c r="I250"/>
      <c r="J250"/>
    </row>
    <row r="251" spans="1:10" ht="14.4" x14ac:dyDescent="0.3">
      <c r="A251"/>
      <c r="B251"/>
      <c r="C251"/>
      <c r="D251"/>
      <c r="E251"/>
      <c r="F251"/>
      <c r="G251"/>
      <c r="H251"/>
      <c r="I251"/>
      <c r="J251"/>
    </row>
    <row r="252" spans="1:10" ht="14.4" x14ac:dyDescent="0.3">
      <c r="A252"/>
      <c r="B252"/>
      <c r="C252"/>
      <c r="D252"/>
      <c r="E252"/>
      <c r="F252"/>
      <c r="G252"/>
      <c r="H252"/>
      <c r="I252"/>
      <c r="J252"/>
    </row>
    <row r="253" spans="1:10" ht="14.4" x14ac:dyDescent="0.3">
      <c r="A253"/>
      <c r="B253"/>
      <c r="C253"/>
      <c r="D253"/>
      <c r="E253"/>
      <c r="F253"/>
      <c r="G253"/>
      <c r="H253"/>
      <c r="I253"/>
      <c r="J253"/>
    </row>
    <row r="254" spans="1:10" ht="14.4" x14ac:dyDescent="0.3">
      <c r="A254"/>
      <c r="B254"/>
      <c r="C254"/>
      <c r="D254"/>
      <c r="E254"/>
      <c r="F254"/>
      <c r="G254"/>
      <c r="H254"/>
      <c r="I254"/>
      <c r="J254"/>
    </row>
    <row r="255" spans="1:10" ht="14.4" x14ac:dyDescent="0.3">
      <c r="A255"/>
      <c r="B255"/>
      <c r="C255"/>
      <c r="D255"/>
      <c r="E255"/>
      <c r="F255"/>
      <c r="G255"/>
      <c r="H255"/>
      <c r="I255"/>
      <c r="J255"/>
    </row>
    <row r="256" spans="1:10" ht="14.4" x14ac:dyDescent="0.3">
      <c r="A256"/>
      <c r="B256"/>
      <c r="C256"/>
      <c r="D256"/>
      <c r="E256"/>
      <c r="F256"/>
      <c r="G256"/>
      <c r="H256"/>
      <c r="I256"/>
      <c r="J256"/>
    </row>
    <row r="257" spans="1:10" ht="14.4" x14ac:dyDescent="0.3">
      <c r="A257"/>
      <c r="B257"/>
      <c r="C257"/>
      <c r="D257"/>
      <c r="E257"/>
      <c r="F257"/>
      <c r="G257"/>
      <c r="H257"/>
      <c r="I257"/>
      <c r="J257"/>
    </row>
    <row r="258" spans="1:10" ht="14.4" x14ac:dyDescent="0.3">
      <c r="A258"/>
      <c r="B258"/>
      <c r="C258"/>
      <c r="D258"/>
      <c r="E258"/>
      <c r="F258"/>
      <c r="G258"/>
      <c r="H258"/>
      <c r="I258"/>
      <c r="J258"/>
    </row>
    <row r="259" spans="1:10" ht="14.4" x14ac:dyDescent="0.3">
      <c r="A259"/>
      <c r="B259"/>
      <c r="C259"/>
      <c r="D259"/>
      <c r="E259"/>
      <c r="F259"/>
      <c r="G259"/>
      <c r="H259"/>
      <c r="I259"/>
      <c r="J259"/>
    </row>
    <row r="260" spans="1:10" ht="14.4" x14ac:dyDescent="0.3">
      <c r="A260"/>
      <c r="B260"/>
      <c r="C260"/>
      <c r="D260"/>
      <c r="E260"/>
      <c r="F260"/>
      <c r="G260"/>
      <c r="H260"/>
      <c r="I260"/>
      <c r="J260"/>
    </row>
    <row r="261" spans="1:10" ht="14.4" x14ac:dyDescent="0.3">
      <c r="A261"/>
      <c r="B261"/>
      <c r="C261"/>
      <c r="D261"/>
      <c r="E261"/>
      <c r="F261"/>
      <c r="G261"/>
      <c r="H261"/>
      <c r="I261"/>
      <c r="J261"/>
    </row>
    <row r="262" spans="1:10" ht="14.4" x14ac:dyDescent="0.3">
      <c r="A262"/>
      <c r="B262"/>
      <c r="C262"/>
      <c r="D262"/>
      <c r="E262"/>
      <c r="F262"/>
      <c r="G262"/>
      <c r="H262"/>
      <c r="I262"/>
      <c r="J262"/>
    </row>
    <row r="263" spans="1:10" ht="14.4" x14ac:dyDescent="0.3">
      <c r="A263"/>
      <c r="B263"/>
      <c r="C263"/>
      <c r="D263"/>
      <c r="E263"/>
      <c r="F263"/>
      <c r="G263"/>
      <c r="H263"/>
      <c r="I263"/>
      <c r="J263"/>
    </row>
    <row r="264" spans="1:10" ht="14.4" x14ac:dyDescent="0.3">
      <c r="A264"/>
      <c r="B264"/>
      <c r="C264"/>
      <c r="D264"/>
      <c r="E264"/>
      <c r="F264"/>
      <c r="G264"/>
      <c r="H264"/>
      <c r="I264"/>
      <c r="J264"/>
    </row>
    <row r="265" spans="1:10" ht="14.4" x14ac:dyDescent="0.3">
      <c r="A265"/>
      <c r="B265"/>
      <c r="C265"/>
      <c r="D265"/>
      <c r="E265"/>
      <c r="F265"/>
      <c r="G265"/>
      <c r="H265"/>
      <c r="I265"/>
      <c r="J265"/>
    </row>
    <row r="266" spans="1:10" ht="14.4" x14ac:dyDescent="0.3">
      <c r="A266"/>
      <c r="B266"/>
      <c r="C266"/>
      <c r="D266"/>
      <c r="E266"/>
      <c r="F266"/>
      <c r="G266"/>
      <c r="H266"/>
      <c r="I266"/>
      <c r="J266"/>
    </row>
    <row r="267" spans="1:10" ht="14.4" x14ac:dyDescent="0.3">
      <c r="A267"/>
      <c r="B267"/>
      <c r="C267"/>
      <c r="D267"/>
      <c r="E267"/>
      <c r="F267"/>
      <c r="G267"/>
      <c r="H267"/>
      <c r="I267"/>
      <c r="J267"/>
    </row>
    <row r="268" spans="1:10" ht="14.4" x14ac:dyDescent="0.3">
      <c r="A268"/>
      <c r="B268"/>
      <c r="C268"/>
      <c r="D268"/>
      <c r="E268"/>
      <c r="F268"/>
      <c r="G268"/>
      <c r="H268"/>
      <c r="I268"/>
      <c r="J268"/>
    </row>
    <row r="269" spans="1:10" ht="14.4" x14ac:dyDescent="0.3">
      <c r="A269"/>
      <c r="B269"/>
      <c r="C269"/>
      <c r="D269"/>
      <c r="E269"/>
      <c r="F269"/>
      <c r="G269"/>
      <c r="H269"/>
      <c r="I269"/>
      <c r="J269"/>
    </row>
    <row r="270" spans="1:10" ht="14.4" x14ac:dyDescent="0.3">
      <c r="A270"/>
      <c r="B270"/>
      <c r="C270"/>
      <c r="D270"/>
      <c r="E270"/>
      <c r="F270"/>
      <c r="G270"/>
      <c r="H270"/>
      <c r="I270"/>
      <c r="J270"/>
    </row>
    <row r="271" spans="1:10" ht="14.4" x14ac:dyDescent="0.3">
      <c r="A271"/>
      <c r="B271"/>
      <c r="C271"/>
      <c r="D271"/>
      <c r="E271"/>
      <c r="F271"/>
      <c r="G271"/>
      <c r="H271"/>
      <c r="I271"/>
      <c r="J271"/>
    </row>
    <row r="272" spans="1:10" ht="14.4" x14ac:dyDescent="0.3">
      <c r="A272"/>
      <c r="B272"/>
      <c r="C272"/>
      <c r="D272"/>
      <c r="E272"/>
      <c r="F272"/>
      <c r="G272"/>
      <c r="H272"/>
      <c r="I272"/>
      <c r="J272"/>
    </row>
    <row r="273" spans="1:10" ht="14.4" x14ac:dyDescent="0.3">
      <c r="A273"/>
      <c r="B273"/>
      <c r="C273"/>
      <c r="D273"/>
      <c r="E273"/>
      <c r="F273"/>
      <c r="G273"/>
      <c r="H273"/>
      <c r="I273"/>
      <c r="J273"/>
    </row>
    <row r="274" spans="1:10" ht="14.4" x14ac:dyDescent="0.3">
      <c r="A274"/>
      <c r="B274"/>
      <c r="C274"/>
      <c r="D274"/>
      <c r="E274"/>
      <c r="F274"/>
      <c r="G274"/>
      <c r="H274"/>
      <c r="I274"/>
      <c r="J274"/>
    </row>
    <row r="275" spans="1:10" ht="14.4" x14ac:dyDescent="0.3">
      <c r="A275"/>
      <c r="B275"/>
      <c r="C275"/>
      <c r="D275"/>
      <c r="E275"/>
      <c r="F275"/>
      <c r="G275"/>
      <c r="H275"/>
      <c r="I275"/>
      <c r="J275"/>
    </row>
    <row r="276" spans="1:10" ht="14.4" x14ac:dyDescent="0.3">
      <c r="A276"/>
      <c r="B276"/>
      <c r="C276"/>
      <c r="D276"/>
      <c r="E276"/>
      <c r="F276"/>
      <c r="G276"/>
      <c r="H276"/>
      <c r="I276"/>
      <c r="J276"/>
    </row>
    <row r="277" spans="1:10" ht="14.4" x14ac:dyDescent="0.3">
      <c r="A277"/>
      <c r="B277"/>
      <c r="C277"/>
      <c r="D277"/>
      <c r="E277"/>
      <c r="F277"/>
      <c r="G277"/>
      <c r="H277"/>
      <c r="I277"/>
      <c r="J277"/>
    </row>
    <row r="278" spans="1:10" ht="14.4" x14ac:dyDescent="0.3">
      <c r="A278"/>
      <c r="B278"/>
      <c r="C278"/>
      <c r="D278"/>
      <c r="E278"/>
      <c r="F278"/>
      <c r="G278"/>
      <c r="H278"/>
      <c r="I278"/>
      <c r="J278"/>
    </row>
    <row r="279" spans="1:10" ht="14.4" x14ac:dyDescent="0.3">
      <c r="A279"/>
      <c r="B279"/>
      <c r="C279"/>
      <c r="D279"/>
      <c r="E279"/>
      <c r="F279"/>
      <c r="G279"/>
      <c r="H279"/>
      <c r="I279"/>
      <c r="J279"/>
    </row>
    <row r="280" spans="1:10" ht="14.4" x14ac:dyDescent="0.3">
      <c r="A280"/>
      <c r="B280"/>
      <c r="C280"/>
      <c r="D280"/>
      <c r="E280"/>
      <c r="F280"/>
      <c r="G280"/>
      <c r="H280"/>
      <c r="I280"/>
      <c r="J280"/>
    </row>
    <row r="281" spans="1:10" ht="14.4" x14ac:dyDescent="0.3">
      <c r="A281"/>
      <c r="B281"/>
      <c r="C281"/>
      <c r="D281"/>
      <c r="E281"/>
      <c r="F281"/>
      <c r="G281"/>
      <c r="H281"/>
      <c r="I281"/>
      <c r="J281"/>
    </row>
    <row r="282" spans="1:10" ht="14.4" x14ac:dyDescent="0.3">
      <c r="A282"/>
      <c r="B282"/>
      <c r="C282"/>
      <c r="D282"/>
      <c r="E282"/>
      <c r="F282"/>
      <c r="G282"/>
      <c r="H282"/>
      <c r="I282"/>
      <c r="J282"/>
    </row>
    <row r="283" spans="1:10" ht="14.4" x14ac:dyDescent="0.3">
      <c r="A283"/>
      <c r="B283"/>
      <c r="C283"/>
      <c r="D283"/>
      <c r="E283"/>
      <c r="F283"/>
      <c r="G283"/>
      <c r="H283"/>
      <c r="I283"/>
      <c r="J283"/>
    </row>
    <row r="284" spans="1:10" ht="14.4" x14ac:dyDescent="0.3">
      <c r="A284"/>
      <c r="B284"/>
      <c r="C284"/>
      <c r="D284"/>
      <c r="E284"/>
      <c r="F284"/>
      <c r="G284"/>
      <c r="H284"/>
      <c r="I284"/>
      <c r="J284"/>
    </row>
    <row r="285" spans="1:10" ht="14.4" x14ac:dyDescent="0.3">
      <c r="A285"/>
      <c r="B285"/>
      <c r="C285"/>
      <c r="D285"/>
      <c r="E285"/>
      <c r="F285"/>
      <c r="G285"/>
      <c r="H285"/>
      <c r="I285"/>
      <c r="J285"/>
    </row>
    <row r="286" spans="1:10" ht="14.4" x14ac:dyDescent="0.3">
      <c r="A286"/>
      <c r="B286"/>
      <c r="C286"/>
      <c r="D286"/>
      <c r="E286"/>
      <c r="F286"/>
      <c r="G286"/>
      <c r="H286"/>
      <c r="I286"/>
      <c r="J286"/>
    </row>
    <row r="287" spans="1:10" ht="14.4" x14ac:dyDescent="0.3">
      <c r="A287"/>
      <c r="B287"/>
      <c r="C287"/>
      <c r="D287"/>
      <c r="E287"/>
      <c r="F287"/>
      <c r="G287"/>
      <c r="H287"/>
      <c r="I287"/>
      <c r="J287"/>
    </row>
    <row r="288" spans="1:10" ht="14.4" x14ac:dyDescent="0.3">
      <c r="A288"/>
      <c r="B288"/>
      <c r="C288"/>
      <c r="D288"/>
      <c r="E288"/>
      <c r="F288"/>
      <c r="G288"/>
      <c r="H288"/>
      <c r="I288"/>
      <c r="J288"/>
    </row>
    <row r="289" spans="1:10" ht="14.4" x14ac:dyDescent="0.3">
      <c r="A289"/>
      <c r="B289"/>
      <c r="C289"/>
      <c r="D289"/>
      <c r="E289"/>
      <c r="F289"/>
      <c r="G289"/>
      <c r="H289"/>
      <c r="I289"/>
      <c r="J289"/>
    </row>
    <row r="290" spans="1:10" ht="14.4" x14ac:dyDescent="0.3">
      <c r="A290"/>
      <c r="B290"/>
      <c r="C290"/>
      <c r="D290"/>
      <c r="E290"/>
      <c r="F290"/>
      <c r="G290"/>
      <c r="H290"/>
      <c r="I290"/>
      <c r="J290"/>
    </row>
    <row r="291" spans="1:10" ht="14.4" x14ac:dyDescent="0.3">
      <c r="A291"/>
      <c r="B291"/>
      <c r="C291"/>
      <c r="D291"/>
      <c r="E291"/>
      <c r="F291"/>
      <c r="G291"/>
      <c r="H291"/>
      <c r="I291"/>
      <c r="J291"/>
    </row>
    <row r="292" spans="1:10" ht="14.4" x14ac:dyDescent="0.3">
      <c r="A292"/>
      <c r="B292"/>
      <c r="C292"/>
      <c r="D292"/>
      <c r="E292"/>
      <c r="F292"/>
      <c r="G292"/>
      <c r="H292"/>
      <c r="I292"/>
      <c r="J292"/>
    </row>
    <row r="293" spans="1:10" ht="14.4" x14ac:dyDescent="0.3">
      <c r="A293"/>
      <c r="B293"/>
      <c r="C293"/>
      <c r="D293"/>
      <c r="E293"/>
      <c r="F293"/>
      <c r="G293"/>
      <c r="H293"/>
      <c r="I293"/>
      <c r="J293"/>
    </row>
    <row r="294" spans="1:10" ht="14.4" x14ac:dyDescent="0.3">
      <c r="A294"/>
      <c r="B294"/>
      <c r="C294"/>
      <c r="D294"/>
      <c r="E294"/>
      <c r="F294"/>
      <c r="G294"/>
      <c r="H294"/>
      <c r="I294"/>
      <c r="J294"/>
    </row>
    <row r="295" spans="1:10" ht="14.4" x14ac:dyDescent="0.3">
      <c r="A295"/>
      <c r="B295"/>
      <c r="C295"/>
      <c r="D295"/>
      <c r="E295"/>
      <c r="F295"/>
      <c r="G295"/>
      <c r="H295"/>
      <c r="I295"/>
      <c r="J295"/>
    </row>
    <row r="296" spans="1:10" ht="14.4" x14ac:dyDescent="0.3">
      <c r="A296"/>
      <c r="B296"/>
      <c r="C296"/>
      <c r="D296"/>
      <c r="E296"/>
      <c r="F296"/>
      <c r="G296"/>
      <c r="H296"/>
      <c r="I296"/>
      <c r="J296"/>
    </row>
    <row r="297" spans="1:10" ht="14.4" x14ac:dyDescent="0.3">
      <c r="A297"/>
      <c r="B297"/>
      <c r="C297"/>
      <c r="D297"/>
      <c r="E297"/>
      <c r="F297"/>
      <c r="G297"/>
      <c r="H297"/>
      <c r="I297"/>
      <c r="J297"/>
    </row>
    <row r="298" spans="1:10" ht="14.4" x14ac:dyDescent="0.3">
      <c r="A298"/>
      <c r="B298"/>
      <c r="C298"/>
      <c r="D298"/>
      <c r="E298"/>
      <c r="F298"/>
      <c r="G298"/>
      <c r="H298"/>
      <c r="I298"/>
      <c r="J298"/>
    </row>
    <row r="299" spans="1:10" ht="14.4" x14ac:dyDescent="0.3">
      <c r="A299"/>
      <c r="B299"/>
      <c r="C299"/>
      <c r="D299"/>
      <c r="E299"/>
      <c r="F299"/>
      <c r="G299"/>
      <c r="H299"/>
      <c r="I299"/>
      <c r="J299"/>
    </row>
    <row r="300" spans="1:10" ht="14.4" x14ac:dyDescent="0.3">
      <c r="A300"/>
      <c r="B300"/>
      <c r="C300"/>
      <c r="D300"/>
      <c r="E300"/>
      <c r="F300"/>
      <c r="G300"/>
      <c r="H300"/>
      <c r="I300"/>
      <c r="J300"/>
    </row>
    <row r="301" spans="1:10" ht="14.4" x14ac:dyDescent="0.3">
      <c r="A301"/>
      <c r="B301"/>
      <c r="C301"/>
      <c r="D301"/>
      <c r="E301"/>
      <c r="F301"/>
      <c r="G301"/>
      <c r="H301"/>
      <c r="I301"/>
      <c r="J301"/>
    </row>
    <row r="302" spans="1:10" ht="14.4" x14ac:dyDescent="0.3">
      <c r="A302"/>
      <c r="B302"/>
      <c r="C302"/>
      <c r="D302"/>
      <c r="E302"/>
      <c r="F302"/>
      <c r="G302"/>
      <c r="H302"/>
      <c r="I302"/>
      <c r="J302"/>
    </row>
    <row r="303" spans="1:10" ht="14.4" x14ac:dyDescent="0.3">
      <c r="A303"/>
      <c r="B303"/>
      <c r="C303"/>
      <c r="D303"/>
      <c r="E303"/>
      <c r="F303"/>
      <c r="G303"/>
      <c r="H303"/>
      <c r="I303"/>
      <c r="J303"/>
    </row>
    <row r="304" spans="1:10" ht="14.4" x14ac:dyDescent="0.3">
      <c r="A304"/>
      <c r="B304"/>
      <c r="C304"/>
      <c r="D304"/>
      <c r="E304"/>
      <c r="F304"/>
      <c r="G304"/>
      <c r="H304"/>
      <c r="I304"/>
      <c r="J304"/>
    </row>
    <row r="305" spans="1:10" ht="14.4" x14ac:dyDescent="0.3">
      <c r="A305"/>
      <c r="B305"/>
      <c r="C305"/>
      <c r="D305"/>
      <c r="E305"/>
      <c r="F305"/>
      <c r="G305"/>
      <c r="H305"/>
      <c r="I305"/>
      <c r="J305"/>
    </row>
    <row r="306" spans="1:10" ht="14.4" x14ac:dyDescent="0.3">
      <c r="A306"/>
      <c r="B306"/>
      <c r="C306"/>
      <c r="D306"/>
      <c r="E306"/>
      <c r="F306"/>
      <c r="G306"/>
      <c r="H306"/>
      <c r="I306"/>
      <c r="J306"/>
    </row>
    <row r="307" spans="1:10" ht="14.4" x14ac:dyDescent="0.3">
      <c r="A307"/>
      <c r="B307"/>
      <c r="C307"/>
      <c r="D307"/>
      <c r="E307"/>
      <c r="F307"/>
      <c r="G307"/>
      <c r="H307"/>
      <c r="I307"/>
      <c r="J307"/>
    </row>
    <row r="308" spans="1:10" ht="14.4" x14ac:dyDescent="0.3">
      <c r="A308"/>
      <c r="B308"/>
      <c r="C308"/>
      <c r="D308"/>
      <c r="E308"/>
      <c r="F308"/>
      <c r="G308"/>
      <c r="H308"/>
      <c r="I308"/>
      <c r="J308"/>
    </row>
    <row r="309" spans="1:10" ht="14.4" x14ac:dyDescent="0.3">
      <c r="A309"/>
      <c r="B309"/>
      <c r="C309"/>
      <c r="D309"/>
      <c r="E309"/>
      <c r="F309"/>
      <c r="G309"/>
      <c r="H309"/>
      <c r="I309"/>
      <c r="J309"/>
    </row>
    <row r="310" spans="1:10" ht="14.4" x14ac:dyDescent="0.3">
      <c r="A310"/>
      <c r="B310"/>
      <c r="C310"/>
      <c r="D310"/>
      <c r="E310"/>
      <c r="F310"/>
      <c r="G310"/>
      <c r="H310"/>
      <c r="I310"/>
      <c r="J310"/>
    </row>
    <row r="311" spans="1:10" ht="14.4" x14ac:dyDescent="0.3">
      <c r="A311"/>
      <c r="B311"/>
      <c r="C311"/>
      <c r="D311"/>
      <c r="E311"/>
      <c r="F311"/>
      <c r="G311"/>
      <c r="H311"/>
      <c r="I311"/>
      <c r="J311"/>
    </row>
    <row r="312" spans="1:10" ht="14.4" x14ac:dyDescent="0.3">
      <c r="A312"/>
      <c r="B312"/>
      <c r="C312"/>
      <c r="D312"/>
      <c r="E312"/>
      <c r="F312"/>
      <c r="G312"/>
      <c r="H312"/>
      <c r="I312"/>
      <c r="J312"/>
    </row>
    <row r="313" spans="1:10" ht="14.4" x14ac:dyDescent="0.3">
      <c r="A313"/>
      <c r="B313"/>
      <c r="C313"/>
      <c r="D313"/>
      <c r="E313"/>
      <c r="F313"/>
      <c r="G313"/>
      <c r="H313"/>
      <c r="I313"/>
      <c r="J313"/>
    </row>
    <row r="314" spans="1:10" ht="14.4" x14ac:dyDescent="0.3">
      <c r="A314"/>
      <c r="B314"/>
      <c r="C314"/>
      <c r="D314"/>
      <c r="E314"/>
      <c r="F314"/>
      <c r="G314"/>
      <c r="H314"/>
      <c r="I314"/>
      <c r="J314"/>
    </row>
    <row r="315" spans="1:10" ht="14.4" x14ac:dyDescent="0.3">
      <c r="A315"/>
      <c r="B315"/>
      <c r="C315"/>
      <c r="D315"/>
      <c r="E315"/>
      <c r="F315"/>
      <c r="G315"/>
      <c r="H315"/>
      <c r="I315"/>
      <c r="J315"/>
    </row>
    <row r="316" spans="1:10" ht="14.4" x14ac:dyDescent="0.3">
      <c r="A316"/>
      <c r="B316"/>
      <c r="C316"/>
      <c r="D316"/>
      <c r="E316"/>
      <c r="F316"/>
      <c r="G316"/>
      <c r="H316"/>
      <c r="I316"/>
      <c r="J316"/>
    </row>
    <row r="317" spans="1:10" ht="14.4" x14ac:dyDescent="0.3">
      <c r="A317"/>
      <c r="B317"/>
      <c r="C317"/>
      <c r="D317"/>
      <c r="E317"/>
      <c r="F317"/>
      <c r="G317"/>
      <c r="H317"/>
      <c r="I317"/>
      <c r="J317"/>
    </row>
    <row r="318" spans="1:10" ht="14.4" x14ac:dyDescent="0.3">
      <c r="A318"/>
      <c r="B318"/>
      <c r="C318"/>
      <c r="D318"/>
      <c r="E318"/>
      <c r="F318"/>
      <c r="G318"/>
      <c r="H318"/>
      <c r="I318"/>
      <c r="J318"/>
    </row>
    <row r="319" spans="1:10" ht="14.4" x14ac:dyDescent="0.3">
      <c r="A319"/>
      <c r="B319"/>
      <c r="C319"/>
      <c r="D319"/>
      <c r="E319"/>
      <c r="F319"/>
      <c r="G319"/>
      <c r="H319"/>
      <c r="I319"/>
      <c r="J319"/>
    </row>
    <row r="320" spans="1:10" ht="14.4" x14ac:dyDescent="0.3">
      <c r="A320"/>
      <c r="B320"/>
      <c r="C320"/>
      <c r="D320"/>
      <c r="E320"/>
      <c r="F320"/>
      <c r="G320"/>
      <c r="H320"/>
      <c r="I320"/>
      <c r="J320"/>
    </row>
    <row r="321" spans="1:10" ht="14.4" x14ac:dyDescent="0.3">
      <c r="A321"/>
      <c r="B321"/>
      <c r="C321"/>
      <c r="D321"/>
      <c r="E321"/>
      <c r="F321"/>
      <c r="G321"/>
      <c r="H321"/>
      <c r="I321"/>
      <c r="J321"/>
    </row>
    <row r="322" spans="1:10" ht="14.4" x14ac:dyDescent="0.3">
      <c r="A322"/>
      <c r="B322"/>
      <c r="C322"/>
      <c r="D322"/>
      <c r="E322"/>
      <c r="F322"/>
      <c r="G322"/>
      <c r="H322"/>
      <c r="I322"/>
      <c r="J322"/>
    </row>
    <row r="323" spans="1:10" ht="14.4" x14ac:dyDescent="0.3">
      <c r="A323"/>
      <c r="B323"/>
      <c r="C323"/>
      <c r="D323"/>
      <c r="E323"/>
      <c r="F323"/>
      <c r="G323"/>
      <c r="H323"/>
      <c r="I323"/>
      <c r="J323"/>
    </row>
    <row r="324" spans="1:10" ht="14.4" x14ac:dyDescent="0.3">
      <c r="A324"/>
      <c r="B324"/>
      <c r="C324"/>
      <c r="D324"/>
      <c r="E324"/>
      <c r="F324"/>
      <c r="G324"/>
      <c r="H324"/>
      <c r="I324"/>
      <c r="J324"/>
    </row>
    <row r="325" spans="1:10" ht="14.4" x14ac:dyDescent="0.3">
      <c r="A325"/>
      <c r="B325"/>
      <c r="C325"/>
      <c r="D325"/>
      <c r="E325"/>
      <c r="F325"/>
      <c r="G325"/>
      <c r="H325"/>
      <c r="I325"/>
      <c r="J325"/>
    </row>
    <row r="326" spans="1:10" ht="14.4" x14ac:dyDescent="0.3">
      <c r="A326"/>
      <c r="B326"/>
      <c r="C326"/>
      <c r="D326"/>
      <c r="E326"/>
      <c r="F326"/>
      <c r="G326"/>
      <c r="H326"/>
      <c r="I326"/>
      <c r="J326"/>
    </row>
    <row r="327" spans="1:10" ht="14.4" x14ac:dyDescent="0.3">
      <c r="A327"/>
      <c r="B327"/>
      <c r="C327"/>
      <c r="D327"/>
      <c r="E327"/>
      <c r="F327"/>
      <c r="G327"/>
      <c r="H327"/>
      <c r="I327"/>
      <c r="J327"/>
    </row>
    <row r="328" spans="1:10" ht="14.4" x14ac:dyDescent="0.3">
      <c r="A328"/>
      <c r="B328"/>
      <c r="C328"/>
      <c r="D328"/>
      <c r="E328"/>
      <c r="F328"/>
      <c r="G328"/>
      <c r="H328"/>
      <c r="I328"/>
      <c r="J328"/>
    </row>
    <row r="329" spans="1:10" ht="14.4" x14ac:dyDescent="0.3">
      <c r="A329"/>
      <c r="B329"/>
      <c r="C329"/>
      <c r="D329"/>
      <c r="E329"/>
      <c r="F329"/>
      <c r="G329"/>
      <c r="H329"/>
      <c r="I329"/>
      <c r="J329"/>
    </row>
    <row r="330" spans="1:10" ht="14.4" x14ac:dyDescent="0.3">
      <c r="A330"/>
      <c r="B330"/>
      <c r="C330"/>
      <c r="D330"/>
      <c r="E330"/>
      <c r="F330"/>
      <c r="G330"/>
      <c r="H330"/>
      <c r="I330"/>
      <c r="J330"/>
    </row>
    <row r="331" spans="1:10" ht="14.4" x14ac:dyDescent="0.3">
      <c r="A331"/>
      <c r="B331"/>
      <c r="C331"/>
      <c r="D331"/>
      <c r="E331"/>
      <c r="F331"/>
      <c r="G331"/>
      <c r="H331"/>
      <c r="I331"/>
      <c r="J331"/>
    </row>
    <row r="332" spans="1:10" ht="14.4" x14ac:dyDescent="0.3">
      <c r="A332"/>
      <c r="B332"/>
      <c r="C332"/>
      <c r="D332"/>
      <c r="E332"/>
      <c r="F332"/>
      <c r="G332"/>
      <c r="H332"/>
      <c r="I332"/>
      <c r="J332"/>
    </row>
    <row r="333" spans="1:10" ht="14.4" x14ac:dyDescent="0.3">
      <c r="A333"/>
      <c r="B333"/>
      <c r="C333"/>
      <c r="D333"/>
      <c r="E333"/>
      <c r="F333"/>
      <c r="G333"/>
      <c r="H333"/>
      <c r="I333"/>
      <c r="J333"/>
    </row>
    <row r="334" spans="1:10" ht="14.4" x14ac:dyDescent="0.3">
      <c r="A334"/>
      <c r="B334"/>
      <c r="C334"/>
      <c r="D334"/>
      <c r="E334"/>
      <c r="F334"/>
      <c r="G334"/>
      <c r="H334"/>
      <c r="I334"/>
      <c r="J334"/>
    </row>
    <row r="335" spans="1:10" ht="14.4" x14ac:dyDescent="0.3">
      <c r="A335"/>
      <c r="B335"/>
      <c r="C335"/>
      <c r="D335"/>
      <c r="E335"/>
      <c r="F335"/>
      <c r="G335"/>
      <c r="H335"/>
      <c r="I335"/>
      <c r="J335"/>
    </row>
    <row r="336" spans="1:10" ht="14.4" x14ac:dyDescent="0.3">
      <c r="A336"/>
      <c r="B336"/>
      <c r="C336"/>
      <c r="D336"/>
      <c r="E336"/>
      <c r="F336"/>
      <c r="G336"/>
      <c r="H336"/>
      <c r="I336"/>
      <c r="J336"/>
    </row>
    <row r="337" spans="1:10" ht="14.4" x14ac:dyDescent="0.3">
      <c r="A337"/>
      <c r="B337"/>
      <c r="C337"/>
      <c r="D337"/>
      <c r="E337"/>
      <c r="F337"/>
      <c r="G337"/>
      <c r="H337"/>
      <c r="I337"/>
      <c r="J337"/>
    </row>
    <row r="338" spans="1:10" ht="14.4" x14ac:dyDescent="0.3">
      <c r="A338"/>
      <c r="B338"/>
      <c r="C338"/>
      <c r="D338"/>
      <c r="E338"/>
      <c r="F338"/>
      <c r="G338"/>
      <c r="H338"/>
      <c r="I338"/>
      <c r="J338"/>
    </row>
    <row r="339" spans="1:10" ht="14.4" x14ac:dyDescent="0.3">
      <c r="A339"/>
      <c r="B339"/>
      <c r="C339"/>
      <c r="D339"/>
      <c r="E339"/>
      <c r="F339"/>
      <c r="G339"/>
      <c r="H339"/>
      <c r="I339"/>
      <c r="J339"/>
    </row>
    <row r="340" spans="1:10" ht="14.4" x14ac:dyDescent="0.3">
      <c r="A340"/>
      <c r="B340"/>
      <c r="C340"/>
      <c r="D340"/>
      <c r="E340"/>
      <c r="F340"/>
      <c r="G340"/>
      <c r="H340"/>
      <c r="I340"/>
      <c r="J340"/>
    </row>
    <row r="341" spans="1:10" ht="14.4" x14ac:dyDescent="0.3">
      <c r="A341"/>
      <c r="B341"/>
      <c r="C341"/>
      <c r="D341"/>
      <c r="E341"/>
      <c r="F341"/>
      <c r="G341"/>
      <c r="H341"/>
      <c r="I341"/>
      <c r="J341"/>
    </row>
    <row r="342" spans="1:10" ht="14.4" x14ac:dyDescent="0.3">
      <c r="A342"/>
      <c r="B342"/>
      <c r="C342"/>
      <c r="D342"/>
      <c r="E342"/>
      <c r="F342"/>
      <c r="G342"/>
      <c r="H342"/>
      <c r="I342"/>
      <c r="J342"/>
    </row>
    <row r="343" spans="1:10" ht="14.4" x14ac:dyDescent="0.3">
      <c r="A343"/>
      <c r="B343"/>
      <c r="C343"/>
      <c r="D343"/>
      <c r="E343"/>
      <c r="F343"/>
      <c r="G343"/>
      <c r="H343"/>
      <c r="I343"/>
      <c r="J343"/>
    </row>
    <row r="344" spans="1:10" ht="14.4" x14ac:dyDescent="0.3">
      <c r="A344"/>
      <c r="B344"/>
      <c r="C344"/>
      <c r="D344"/>
      <c r="E344"/>
      <c r="F344"/>
      <c r="G344"/>
      <c r="H344"/>
      <c r="I344"/>
      <c r="J344"/>
    </row>
    <row r="345" spans="1:10" ht="14.4" x14ac:dyDescent="0.3">
      <c r="A345"/>
      <c r="B345"/>
      <c r="C345"/>
      <c r="D345"/>
      <c r="E345"/>
      <c r="F345"/>
      <c r="G345"/>
      <c r="H345"/>
      <c r="I345"/>
      <c r="J345"/>
    </row>
    <row r="346" spans="1:10" ht="14.4" x14ac:dyDescent="0.3">
      <c r="A346"/>
      <c r="B346"/>
      <c r="C346"/>
      <c r="D346"/>
      <c r="E346"/>
      <c r="F346"/>
      <c r="G346"/>
      <c r="H346"/>
      <c r="I346"/>
      <c r="J346"/>
    </row>
    <row r="347" spans="1:10" ht="14.4" x14ac:dyDescent="0.3">
      <c r="A347"/>
      <c r="B347"/>
      <c r="C347"/>
      <c r="D347"/>
      <c r="E347"/>
      <c r="F347"/>
      <c r="G347"/>
      <c r="H347"/>
      <c r="I347"/>
      <c r="J347"/>
    </row>
    <row r="348" spans="1:10" ht="14.4" x14ac:dyDescent="0.3">
      <c r="A348"/>
      <c r="B348"/>
      <c r="C348"/>
      <c r="D348"/>
      <c r="E348"/>
      <c r="F348"/>
      <c r="G348"/>
      <c r="H348"/>
      <c r="I348"/>
      <c r="J348"/>
    </row>
    <row r="349" spans="1:10" ht="14.4" x14ac:dyDescent="0.3">
      <c r="A349"/>
      <c r="B349"/>
      <c r="C349"/>
      <c r="D349"/>
      <c r="E349"/>
      <c r="F349"/>
      <c r="G349"/>
      <c r="H349"/>
      <c r="I349"/>
      <c r="J349"/>
    </row>
    <row r="350" spans="1:10" ht="14.4" x14ac:dyDescent="0.3">
      <c r="A350"/>
      <c r="B350"/>
      <c r="C350"/>
      <c r="D350"/>
      <c r="E350"/>
      <c r="F350"/>
      <c r="G350"/>
      <c r="H350"/>
      <c r="I350"/>
      <c r="J350"/>
    </row>
    <row r="351" spans="1:10" ht="14.4" x14ac:dyDescent="0.3">
      <c r="A351"/>
      <c r="B351"/>
      <c r="C351"/>
      <c r="D351"/>
      <c r="E351"/>
      <c r="F351"/>
      <c r="G351"/>
      <c r="H351"/>
      <c r="I351"/>
      <c r="J351"/>
    </row>
    <row r="352" spans="1:10" ht="14.4" x14ac:dyDescent="0.3">
      <c r="A352"/>
      <c r="B352"/>
      <c r="C352"/>
      <c r="D352"/>
      <c r="E352"/>
      <c r="F352"/>
      <c r="G352"/>
      <c r="H352"/>
      <c r="I352"/>
      <c r="J352"/>
    </row>
    <row r="353" spans="1:10" ht="14.4" x14ac:dyDescent="0.3">
      <c r="A353"/>
      <c r="B353"/>
      <c r="C353"/>
      <c r="D353"/>
      <c r="E353"/>
      <c r="F353"/>
      <c r="G353"/>
      <c r="H353"/>
      <c r="I353"/>
      <c r="J353"/>
    </row>
    <row r="354" spans="1:10" ht="14.4" x14ac:dyDescent="0.3">
      <c r="A354"/>
      <c r="B354"/>
      <c r="C354"/>
      <c r="D354"/>
      <c r="E354"/>
      <c r="F354"/>
      <c r="G354"/>
      <c r="H354"/>
      <c r="I354"/>
      <c r="J354"/>
    </row>
    <row r="355" spans="1:10" ht="14.4" x14ac:dyDescent="0.3">
      <c r="A355"/>
      <c r="B355"/>
      <c r="C355"/>
      <c r="D355"/>
      <c r="E355"/>
      <c r="F355"/>
      <c r="G355"/>
      <c r="H355"/>
      <c r="I355"/>
      <c r="J355"/>
    </row>
    <row r="356" spans="1:10" ht="14.4" x14ac:dyDescent="0.3">
      <c r="A356"/>
      <c r="B356"/>
      <c r="C356"/>
      <c r="D356"/>
      <c r="E356"/>
      <c r="F356"/>
      <c r="G356"/>
      <c r="H356"/>
      <c r="I356"/>
      <c r="J356"/>
    </row>
    <row r="357" spans="1:10" ht="14.4" x14ac:dyDescent="0.3">
      <c r="A357"/>
      <c r="B357"/>
      <c r="C357"/>
      <c r="D357"/>
      <c r="E357"/>
      <c r="F357"/>
      <c r="G357"/>
      <c r="H357"/>
      <c r="I357"/>
      <c r="J357"/>
    </row>
    <row r="358" spans="1:10" ht="14.4" x14ac:dyDescent="0.3">
      <c r="A358"/>
      <c r="B358"/>
      <c r="C358"/>
      <c r="D358"/>
      <c r="E358"/>
      <c r="F358"/>
      <c r="G358"/>
      <c r="H358"/>
      <c r="I358"/>
      <c r="J358"/>
    </row>
    <row r="359" spans="1:10" ht="14.4" x14ac:dyDescent="0.3">
      <c r="A359"/>
      <c r="B359"/>
      <c r="C359"/>
      <c r="D359"/>
      <c r="E359"/>
      <c r="F359"/>
      <c r="G359"/>
      <c r="H359"/>
      <c r="I359"/>
      <c r="J359"/>
    </row>
    <row r="360" spans="1:10" ht="14.4" x14ac:dyDescent="0.3">
      <c r="A360"/>
      <c r="B360"/>
      <c r="C360"/>
      <c r="D360"/>
      <c r="E360"/>
      <c r="F360"/>
      <c r="G360"/>
      <c r="H360"/>
      <c r="I360"/>
      <c r="J360"/>
    </row>
    <row r="361" spans="1:10" ht="14.4" x14ac:dyDescent="0.3">
      <c r="A361"/>
      <c r="B361"/>
      <c r="C361"/>
      <c r="D361"/>
      <c r="E361"/>
      <c r="F361"/>
      <c r="G361"/>
      <c r="H361"/>
      <c r="I361"/>
      <c r="J361"/>
    </row>
    <row r="362" spans="1:10" ht="14.4" x14ac:dyDescent="0.3">
      <c r="A362"/>
      <c r="B362"/>
      <c r="C362"/>
      <c r="D362"/>
      <c r="E362"/>
      <c r="F362"/>
      <c r="G362"/>
      <c r="H362"/>
      <c r="I362"/>
      <c r="J362"/>
    </row>
    <row r="363" spans="1:10" ht="14.4" x14ac:dyDescent="0.3">
      <c r="A363"/>
      <c r="B363"/>
      <c r="C363"/>
      <c r="D363"/>
      <c r="E363"/>
      <c r="F363"/>
      <c r="G363"/>
      <c r="H363"/>
      <c r="I363"/>
      <c r="J363"/>
    </row>
    <row r="364" spans="1:10" ht="14.4" x14ac:dyDescent="0.3">
      <c r="A364"/>
      <c r="B364"/>
      <c r="C364"/>
      <c r="D364"/>
      <c r="E364"/>
      <c r="F364"/>
      <c r="G364"/>
      <c r="H364"/>
      <c r="I364"/>
      <c r="J364"/>
    </row>
    <row r="365" spans="1:10" ht="14.4" x14ac:dyDescent="0.3">
      <c r="A365"/>
      <c r="B365"/>
      <c r="C365"/>
      <c r="D365"/>
      <c r="E365"/>
      <c r="F365"/>
      <c r="G365"/>
      <c r="H365"/>
      <c r="I365"/>
      <c r="J365"/>
    </row>
    <row r="366" spans="1:10" ht="14.4" x14ac:dyDescent="0.3">
      <c r="A366"/>
      <c r="B366"/>
      <c r="C366"/>
      <c r="D366"/>
      <c r="E366"/>
      <c r="F366"/>
      <c r="G366"/>
      <c r="H366"/>
      <c r="I366"/>
      <c r="J366"/>
    </row>
    <row r="367" spans="1:10" ht="14.4" x14ac:dyDescent="0.3">
      <c r="A367"/>
      <c r="B367"/>
      <c r="C367"/>
      <c r="D367"/>
      <c r="E367"/>
      <c r="F367"/>
      <c r="G367"/>
      <c r="H367"/>
      <c r="I367"/>
      <c r="J367"/>
    </row>
    <row r="368" spans="1:10" ht="14.4" x14ac:dyDescent="0.3">
      <c r="A368"/>
      <c r="B368"/>
      <c r="C368"/>
      <c r="D368"/>
      <c r="E368"/>
      <c r="F368"/>
      <c r="G368"/>
      <c r="H368"/>
      <c r="I368"/>
      <c r="J368"/>
    </row>
    <row r="369" spans="1:10" ht="14.4" x14ac:dyDescent="0.3">
      <c r="A369"/>
      <c r="B369"/>
      <c r="C369"/>
      <c r="D369"/>
      <c r="E369"/>
      <c r="F369"/>
      <c r="G369"/>
      <c r="H369"/>
      <c r="I369"/>
      <c r="J369"/>
    </row>
    <row r="370" spans="1:10" ht="14.4" x14ac:dyDescent="0.3">
      <c r="A370"/>
      <c r="B370"/>
      <c r="C370"/>
      <c r="D370"/>
      <c r="E370"/>
      <c r="F370"/>
      <c r="G370"/>
      <c r="H370"/>
      <c r="I370"/>
      <c r="J370"/>
    </row>
    <row r="371" spans="1:10" ht="14.4" x14ac:dyDescent="0.3">
      <c r="A371"/>
      <c r="B371"/>
      <c r="C371"/>
      <c r="D371"/>
      <c r="E371"/>
      <c r="F371"/>
      <c r="G371"/>
      <c r="H371"/>
      <c r="I371"/>
      <c r="J371"/>
    </row>
    <row r="372" spans="1:10" ht="14.4" x14ac:dyDescent="0.3">
      <c r="A372"/>
      <c r="B372"/>
      <c r="C372"/>
      <c r="D372"/>
      <c r="E372"/>
      <c r="F372"/>
      <c r="G372"/>
      <c r="H372"/>
      <c r="I372"/>
      <c r="J372"/>
    </row>
    <row r="373" spans="1:10" ht="14.4" x14ac:dyDescent="0.3">
      <c r="A373"/>
      <c r="B373"/>
      <c r="C373"/>
      <c r="D373"/>
      <c r="E373"/>
      <c r="F373"/>
      <c r="G373"/>
      <c r="H373"/>
      <c r="I373"/>
      <c r="J373"/>
    </row>
    <row r="374" spans="1:10" ht="14.4" x14ac:dyDescent="0.3">
      <c r="A374"/>
      <c r="B374"/>
      <c r="C374"/>
      <c r="D374"/>
      <c r="E374"/>
      <c r="F374"/>
      <c r="G374"/>
      <c r="H374"/>
      <c r="I374"/>
      <c r="J374"/>
    </row>
    <row r="375" spans="1:10" ht="14.4" x14ac:dyDescent="0.3">
      <c r="A375"/>
      <c r="B375"/>
      <c r="C375"/>
      <c r="D375"/>
      <c r="E375"/>
      <c r="F375"/>
      <c r="G375"/>
      <c r="H375"/>
      <c r="I375"/>
      <c r="J375"/>
    </row>
    <row r="376" spans="1:10" ht="14.4" x14ac:dyDescent="0.3">
      <c r="A376"/>
      <c r="B376"/>
      <c r="C376"/>
      <c r="D376"/>
      <c r="E376"/>
      <c r="F376"/>
      <c r="G376"/>
      <c r="H376"/>
      <c r="I376"/>
      <c r="J376"/>
    </row>
    <row r="377" spans="1:10" ht="14.4" x14ac:dyDescent="0.3">
      <c r="A377"/>
      <c r="B377"/>
      <c r="C377"/>
      <c r="D377"/>
      <c r="E377"/>
      <c r="F377"/>
      <c r="G377"/>
      <c r="H377"/>
      <c r="I377"/>
      <c r="J377"/>
    </row>
    <row r="378" spans="1:10" ht="14.4" x14ac:dyDescent="0.3">
      <c r="A378"/>
      <c r="B378"/>
      <c r="C378"/>
      <c r="D378"/>
      <c r="E378"/>
      <c r="F378"/>
      <c r="G378"/>
      <c r="H378"/>
      <c r="I378"/>
      <c r="J378"/>
    </row>
    <row r="379" spans="1:10" ht="14.4" x14ac:dyDescent="0.3">
      <c r="A379"/>
      <c r="B379"/>
      <c r="C379"/>
      <c r="D379"/>
      <c r="E379"/>
      <c r="F379"/>
      <c r="G379"/>
      <c r="H379"/>
      <c r="I379"/>
      <c r="J379"/>
    </row>
    <row r="380" spans="1:10" ht="14.4" x14ac:dyDescent="0.3">
      <c r="A380"/>
      <c r="B380"/>
      <c r="C380"/>
      <c r="D380"/>
      <c r="E380"/>
      <c r="F380"/>
      <c r="G380"/>
      <c r="H380"/>
      <c r="I380"/>
      <c r="J380"/>
    </row>
    <row r="381" spans="1:10" ht="14.4" x14ac:dyDescent="0.3">
      <c r="A381"/>
      <c r="B381"/>
      <c r="C381"/>
      <c r="D381"/>
      <c r="E381"/>
      <c r="F381"/>
      <c r="G381"/>
      <c r="H381"/>
      <c r="I381"/>
      <c r="J381"/>
    </row>
    <row r="382" spans="1:10" ht="14.4" x14ac:dyDescent="0.3">
      <c r="A382"/>
      <c r="B382"/>
      <c r="C382"/>
      <c r="D382"/>
      <c r="E382"/>
      <c r="F382"/>
      <c r="G382"/>
      <c r="H382"/>
      <c r="I382"/>
      <c r="J382"/>
    </row>
    <row r="383" spans="1:10" ht="14.4" x14ac:dyDescent="0.3">
      <c r="A383"/>
      <c r="B383"/>
      <c r="C383"/>
      <c r="D383"/>
      <c r="E383"/>
      <c r="F383"/>
      <c r="G383"/>
      <c r="H383"/>
      <c r="I383"/>
      <c r="J383"/>
    </row>
    <row r="384" spans="1:10" ht="14.4" x14ac:dyDescent="0.3">
      <c r="A384"/>
      <c r="B384"/>
      <c r="C384"/>
      <c r="D384"/>
      <c r="E384"/>
      <c r="F384"/>
      <c r="G384"/>
      <c r="H384"/>
      <c r="I384"/>
      <c r="J384"/>
    </row>
    <row r="385" spans="1:10" ht="14.4" x14ac:dyDescent="0.3">
      <c r="A385"/>
      <c r="B385"/>
      <c r="C385"/>
      <c r="D385"/>
      <c r="E385"/>
      <c r="F385"/>
      <c r="G385"/>
      <c r="H385"/>
      <c r="I385"/>
      <c r="J385"/>
    </row>
    <row r="386" spans="1:10" ht="14.4" x14ac:dyDescent="0.3">
      <c r="A386"/>
      <c r="B386"/>
      <c r="C386"/>
      <c r="D386"/>
      <c r="E386"/>
      <c r="F386"/>
      <c r="G386"/>
      <c r="H386"/>
      <c r="I386"/>
      <c r="J386"/>
    </row>
    <row r="387" spans="1:10" ht="14.4" x14ac:dyDescent="0.3">
      <c r="A387"/>
      <c r="B387"/>
      <c r="C387"/>
      <c r="D387"/>
      <c r="E387"/>
      <c r="F387"/>
      <c r="G387"/>
      <c r="H387"/>
      <c r="I387"/>
      <c r="J387"/>
    </row>
    <row r="388" spans="1:10" ht="14.4" x14ac:dyDescent="0.3">
      <c r="A388"/>
      <c r="B388"/>
      <c r="C388"/>
      <c r="D388"/>
      <c r="E388"/>
      <c r="F388"/>
      <c r="G388"/>
      <c r="H388"/>
      <c r="I388"/>
      <c r="J388"/>
    </row>
    <row r="389" spans="1:10" ht="14.4" x14ac:dyDescent="0.3">
      <c r="A389"/>
      <c r="B389"/>
      <c r="C389"/>
      <c r="D389"/>
      <c r="E389"/>
      <c r="F389"/>
      <c r="G389"/>
      <c r="H389"/>
      <c r="I389"/>
      <c r="J389"/>
    </row>
    <row r="390" spans="1:10" ht="14.4" x14ac:dyDescent="0.3">
      <c r="A390"/>
      <c r="B390"/>
      <c r="C390"/>
      <c r="D390"/>
      <c r="E390"/>
      <c r="F390"/>
      <c r="G390"/>
      <c r="H390"/>
      <c r="I390"/>
      <c r="J390"/>
    </row>
    <row r="391" spans="1:10" ht="14.4" x14ac:dyDescent="0.3">
      <c r="A391"/>
      <c r="B391"/>
      <c r="C391"/>
      <c r="D391"/>
      <c r="E391"/>
      <c r="F391"/>
      <c r="G391"/>
      <c r="H391"/>
      <c r="I391"/>
      <c r="J391"/>
    </row>
    <row r="392" spans="1:10" ht="14.4" x14ac:dyDescent="0.3">
      <c r="A392"/>
      <c r="B392"/>
      <c r="C392"/>
      <c r="D392"/>
      <c r="E392"/>
      <c r="F392"/>
      <c r="G392"/>
      <c r="H392"/>
      <c r="I392"/>
      <c r="J392"/>
    </row>
    <row r="393" spans="1:10" ht="14.4" x14ac:dyDescent="0.3">
      <c r="A393"/>
      <c r="B393"/>
      <c r="C393"/>
      <c r="D393"/>
      <c r="E393"/>
      <c r="F393"/>
      <c r="G393"/>
      <c r="H393"/>
      <c r="I393"/>
      <c r="J393"/>
    </row>
    <row r="394" spans="1:10" ht="14.4" x14ac:dyDescent="0.3">
      <c r="A394"/>
      <c r="B394"/>
      <c r="C394"/>
      <c r="D394"/>
      <c r="E394"/>
      <c r="F394"/>
      <c r="G394"/>
      <c r="H394"/>
      <c r="I394"/>
      <c r="J394"/>
    </row>
    <row r="395" spans="1:10" ht="14.4" x14ac:dyDescent="0.3">
      <c r="A395"/>
      <c r="B395"/>
      <c r="C395"/>
      <c r="D395"/>
      <c r="E395"/>
      <c r="F395"/>
      <c r="G395"/>
      <c r="H395"/>
      <c r="I395"/>
      <c r="J395"/>
    </row>
    <row r="396" spans="1:10" ht="14.4" x14ac:dyDescent="0.3">
      <c r="A396"/>
      <c r="B396"/>
      <c r="C396"/>
      <c r="D396"/>
      <c r="E396"/>
      <c r="F396"/>
      <c r="G396"/>
      <c r="H396"/>
      <c r="I396"/>
      <c r="J396"/>
    </row>
    <row r="397" spans="1:10" ht="14.4" x14ac:dyDescent="0.3">
      <c r="A397"/>
      <c r="B397"/>
      <c r="C397"/>
      <c r="D397"/>
      <c r="E397"/>
      <c r="F397"/>
      <c r="G397"/>
      <c r="H397"/>
      <c r="I397"/>
      <c r="J397"/>
    </row>
    <row r="398" spans="1:10" ht="14.4" x14ac:dyDescent="0.3">
      <c r="A398"/>
      <c r="B398"/>
      <c r="C398"/>
      <c r="D398"/>
      <c r="E398"/>
      <c r="F398"/>
      <c r="G398"/>
      <c r="H398"/>
      <c r="I398"/>
      <c r="J398"/>
    </row>
    <row r="399" spans="1:10" ht="14.4" x14ac:dyDescent="0.3">
      <c r="A399"/>
      <c r="B399"/>
      <c r="C399"/>
      <c r="D399"/>
      <c r="E399"/>
      <c r="F399"/>
      <c r="G399"/>
      <c r="H399"/>
      <c r="I399"/>
      <c r="J399"/>
    </row>
    <row r="400" spans="1:10" ht="14.4" x14ac:dyDescent="0.3">
      <c r="A400"/>
      <c r="B400"/>
      <c r="C400"/>
      <c r="D400"/>
      <c r="E400"/>
      <c r="F400"/>
      <c r="G400"/>
      <c r="H400"/>
      <c r="I400"/>
      <c r="J400"/>
    </row>
    <row r="401" spans="1:10" ht="14.4" x14ac:dyDescent="0.3">
      <c r="A401"/>
      <c r="B401"/>
      <c r="C401"/>
      <c r="D401"/>
      <c r="E401"/>
      <c r="F401"/>
      <c r="G401"/>
      <c r="H401"/>
      <c r="I401"/>
      <c r="J401"/>
    </row>
    <row r="402" spans="1:10" ht="14.4" x14ac:dyDescent="0.3">
      <c r="A402"/>
      <c r="B402"/>
      <c r="C402"/>
      <c r="D402"/>
      <c r="E402"/>
      <c r="F402"/>
      <c r="G402"/>
      <c r="H402"/>
      <c r="I402"/>
      <c r="J402"/>
    </row>
    <row r="403" spans="1:10" ht="14.4" x14ac:dyDescent="0.3">
      <c r="A403"/>
      <c r="B403"/>
      <c r="C403"/>
      <c r="D403"/>
      <c r="E403"/>
      <c r="F403"/>
      <c r="G403"/>
      <c r="H403"/>
      <c r="I403"/>
      <c r="J403"/>
    </row>
    <row r="404" spans="1:10" ht="14.4" x14ac:dyDescent="0.3">
      <c r="A404"/>
      <c r="B404"/>
      <c r="C404"/>
      <c r="D404"/>
      <c r="E404"/>
      <c r="F404"/>
      <c r="G404"/>
      <c r="H404"/>
      <c r="I404"/>
      <c r="J404"/>
    </row>
    <row r="405" spans="1:10" ht="14.4" x14ac:dyDescent="0.3">
      <c r="A405"/>
      <c r="B405"/>
      <c r="C405"/>
      <c r="D405"/>
      <c r="E405"/>
      <c r="F405"/>
      <c r="G405"/>
      <c r="H405"/>
      <c r="I405"/>
      <c r="J405"/>
    </row>
    <row r="406" spans="1:10" ht="14.4" x14ac:dyDescent="0.3">
      <c r="A406"/>
      <c r="B406"/>
      <c r="C406"/>
      <c r="D406"/>
      <c r="E406"/>
      <c r="F406"/>
      <c r="G406"/>
      <c r="H406"/>
      <c r="I406"/>
      <c r="J406"/>
    </row>
    <row r="407" spans="1:10" ht="14.4" x14ac:dyDescent="0.3">
      <c r="A407"/>
      <c r="B407"/>
      <c r="C407"/>
      <c r="D407"/>
      <c r="E407"/>
      <c r="F407"/>
      <c r="G407"/>
      <c r="H407"/>
      <c r="I407"/>
      <c r="J407"/>
    </row>
    <row r="408" spans="1:10" ht="14.4" x14ac:dyDescent="0.3">
      <c r="A408"/>
      <c r="B408"/>
      <c r="C408"/>
      <c r="D408"/>
      <c r="E408"/>
      <c r="F408"/>
      <c r="G408"/>
      <c r="H408"/>
      <c r="I408"/>
      <c r="J408"/>
    </row>
    <row r="409" spans="1:10" ht="14.4" x14ac:dyDescent="0.3">
      <c r="A409"/>
      <c r="B409"/>
      <c r="C409"/>
      <c r="D409"/>
      <c r="E409"/>
      <c r="F409"/>
      <c r="G409"/>
      <c r="H409"/>
      <c r="I409"/>
      <c r="J409"/>
    </row>
    <row r="410" spans="1:10" ht="14.4" x14ac:dyDescent="0.3">
      <c r="A410"/>
      <c r="B410"/>
      <c r="C410"/>
      <c r="D410"/>
      <c r="E410"/>
      <c r="F410"/>
      <c r="G410"/>
      <c r="H410"/>
      <c r="I410"/>
      <c r="J410"/>
    </row>
    <row r="411" spans="1:10" ht="14.4" x14ac:dyDescent="0.3">
      <c r="A411"/>
      <c r="B411"/>
      <c r="C411"/>
      <c r="D411"/>
      <c r="E411"/>
      <c r="F411"/>
      <c r="G411"/>
      <c r="H411"/>
      <c r="I411"/>
      <c r="J411"/>
    </row>
    <row r="412" spans="1:10" ht="14.4" x14ac:dyDescent="0.3">
      <c r="A412"/>
      <c r="B412"/>
      <c r="C412"/>
      <c r="D412"/>
      <c r="E412"/>
      <c r="F412"/>
      <c r="G412"/>
      <c r="H412"/>
      <c r="I412"/>
      <c r="J412"/>
    </row>
    <row r="413" spans="1:10" ht="14.4" x14ac:dyDescent="0.3">
      <c r="A413"/>
      <c r="B413"/>
      <c r="C413"/>
      <c r="D413"/>
      <c r="E413"/>
      <c r="F413"/>
      <c r="G413"/>
      <c r="H413"/>
      <c r="I413"/>
      <c r="J413"/>
    </row>
    <row r="414" spans="1:10" ht="14.4" x14ac:dyDescent="0.3">
      <c r="A414"/>
      <c r="B414"/>
      <c r="C414"/>
      <c r="D414"/>
      <c r="E414"/>
      <c r="F414"/>
      <c r="G414"/>
      <c r="H414"/>
      <c r="I414"/>
      <c r="J414"/>
    </row>
    <row r="415" spans="1:10" ht="14.4" x14ac:dyDescent="0.3">
      <c r="A415"/>
      <c r="B415"/>
      <c r="C415"/>
      <c r="D415"/>
      <c r="E415"/>
      <c r="F415"/>
      <c r="G415"/>
      <c r="H415"/>
      <c r="I415"/>
      <c r="J415"/>
    </row>
    <row r="416" spans="1:10" ht="14.4" x14ac:dyDescent="0.3">
      <c r="A416"/>
      <c r="B416"/>
      <c r="C416"/>
      <c r="D416"/>
      <c r="E416"/>
      <c r="F416"/>
      <c r="G416"/>
      <c r="H416"/>
      <c r="I416"/>
      <c r="J416"/>
    </row>
    <row r="417" spans="1:10" ht="14.4" x14ac:dyDescent="0.3">
      <c r="A417"/>
      <c r="B417"/>
      <c r="C417"/>
      <c r="D417"/>
      <c r="E417"/>
      <c r="F417"/>
      <c r="G417"/>
      <c r="H417"/>
      <c r="I417"/>
      <c r="J417"/>
    </row>
    <row r="418" spans="1:10" ht="14.4" x14ac:dyDescent="0.3">
      <c r="A418"/>
      <c r="B418"/>
      <c r="C418"/>
      <c r="D418"/>
      <c r="E418"/>
      <c r="F418"/>
      <c r="G418"/>
      <c r="H418"/>
      <c r="I418"/>
      <c r="J418"/>
    </row>
    <row r="419" spans="1:10" ht="14.4" x14ac:dyDescent="0.3">
      <c r="A419"/>
      <c r="B419"/>
      <c r="C419"/>
      <c r="D419"/>
      <c r="E419"/>
      <c r="F419"/>
      <c r="G419"/>
      <c r="H419"/>
      <c r="I419"/>
      <c r="J419"/>
    </row>
    <row r="420" spans="1:10" ht="14.4" x14ac:dyDescent="0.3">
      <c r="A420"/>
      <c r="B420"/>
      <c r="C420"/>
      <c r="D420"/>
      <c r="E420"/>
      <c r="F420"/>
      <c r="G420"/>
      <c r="H420"/>
      <c r="I420"/>
      <c r="J420"/>
    </row>
    <row r="421" spans="1:10" ht="14.4" x14ac:dyDescent="0.3">
      <c r="A421"/>
      <c r="B421"/>
      <c r="C421"/>
      <c r="D421"/>
      <c r="E421"/>
      <c r="F421"/>
      <c r="G421"/>
      <c r="H421"/>
      <c r="I421"/>
      <c r="J421"/>
    </row>
    <row r="422" spans="1:10" ht="14.4" x14ac:dyDescent="0.3">
      <c r="A422"/>
      <c r="B422"/>
      <c r="C422"/>
      <c r="D422"/>
      <c r="E422"/>
      <c r="F422"/>
      <c r="G422"/>
      <c r="H422"/>
      <c r="I422"/>
      <c r="J422"/>
    </row>
    <row r="423" spans="1:10" ht="14.4" x14ac:dyDescent="0.3">
      <c r="A423"/>
      <c r="B423"/>
      <c r="C423"/>
      <c r="D423"/>
      <c r="E423"/>
      <c r="F423"/>
      <c r="G423"/>
      <c r="H423"/>
      <c r="I423"/>
      <c r="J423"/>
    </row>
    <row r="424" spans="1:10" ht="14.4" x14ac:dyDescent="0.3">
      <c r="A424"/>
      <c r="B424"/>
      <c r="C424"/>
      <c r="D424"/>
      <c r="E424"/>
      <c r="F424"/>
      <c r="G424"/>
      <c r="H424"/>
      <c r="I424"/>
      <c r="J424"/>
    </row>
    <row r="425" spans="1:10" ht="14.4" x14ac:dyDescent="0.3">
      <c r="A425"/>
      <c r="B425"/>
      <c r="C425"/>
      <c r="D425"/>
      <c r="E425"/>
      <c r="F425"/>
      <c r="G425"/>
      <c r="H425"/>
      <c r="I425"/>
      <c r="J425"/>
    </row>
    <row r="426" spans="1:10" ht="14.4" x14ac:dyDescent="0.3">
      <c r="A426"/>
      <c r="B426"/>
      <c r="C426"/>
      <c r="D426"/>
      <c r="E426"/>
      <c r="F426"/>
      <c r="G426"/>
      <c r="H426"/>
      <c r="I426"/>
      <c r="J426"/>
    </row>
    <row r="427" spans="1:10" ht="14.4" x14ac:dyDescent="0.3">
      <c r="A427"/>
      <c r="B427"/>
      <c r="C427"/>
      <c r="D427"/>
      <c r="E427"/>
      <c r="F427"/>
      <c r="G427"/>
      <c r="H427"/>
      <c r="I427"/>
      <c r="J427"/>
    </row>
    <row r="428" spans="1:10" ht="14.4" x14ac:dyDescent="0.3">
      <c r="A428"/>
      <c r="B428"/>
      <c r="C428"/>
      <c r="D428"/>
      <c r="E428"/>
      <c r="F428"/>
      <c r="G428"/>
      <c r="H428"/>
      <c r="I428"/>
      <c r="J428"/>
    </row>
    <row r="429" spans="1:10" ht="14.4" x14ac:dyDescent="0.3">
      <c r="A429"/>
      <c r="B429"/>
      <c r="C429"/>
      <c r="D429"/>
      <c r="E429"/>
      <c r="F429"/>
      <c r="G429"/>
      <c r="H429"/>
      <c r="I429"/>
      <c r="J429"/>
    </row>
    <row r="430" spans="1:10" ht="14.4" x14ac:dyDescent="0.3">
      <c r="A430"/>
      <c r="B430"/>
      <c r="C430"/>
      <c r="D430"/>
      <c r="E430"/>
      <c r="F430"/>
      <c r="G430"/>
      <c r="H430"/>
      <c r="I430"/>
      <c r="J430"/>
    </row>
    <row r="431" spans="1:10" ht="14.4" x14ac:dyDescent="0.3">
      <c r="A431"/>
      <c r="B431"/>
      <c r="C431"/>
      <c r="D431"/>
      <c r="E431"/>
      <c r="F431"/>
      <c r="G431"/>
      <c r="H431"/>
      <c r="I431"/>
      <c r="J431"/>
    </row>
    <row r="432" spans="1:10" ht="14.4" x14ac:dyDescent="0.3">
      <c r="A432"/>
      <c r="B432"/>
      <c r="C432"/>
      <c r="D432"/>
      <c r="E432"/>
      <c r="F432"/>
      <c r="G432"/>
      <c r="H432"/>
      <c r="I432"/>
      <c r="J432"/>
    </row>
    <row r="433" spans="1:10" ht="14.4" x14ac:dyDescent="0.3">
      <c r="A433"/>
      <c r="B433"/>
      <c r="C433"/>
      <c r="D433"/>
      <c r="E433"/>
      <c r="F433"/>
      <c r="G433"/>
      <c r="H433"/>
      <c r="I433"/>
      <c r="J433"/>
    </row>
    <row r="434" spans="1:10" ht="14.4" x14ac:dyDescent="0.3">
      <c r="A434"/>
      <c r="B434"/>
      <c r="C434"/>
      <c r="D434"/>
      <c r="E434"/>
      <c r="F434"/>
      <c r="G434"/>
      <c r="H434"/>
      <c r="I434"/>
      <c r="J434"/>
    </row>
    <row r="435" spans="1:10" ht="14.4" x14ac:dyDescent="0.3">
      <c r="A435"/>
      <c r="B435"/>
      <c r="C435"/>
      <c r="D435"/>
      <c r="E435"/>
      <c r="F435"/>
      <c r="G435"/>
      <c r="H435"/>
      <c r="I435"/>
      <c r="J435"/>
    </row>
    <row r="436" spans="1:10" ht="14.4" x14ac:dyDescent="0.3">
      <c r="A436"/>
      <c r="B436"/>
      <c r="C436"/>
      <c r="D436"/>
      <c r="E436"/>
      <c r="F436"/>
      <c r="G436"/>
      <c r="H436"/>
      <c r="I436"/>
      <c r="J436"/>
    </row>
    <row r="437" spans="1:10" ht="14.4" x14ac:dyDescent="0.3">
      <c r="A437"/>
      <c r="B437"/>
      <c r="C437"/>
      <c r="D437"/>
      <c r="E437"/>
      <c r="F437"/>
      <c r="G437"/>
      <c r="H437"/>
      <c r="I437"/>
      <c r="J437"/>
    </row>
    <row r="438" spans="1:10" ht="14.4" x14ac:dyDescent="0.3">
      <c r="A438"/>
      <c r="B438"/>
      <c r="C438"/>
      <c r="D438"/>
      <c r="E438"/>
      <c r="F438"/>
      <c r="G438"/>
      <c r="H438"/>
      <c r="I438"/>
      <c r="J438"/>
    </row>
    <row r="439" spans="1:10" ht="14.4" x14ac:dyDescent="0.3">
      <c r="A439"/>
      <c r="B439"/>
      <c r="C439"/>
      <c r="D439"/>
      <c r="E439"/>
      <c r="F439"/>
      <c r="G439"/>
      <c r="H439"/>
      <c r="I439"/>
      <c r="J439"/>
    </row>
    <row r="440" spans="1:10" ht="14.4" x14ac:dyDescent="0.3">
      <c r="A440"/>
      <c r="B440"/>
      <c r="C440"/>
      <c r="D440"/>
      <c r="E440"/>
      <c r="F440"/>
      <c r="G440"/>
      <c r="H440"/>
      <c r="I440"/>
      <c r="J440"/>
    </row>
    <row r="441" spans="1:10" ht="14.4" x14ac:dyDescent="0.3">
      <c r="A441"/>
      <c r="B441"/>
      <c r="C441"/>
      <c r="D441"/>
      <c r="E441"/>
      <c r="F441"/>
      <c r="G441"/>
      <c r="H441"/>
      <c r="I441"/>
      <c r="J441"/>
    </row>
    <row r="442" spans="1:10" ht="14.4" x14ac:dyDescent="0.3">
      <c r="A442"/>
      <c r="B442"/>
      <c r="C442"/>
      <c r="D442"/>
      <c r="E442"/>
      <c r="F442"/>
      <c r="G442"/>
      <c r="H442"/>
      <c r="I442"/>
      <c r="J442"/>
    </row>
    <row r="443" spans="1:10" ht="14.4" x14ac:dyDescent="0.3">
      <c r="A443"/>
      <c r="B443"/>
      <c r="C443"/>
      <c r="D443"/>
      <c r="E443"/>
      <c r="F443"/>
      <c r="G443"/>
      <c r="H443"/>
      <c r="I443"/>
      <c r="J443"/>
    </row>
    <row r="444" spans="1:10" ht="14.4" x14ac:dyDescent="0.3">
      <c r="A444"/>
      <c r="B444"/>
      <c r="C444"/>
      <c r="D444"/>
      <c r="E444"/>
      <c r="F444"/>
      <c r="G444"/>
      <c r="H444"/>
      <c r="I444"/>
      <c r="J444"/>
    </row>
    <row r="445" spans="1:10" ht="14.4" x14ac:dyDescent="0.3">
      <c r="A445"/>
      <c r="B445"/>
      <c r="C445"/>
      <c r="D445"/>
      <c r="E445"/>
      <c r="F445"/>
      <c r="G445"/>
      <c r="H445"/>
      <c r="I445"/>
      <c r="J445"/>
    </row>
    <row r="446" spans="1:10" ht="14.4" x14ac:dyDescent="0.3">
      <c r="A446"/>
      <c r="B446"/>
      <c r="C446"/>
      <c r="D446"/>
      <c r="E446"/>
      <c r="F446"/>
      <c r="G446"/>
      <c r="H446"/>
      <c r="I446"/>
      <c r="J446"/>
    </row>
    <row r="447" spans="1:10" ht="14.4" x14ac:dyDescent="0.3">
      <c r="A447"/>
      <c r="B447"/>
      <c r="C447"/>
      <c r="D447"/>
      <c r="E447"/>
      <c r="F447"/>
      <c r="G447"/>
      <c r="H447"/>
      <c r="I447"/>
      <c r="J447"/>
    </row>
    <row r="448" spans="1:10" ht="14.4" x14ac:dyDescent="0.3">
      <c r="A448"/>
      <c r="B448"/>
      <c r="C448"/>
      <c r="D448"/>
      <c r="E448"/>
      <c r="F448"/>
      <c r="G448"/>
      <c r="H448"/>
      <c r="I448"/>
      <c r="J448"/>
    </row>
    <row r="449" spans="1:10" ht="14.4" x14ac:dyDescent="0.3">
      <c r="A449"/>
      <c r="B449"/>
      <c r="C449"/>
      <c r="D449"/>
      <c r="E449"/>
      <c r="F449"/>
      <c r="G449"/>
      <c r="H449"/>
      <c r="I449"/>
      <c r="J449"/>
    </row>
    <row r="450" spans="1:10" ht="14.4" x14ac:dyDescent="0.3">
      <c r="A450"/>
      <c r="B450"/>
      <c r="C450"/>
      <c r="D450"/>
      <c r="E450"/>
      <c r="F450"/>
      <c r="G450"/>
      <c r="H450"/>
      <c r="I450"/>
      <c r="J450"/>
    </row>
    <row r="451" spans="1:10" ht="14.4" x14ac:dyDescent="0.3">
      <c r="A451"/>
      <c r="B451"/>
      <c r="C451"/>
      <c r="D451"/>
      <c r="E451"/>
      <c r="F451"/>
      <c r="G451"/>
      <c r="H451"/>
      <c r="I451"/>
      <c r="J451"/>
    </row>
    <row r="452" spans="1:10" ht="14.4" x14ac:dyDescent="0.3">
      <c r="A452"/>
      <c r="B452"/>
      <c r="C452"/>
      <c r="D452"/>
      <c r="E452"/>
      <c r="F452"/>
      <c r="G452"/>
      <c r="H452"/>
      <c r="I452"/>
      <c r="J452"/>
    </row>
    <row r="453" spans="1:10" ht="14.4" x14ac:dyDescent="0.3">
      <c r="A453"/>
      <c r="B453"/>
      <c r="C453"/>
      <c r="D453"/>
      <c r="E453"/>
      <c r="F453"/>
      <c r="G453"/>
      <c r="H453"/>
      <c r="I453"/>
      <c r="J453"/>
    </row>
    <row r="454" spans="1:10" ht="14.4" x14ac:dyDescent="0.3">
      <c r="A454"/>
      <c r="B454"/>
      <c r="C454"/>
      <c r="D454"/>
      <c r="E454"/>
      <c r="F454"/>
      <c r="G454"/>
      <c r="H454"/>
      <c r="I454"/>
      <c r="J454"/>
    </row>
    <row r="455" spans="1:10" ht="14.4" x14ac:dyDescent="0.3">
      <c r="A455"/>
      <c r="B455"/>
      <c r="C455"/>
      <c r="D455"/>
      <c r="E455"/>
      <c r="F455"/>
      <c r="G455"/>
      <c r="H455"/>
      <c r="I455"/>
      <c r="J455"/>
    </row>
    <row r="456" spans="1:10" ht="14.4" x14ac:dyDescent="0.3">
      <c r="A456"/>
      <c r="B456"/>
      <c r="C456"/>
      <c r="D456"/>
      <c r="E456"/>
      <c r="F456"/>
      <c r="G456"/>
      <c r="H456"/>
      <c r="I456"/>
      <c r="J456"/>
    </row>
    <row r="457" spans="1:10" ht="14.4" x14ac:dyDescent="0.3">
      <c r="A457"/>
      <c r="B457"/>
      <c r="C457"/>
      <c r="D457"/>
      <c r="E457"/>
      <c r="F457"/>
      <c r="G457"/>
      <c r="H457"/>
      <c r="I457"/>
      <c r="J457"/>
    </row>
    <row r="458" spans="1:10" ht="14.4" x14ac:dyDescent="0.3">
      <c r="A458"/>
      <c r="B458"/>
      <c r="C458"/>
      <c r="D458"/>
      <c r="E458"/>
      <c r="F458"/>
      <c r="G458"/>
      <c r="H458"/>
      <c r="I458"/>
      <c r="J458"/>
    </row>
    <row r="459" spans="1:10" ht="14.4" x14ac:dyDescent="0.3">
      <c r="A459"/>
      <c r="B459"/>
      <c r="C459"/>
      <c r="D459"/>
      <c r="E459"/>
      <c r="F459"/>
      <c r="G459"/>
      <c r="H459"/>
      <c r="I459"/>
      <c r="J459"/>
    </row>
    <row r="460" spans="1:10" ht="14.4" x14ac:dyDescent="0.3">
      <c r="A460"/>
      <c r="B460"/>
      <c r="C460"/>
      <c r="D460"/>
      <c r="E460"/>
      <c r="F460"/>
      <c r="G460"/>
      <c r="H460"/>
      <c r="I460"/>
      <c r="J460"/>
    </row>
    <row r="461" spans="1:10" ht="14.4" x14ac:dyDescent="0.3">
      <c r="A461"/>
      <c r="B461"/>
      <c r="C461"/>
      <c r="D461"/>
      <c r="E461"/>
      <c r="F461"/>
      <c r="G461"/>
      <c r="H461"/>
      <c r="I461"/>
      <c r="J461"/>
    </row>
    <row r="462" spans="1:10" ht="14.4" x14ac:dyDescent="0.3">
      <c r="A462"/>
      <c r="B462"/>
      <c r="C462"/>
      <c r="D462"/>
      <c r="E462"/>
      <c r="F462"/>
      <c r="G462"/>
      <c r="H462"/>
      <c r="I462"/>
      <c r="J462"/>
    </row>
    <row r="463" spans="1:10" ht="14.4" x14ac:dyDescent="0.3">
      <c r="A463"/>
      <c r="B463"/>
      <c r="C463"/>
      <c r="D463"/>
      <c r="E463"/>
      <c r="F463"/>
      <c r="G463"/>
      <c r="H463"/>
      <c r="I463"/>
      <c r="J463"/>
    </row>
    <row r="464" spans="1:10" ht="14.4" x14ac:dyDescent="0.3">
      <c r="A464"/>
      <c r="B464"/>
      <c r="C464"/>
      <c r="D464"/>
      <c r="E464"/>
      <c r="F464"/>
      <c r="G464"/>
      <c r="H464"/>
      <c r="I464"/>
      <c r="J464"/>
    </row>
    <row r="465" spans="1:10" ht="14.4" x14ac:dyDescent="0.3">
      <c r="A465"/>
      <c r="B465"/>
      <c r="C465"/>
      <c r="D465"/>
      <c r="E465"/>
      <c r="F465"/>
      <c r="G465"/>
      <c r="H465"/>
      <c r="I465"/>
      <c r="J465"/>
    </row>
    <row r="466" spans="1:10" ht="14.4" x14ac:dyDescent="0.3">
      <c r="A466"/>
      <c r="B466"/>
      <c r="C466"/>
      <c r="D466"/>
      <c r="E466"/>
      <c r="F466"/>
      <c r="G466"/>
      <c r="H466"/>
      <c r="I466"/>
      <c r="J466"/>
    </row>
    <row r="467" spans="1:10" ht="14.4" x14ac:dyDescent="0.3">
      <c r="A467"/>
      <c r="B467"/>
      <c r="C467"/>
      <c r="D467"/>
      <c r="E467"/>
      <c r="F467"/>
      <c r="G467"/>
      <c r="H467"/>
      <c r="I467"/>
      <c r="J467"/>
    </row>
    <row r="468" spans="1:10" ht="14.4" x14ac:dyDescent="0.3">
      <c r="A468"/>
      <c r="B468"/>
      <c r="C468"/>
      <c r="D468"/>
      <c r="E468"/>
      <c r="F468"/>
      <c r="G468"/>
      <c r="H468"/>
      <c r="I468"/>
      <c r="J468"/>
    </row>
    <row r="469" spans="1:10" ht="14.4" x14ac:dyDescent="0.3">
      <c r="A469"/>
      <c r="B469"/>
      <c r="C469"/>
      <c r="D469"/>
      <c r="E469"/>
      <c r="F469"/>
      <c r="G469"/>
      <c r="H469"/>
      <c r="I469"/>
      <c r="J469"/>
    </row>
    <row r="470" spans="1:10" ht="14.4" x14ac:dyDescent="0.3">
      <c r="A470"/>
      <c r="B470"/>
      <c r="C470"/>
      <c r="D470"/>
      <c r="E470"/>
      <c r="F470"/>
      <c r="G470"/>
      <c r="H470"/>
      <c r="I470"/>
      <c r="J470"/>
    </row>
    <row r="471" spans="1:10" ht="14.4" x14ac:dyDescent="0.3">
      <c r="A471"/>
      <c r="B471"/>
      <c r="C471"/>
      <c r="D471"/>
      <c r="E471"/>
      <c r="F471"/>
      <c r="G471"/>
      <c r="H471"/>
      <c r="I471"/>
      <c r="J471"/>
    </row>
    <row r="472" spans="1:10" ht="14.4" x14ac:dyDescent="0.3">
      <c r="A472"/>
      <c r="B472"/>
      <c r="C472"/>
      <c r="D472"/>
      <c r="E472"/>
      <c r="F472"/>
      <c r="G472"/>
      <c r="H472"/>
      <c r="I472"/>
      <c r="J472"/>
    </row>
    <row r="473" spans="1:10" ht="14.4" x14ac:dyDescent="0.3">
      <c r="A473"/>
      <c r="B473"/>
      <c r="C473"/>
      <c r="D473"/>
      <c r="E473"/>
      <c r="F473"/>
      <c r="G473"/>
      <c r="H473"/>
      <c r="I473"/>
      <c r="J473"/>
    </row>
    <row r="474" spans="1:10" ht="14.4" x14ac:dyDescent="0.3">
      <c r="A474"/>
      <c r="B474"/>
      <c r="C474"/>
      <c r="D474"/>
      <c r="E474"/>
      <c r="F474"/>
      <c r="G474"/>
      <c r="H474"/>
      <c r="I474"/>
      <c r="J474"/>
    </row>
    <row r="475" spans="1:10" ht="14.4" x14ac:dyDescent="0.3">
      <c r="A475"/>
      <c r="B475"/>
      <c r="C475"/>
      <c r="D475"/>
      <c r="E475"/>
      <c r="F475"/>
      <c r="G475"/>
      <c r="H475"/>
      <c r="I475"/>
      <c r="J475"/>
    </row>
    <row r="476" spans="1:10" ht="14.4" x14ac:dyDescent="0.3">
      <c r="A476"/>
      <c r="B476"/>
      <c r="C476"/>
      <c r="D476"/>
      <c r="E476"/>
      <c r="F476"/>
      <c r="G476"/>
      <c r="H476"/>
      <c r="I476"/>
      <c r="J476"/>
    </row>
    <row r="477" spans="1:10" ht="14.4" x14ac:dyDescent="0.3">
      <c r="A477"/>
      <c r="B477"/>
      <c r="C477"/>
      <c r="D477"/>
      <c r="E477"/>
      <c r="F477"/>
      <c r="G477"/>
      <c r="H477"/>
      <c r="I477"/>
      <c r="J477"/>
    </row>
    <row r="478" spans="1:10" ht="14.4" x14ac:dyDescent="0.3">
      <c r="A478"/>
      <c r="B478"/>
      <c r="C478"/>
      <c r="D478"/>
      <c r="E478"/>
      <c r="F478"/>
      <c r="G478"/>
      <c r="H478"/>
      <c r="I478"/>
      <c r="J478"/>
    </row>
    <row r="479" spans="1:10" ht="14.4" x14ac:dyDescent="0.3">
      <c r="A479"/>
      <c r="B479"/>
      <c r="C479"/>
      <c r="D479"/>
      <c r="E479"/>
      <c r="F479"/>
      <c r="G479"/>
      <c r="H479"/>
      <c r="I479"/>
      <c r="J479"/>
    </row>
    <row r="480" spans="1:10" ht="14.4" x14ac:dyDescent="0.3">
      <c r="A480"/>
      <c r="B480"/>
      <c r="C480"/>
      <c r="D480"/>
      <c r="E480"/>
      <c r="F480"/>
      <c r="G480"/>
      <c r="H480"/>
      <c r="I480"/>
      <c r="J480"/>
    </row>
    <row r="481" spans="1:10" ht="14.4" x14ac:dyDescent="0.3">
      <c r="A481"/>
      <c r="B481"/>
      <c r="C481"/>
      <c r="D481"/>
      <c r="E481"/>
      <c r="F481"/>
      <c r="G481"/>
      <c r="H481"/>
      <c r="I481"/>
      <c r="J481"/>
    </row>
    <row r="482" spans="1:10" ht="14.4" x14ac:dyDescent="0.3">
      <c r="A482"/>
      <c r="B482"/>
      <c r="C482"/>
      <c r="D482"/>
      <c r="E482"/>
      <c r="F482"/>
      <c r="G482"/>
      <c r="H482"/>
      <c r="I482"/>
      <c r="J482"/>
    </row>
    <row r="483" spans="1:10" ht="14.4" x14ac:dyDescent="0.3">
      <c r="A483"/>
      <c r="B483"/>
      <c r="C483"/>
      <c r="D483"/>
      <c r="E483"/>
      <c r="F483"/>
      <c r="G483"/>
      <c r="H483"/>
      <c r="I483"/>
      <c r="J483"/>
    </row>
    <row r="484" spans="1:10" ht="14.4" x14ac:dyDescent="0.3">
      <c r="A484"/>
      <c r="B484"/>
      <c r="C484"/>
      <c r="D484"/>
      <c r="E484"/>
      <c r="F484"/>
      <c r="G484"/>
      <c r="H484"/>
      <c r="I484"/>
      <c r="J484"/>
    </row>
    <row r="485" spans="1:10" ht="14.4" x14ac:dyDescent="0.3">
      <c r="A485"/>
      <c r="B485"/>
      <c r="C485"/>
      <c r="D485"/>
      <c r="E485"/>
      <c r="F485"/>
      <c r="G485"/>
      <c r="H485"/>
      <c r="I485"/>
      <c r="J485"/>
    </row>
    <row r="486" spans="1:10" ht="14.4" x14ac:dyDescent="0.3">
      <c r="A486"/>
      <c r="B486"/>
      <c r="C486"/>
      <c r="D486"/>
      <c r="E486"/>
      <c r="F486"/>
      <c r="G486"/>
      <c r="H486"/>
      <c r="I486"/>
      <c r="J486"/>
    </row>
    <row r="487" spans="1:10" ht="14.4" x14ac:dyDescent="0.3">
      <c r="A487"/>
      <c r="B487"/>
      <c r="C487"/>
      <c r="D487"/>
      <c r="E487"/>
      <c r="F487"/>
      <c r="G487"/>
      <c r="H487"/>
      <c r="I487"/>
      <c r="J487"/>
    </row>
    <row r="488" spans="1:10" ht="14.4" x14ac:dyDescent="0.3">
      <c r="A488"/>
      <c r="B488"/>
      <c r="C488"/>
      <c r="D488"/>
      <c r="E488"/>
      <c r="F488"/>
      <c r="G488"/>
      <c r="H488"/>
      <c r="I488"/>
      <c r="J488"/>
    </row>
    <row r="489" spans="1:10" ht="14.4" x14ac:dyDescent="0.3">
      <c r="A489"/>
      <c r="B489"/>
      <c r="C489"/>
      <c r="D489"/>
      <c r="E489"/>
      <c r="F489"/>
      <c r="G489"/>
      <c r="H489"/>
      <c r="I489"/>
      <c r="J489"/>
    </row>
    <row r="490" spans="1:10" ht="14.4" x14ac:dyDescent="0.3">
      <c r="A490"/>
      <c r="B490"/>
      <c r="C490"/>
      <c r="D490"/>
      <c r="E490"/>
      <c r="F490"/>
      <c r="G490"/>
      <c r="H490"/>
      <c r="I490"/>
      <c r="J490"/>
    </row>
    <row r="491" spans="1:10" ht="14.4" x14ac:dyDescent="0.3">
      <c r="A491"/>
      <c r="B491"/>
      <c r="C491"/>
      <c r="D491"/>
      <c r="E491"/>
      <c r="F491"/>
      <c r="G491"/>
      <c r="H491"/>
      <c r="I491"/>
      <c r="J491"/>
    </row>
    <row r="492" spans="1:10" ht="14.4" x14ac:dyDescent="0.3">
      <c r="A492"/>
      <c r="B492"/>
      <c r="C492"/>
      <c r="D492"/>
      <c r="E492"/>
      <c r="F492"/>
      <c r="G492"/>
      <c r="H492"/>
      <c r="I492"/>
      <c r="J492"/>
    </row>
    <row r="493" spans="1:10" ht="14.4" x14ac:dyDescent="0.3">
      <c r="A493"/>
      <c r="B493"/>
      <c r="C493"/>
      <c r="D493"/>
      <c r="E493"/>
      <c r="F493"/>
      <c r="G493"/>
      <c r="H493"/>
      <c r="I493"/>
      <c r="J493"/>
    </row>
    <row r="494" spans="1:10" ht="14.4" x14ac:dyDescent="0.3">
      <c r="A494"/>
      <c r="B494"/>
      <c r="C494"/>
      <c r="D494"/>
      <c r="E494"/>
      <c r="F494"/>
      <c r="G494"/>
      <c r="H494"/>
      <c r="I494"/>
      <c r="J494"/>
    </row>
    <row r="495" spans="1:10" ht="14.4" x14ac:dyDescent="0.3">
      <c r="A495"/>
      <c r="B495"/>
      <c r="C495"/>
      <c r="D495"/>
      <c r="E495"/>
      <c r="F495"/>
      <c r="G495"/>
      <c r="H495"/>
      <c r="I495"/>
      <c r="J495"/>
    </row>
    <row r="496" spans="1:10" ht="14.4" x14ac:dyDescent="0.3">
      <c r="A496"/>
      <c r="B496"/>
      <c r="C496"/>
      <c r="D496"/>
      <c r="E496"/>
      <c r="F496"/>
      <c r="G496"/>
      <c r="H496"/>
      <c r="I496"/>
      <c r="J496"/>
    </row>
    <row r="497" spans="1:10" ht="14.4" x14ac:dyDescent="0.3">
      <c r="A497"/>
      <c r="B497"/>
      <c r="C497"/>
      <c r="D497"/>
      <c r="E497"/>
      <c r="F497"/>
      <c r="G497"/>
      <c r="H497"/>
      <c r="I497"/>
      <c r="J497"/>
    </row>
    <row r="498" spans="1:10" ht="14.4" x14ac:dyDescent="0.3">
      <c r="A498"/>
      <c r="B498"/>
      <c r="C498"/>
      <c r="D498"/>
      <c r="E498"/>
      <c r="F498"/>
      <c r="G498"/>
      <c r="H498"/>
      <c r="I498"/>
      <c r="J498"/>
    </row>
    <row r="499" spans="1:10" ht="14.4" x14ac:dyDescent="0.3">
      <c r="A499"/>
      <c r="B499"/>
      <c r="C499"/>
      <c r="D499"/>
      <c r="E499"/>
      <c r="F499"/>
      <c r="G499"/>
      <c r="H499"/>
      <c r="I499"/>
      <c r="J499"/>
    </row>
    <row r="500" spans="1:10" ht="14.4" x14ac:dyDescent="0.3">
      <c r="A500"/>
      <c r="B500"/>
      <c r="C500"/>
      <c r="D500"/>
      <c r="E500"/>
      <c r="F500"/>
      <c r="G500"/>
      <c r="H500"/>
      <c r="I500"/>
      <c r="J500"/>
    </row>
    <row r="501" spans="1:10" ht="14.4" x14ac:dyDescent="0.3">
      <c r="A501"/>
      <c r="B501"/>
      <c r="C501"/>
      <c r="D501"/>
      <c r="E501"/>
      <c r="F501"/>
      <c r="G501"/>
      <c r="H501"/>
      <c r="I501"/>
      <c r="J501"/>
    </row>
    <row r="502" spans="1:10" ht="14.4" x14ac:dyDescent="0.3">
      <c r="A502"/>
      <c r="B502"/>
      <c r="C502"/>
      <c r="D502"/>
      <c r="E502"/>
      <c r="F502"/>
      <c r="G502"/>
      <c r="H502"/>
      <c r="I502"/>
      <c r="J502"/>
    </row>
    <row r="503" spans="1:10" ht="14.4" x14ac:dyDescent="0.3">
      <c r="A503"/>
      <c r="B503"/>
      <c r="C503"/>
      <c r="D503"/>
      <c r="E503"/>
      <c r="F503"/>
      <c r="G503"/>
      <c r="H503"/>
      <c r="I503"/>
      <c r="J503"/>
    </row>
    <row r="504" spans="1:10" ht="14.4" x14ac:dyDescent="0.3">
      <c r="A504"/>
      <c r="B504"/>
      <c r="C504"/>
      <c r="D504"/>
      <c r="E504"/>
      <c r="F504"/>
      <c r="G504"/>
      <c r="H504"/>
      <c r="I504"/>
      <c r="J504"/>
    </row>
    <row r="505" spans="1:10" ht="14.4" x14ac:dyDescent="0.3">
      <c r="A505"/>
      <c r="B505"/>
      <c r="C505"/>
      <c r="D505"/>
      <c r="E505"/>
      <c r="F505"/>
      <c r="G505"/>
      <c r="H505"/>
      <c r="I505"/>
      <c r="J505"/>
    </row>
    <row r="506" spans="1:10" ht="14.4" x14ac:dyDescent="0.3">
      <c r="A506"/>
      <c r="B506"/>
      <c r="C506"/>
      <c r="D506"/>
      <c r="E506"/>
      <c r="F506"/>
      <c r="G506"/>
      <c r="H506"/>
      <c r="I506"/>
      <c r="J506"/>
    </row>
    <row r="507" spans="1:10" ht="14.4" x14ac:dyDescent="0.3">
      <c r="A507"/>
      <c r="B507"/>
      <c r="C507"/>
      <c r="D507"/>
      <c r="E507"/>
      <c r="F507"/>
      <c r="G507"/>
      <c r="H507"/>
      <c r="I507"/>
      <c r="J507"/>
    </row>
    <row r="508" spans="1:10" ht="14.4" x14ac:dyDescent="0.3">
      <c r="A508"/>
      <c r="B508"/>
      <c r="C508"/>
      <c r="D508"/>
      <c r="E508"/>
      <c r="F508"/>
      <c r="G508"/>
      <c r="H508"/>
      <c r="I508"/>
      <c r="J508"/>
    </row>
    <row r="509" spans="1:10" ht="14.4" x14ac:dyDescent="0.3">
      <c r="A509"/>
      <c r="B509"/>
      <c r="C509"/>
      <c r="D509"/>
      <c r="E509"/>
      <c r="F509"/>
      <c r="G509"/>
      <c r="H509"/>
      <c r="I509"/>
      <c r="J509"/>
    </row>
    <row r="510" spans="1:10" ht="14.4" x14ac:dyDescent="0.3">
      <c r="A510"/>
      <c r="B510"/>
      <c r="C510"/>
      <c r="D510"/>
      <c r="E510"/>
      <c r="F510"/>
      <c r="G510"/>
      <c r="H510"/>
      <c r="I510"/>
      <c r="J510"/>
    </row>
    <row r="511" spans="1:10" ht="14.4" x14ac:dyDescent="0.3">
      <c r="A511"/>
      <c r="B511"/>
      <c r="C511"/>
      <c r="D511"/>
      <c r="E511"/>
      <c r="F511"/>
      <c r="G511"/>
      <c r="H511"/>
      <c r="I511"/>
      <c r="J511"/>
    </row>
    <row r="512" spans="1:10" ht="14.4" x14ac:dyDescent="0.3">
      <c r="A512"/>
      <c r="B512"/>
      <c r="C512"/>
      <c r="D512"/>
      <c r="E512"/>
      <c r="F512"/>
      <c r="G512"/>
      <c r="H512"/>
      <c r="I512"/>
      <c r="J512"/>
    </row>
    <row r="513" spans="1:10" ht="14.4" x14ac:dyDescent="0.3">
      <c r="A513"/>
      <c r="B513"/>
      <c r="C513"/>
      <c r="D513"/>
      <c r="E513"/>
      <c r="F513"/>
      <c r="G513"/>
      <c r="H513"/>
      <c r="I513"/>
      <c r="J513"/>
    </row>
    <row r="514" spans="1:10" ht="14.4" x14ac:dyDescent="0.3">
      <c r="A514"/>
      <c r="B514"/>
      <c r="C514"/>
      <c r="D514"/>
      <c r="E514"/>
      <c r="F514"/>
      <c r="G514"/>
      <c r="H514"/>
      <c r="I514"/>
      <c r="J514"/>
    </row>
    <row r="515" spans="1:10" ht="14.4" x14ac:dyDescent="0.3">
      <c r="A515"/>
      <c r="B515"/>
      <c r="C515"/>
      <c r="D515"/>
      <c r="E515"/>
      <c r="F515"/>
      <c r="G515"/>
      <c r="H515"/>
      <c r="I515"/>
      <c r="J515"/>
    </row>
    <row r="516" spans="1:10" ht="14.4" x14ac:dyDescent="0.3">
      <c r="A516"/>
      <c r="B516"/>
      <c r="C516"/>
      <c r="D516"/>
      <c r="E516"/>
      <c r="F516"/>
      <c r="G516"/>
      <c r="H516"/>
      <c r="I516"/>
      <c r="J516"/>
    </row>
    <row r="517" spans="1:10" ht="14.4" x14ac:dyDescent="0.3">
      <c r="A517"/>
      <c r="B517"/>
      <c r="C517"/>
      <c r="D517"/>
      <c r="E517"/>
      <c r="F517"/>
      <c r="G517"/>
      <c r="H517"/>
      <c r="I517"/>
      <c r="J517"/>
    </row>
    <row r="518" spans="1:10" ht="14.4" x14ac:dyDescent="0.3">
      <c r="A518"/>
      <c r="B518"/>
      <c r="C518"/>
      <c r="D518"/>
      <c r="E518"/>
      <c r="F518"/>
      <c r="G518"/>
      <c r="H518"/>
      <c r="I518"/>
      <c r="J518"/>
    </row>
    <row r="519" spans="1:10" ht="14.4" x14ac:dyDescent="0.3">
      <c r="A519"/>
      <c r="B519"/>
      <c r="C519"/>
      <c r="D519"/>
      <c r="E519"/>
      <c r="F519"/>
      <c r="G519"/>
      <c r="H519"/>
      <c r="I519"/>
      <c r="J519"/>
    </row>
    <row r="520" spans="1:10" ht="14.4" x14ac:dyDescent="0.3">
      <c r="A520"/>
      <c r="B520"/>
      <c r="C520"/>
      <c r="D520"/>
      <c r="E520"/>
      <c r="F520"/>
      <c r="G520"/>
      <c r="H520"/>
      <c r="I520"/>
      <c r="J520"/>
    </row>
    <row r="521" spans="1:10" ht="14.4" x14ac:dyDescent="0.3">
      <c r="A521"/>
      <c r="B521"/>
      <c r="C521"/>
      <c r="D521"/>
      <c r="E521"/>
      <c r="F521"/>
      <c r="G521"/>
      <c r="H521"/>
      <c r="I521"/>
      <c r="J521"/>
    </row>
    <row r="522" spans="1:10" ht="14.4" x14ac:dyDescent="0.3">
      <c r="A522"/>
      <c r="B522"/>
      <c r="C522"/>
      <c r="D522"/>
      <c r="E522"/>
      <c r="F522"/>
      <c r="G522"/>
      <c r="H522"/>
      <c r="I522"/>
      <c r="J522"/>
    </row>
    <row r="523" spans="1:10" ht="14.4" x14ac:dyDescent="0.3">
      <c r="A523"/>
      <c r="B523"/>
      <c r="C523"/>
      <c r="D523"/>
      <c r="E523"/>
      <c r="F523"/>
      <c r="G523"/>
      <c r="H523"/>
      <c r="I523"/>
      <c r="J523"/>
    </row>
    <row r="524" spans="1:10" ht="14.4" x14ac:dyDescent="0.3">
      <c r="A524"/>
      <c r="B524"/>
      <c r="C524"/>
      <c r="D524"/>
      <c r="E524"/>
      <c r="F524"/>
      <c r="G524"/>
      <c r="H524"/>
      <c r="I524"/>
      <c r="J524"/>
    </row>
    <row r="525" spans="1:10" ht="14.4" x14ac:dyDescent="0.3">
      <c r="A525"/>
      <c r="B525"/>
      <c r="C525"/>
      <c r="D525"/>
      <c r="E525"/>
      <c r="F525"/>
      <c r="G525"/>
      <c r="H525"/>
      <c r="I525"/>
      <c r="J525"/>
    </row>
    <row r="526" spans="1:10" ht="14.4" x14ac:dyDescent="0.3">
      <c r="A526"/>
      <c r="B526"/>
      <c r="C526"/>
      <c r="D526"/>
      <c r="E526"/>
      <c r="F526"/>
      <c r="G526"/>
      <c r="H526"/>
      <c r="I526"/>
      <c r="J526"/>
    </row>
    <row r="527" spans="1:10" ht="14.4" x14ac:dyDescent="0.3">
      <c r="A527"/>
      <c r="B527"/>
      <c r="C527"/>
      <c r="D527"/>
      <c r="E527"/>
      <c r="F527"/>
      <c r="G527"/>
      <c r="H527"/>
      <c r="I527"/>
      <c r="J527"/>
    </row>
    <row r="528" spans="1:10" ht="14.4" x14ac:dyDescent="0.3">
      <c r="A528"/>
      <c r="B528"/>
      <c r="C528"/>
      <c r="D528"/>
      <c r="E528"/>
      <c r="F528"/>
      <c r="G528"/>
      <c r="H528"/>
      <c r="I528"/>
      <c r="J528"/>
    </row>
    <row r="529" spans="1:10" ht="14.4" x14ac:dyDescent="0.3">
      <c r="A529"/>
      <c r="B529"/>
      <c r="C529"/>
      <c r="D529"/>
      <c r="E529"/>
      <c r="F529"/>
      <c r="G529"/>
      <c r="H529"/>
      <c r="I529"/>
      <c r="J529"/>
    </row>
    <row r="530" spans="1:10" ht="14.4" x14ac:dyDescent="0.3">
      <c r="A530"/>
      <c r="B530"/>
      <c r="C530"/>
      <c r="D530"/>
      <c r="E530"/>
      <c r="F530"/>
      <c r="G530"/>
      <c r="H530"/>
      <c r="I530"/>
      <c r="J530"/>
    </row>
    <row r="531" spans="1:10" ht="14.4" x14ac:dyDescent="0.3">
      <c r="A531"/>
      <c r="B531"/>
      <c r="C531"/>
      <c r="D531"/>
      <c r="E531"/>
      <c r="F531"/>
      <c r="G531"/>
      <c r="H531"/>
      <c r="I531"/>
      <c r="J531"/>
    </row>
    <row r="532" spans="1:10" ht="14.4" x14ac:dyDescent="0.3">
      <c r="A532"/>
      <c r="B532"/>
      <c r="C532"/>
      <c r="D532"/>
      <c r="E532"/>
      <c r="F532"/>
      <c r="G532"/>
      <c r="H532"/>
      <c r="I532"/>
      <c r="J532"/>
    </row>
    <row r="533" spans="1:10" ht="14.4" x14ac:dyDescent="0.3">
      <c r="A533"/>
      <c r="B533"/>
      <c r="C533"/>
      <c r="D533"/>
      <c r="E533"/>
      <c r="F533"/>
      <c r="G533"/>
      <c r="H533"/>
      <c r="I533"/>
      <c r="J533"/>
    </row>
    <row r="534" spans="1:10" ht="14.4" x14ac:dyDescent="0.3">
      <c r="A534"/>
      <c r="B534"/>
      <c r="C534"/>
      <c r="D534"/>
      <c r="E534"/>
      <c r="F534"/>
      <c r="G534"/>
      <c r="H534"/>
      <c r="I534"/>
      <c r="J534"/>
    </row>
    <row r="535" spans="1:10" ht="14.4" x14ac:dyDescent="0.3">
      <c r="A535"/>
      <c r="B535"/>
      <c r="C535"/>
      <c r="D535"/>
      <c r="E535"/>
      <c r="F535"/>
      <c r="G535"/>
      <c r="H535"/>
      <c r="I535"/>
      <c r="J535"/>
    </row>
    <row r="536" spans="1:10" ht="14.4" x14ac:dyDescent="0.3">
      <c r="A536"/>
      <c r="B536"/>
      <c r="C536"/>
      <c r="D536"/>
      <c r="E536"/>
      <c r="F536"/>
      <c r="G536"/>
      <c r="H536"/>
      <c r="I536"/>
      <c r="J536"/>
    </row>
    <row r="537" spans="1:10" ht="14.4" x14ac:dyDescent="0.3">
      <c r="A537"/>
      <c r="B537"/>
      <c r="C537"/>
      <c r="D537"/>
      <c r="E537"/>
      <c r="F537"/>
      <c r="G537"/>
      <c r="H537"/>
      <c r="I537"/>
      <c r="J537"/>
    </row>
    <row r="538" spans="1:10" ht="14.4" x14ac:dyDescent="0.3">
      <c r="A538"/>
      <c r="B538"/>
      <c r="C538"/>
      <c r="D538"/>
      <c r="E538"/>
      <c r="F538"/>
      <c r="G538"/>
      <c r="H538"/>
      <c r="I538"/>
      <c r="J538"/>
    </row>
    <row r="539" spans="1:10" ht="14.4" x14ac:dyDescent="0.3">
      <c r="A539"/>
      <c r="B539"/>
      <c r="C539"/>
      <c r="D539"/>
      <c r="E539"/>
      <c r="F539"/>
      <c r="G539"/>
      <c r="H539"/>
      <c r="I539"/>
      <c r="J539"/>
    </row>
    <row r="540" spans="1:10" ht="14.4" x14ac:dyDescent="0.3">
      <c r="A540"/>
      <c r="B540"/>
      <c r="C540"/>
      <c r="D540"/>
      <c r="E540"/>
      <c r="F540"/>
      <c r="G540"/>
      <c r="H540"/>
      <c r="I540"/>
      <c r="J540"/>
    </row>
    <row r="541" spans="1:10" ht="14.4" x14ac:dyDescent="0.3">
      <c r="A541"/>
      <c r="B541"/>
      <c r="C541"/>
      <c r="D541"/>
      <c r="E541"/>
      <c r="F541"/>
      <c r="G541"/>
      <c r="H541"/>
      <c r="I541"/>
      <c r="J541"/>
    </row>
    <row r="542" spans="1:10" ht="14.4" x14ac:dyDescent="0.3">
      <c r="A542"/>
      <c r="B542"/>
      <c r="C542"/>
      <c r="D542"/>
      <c r="E542"/>
      <c r="F542"/>
      <c r="G542"/>
      <c r="H542"/>
      <c r="I542"/>
      <c r="J542"/>
    </row>
    <row r="543" spans="1:10" ht="14.4" x14ac:dyDescent="0.3">
      <c r="A543"/>
      <c r="B543"/>
      <c r="C543"/>
      <c r="D543"/>
      <c r="E543"/>
      <c r="F543"/>
      <c r="G543"/>
      <c r="H543"/>
      <c r="I543"/>
      <c r="J543"/>
    </row>
    <row r="544" spans="1:10" ht="14.4" x14ac:dyDescent="0.3">
      <c r="A544"/>
      <c r="B544"/>
      <c r="C544"/>
      <c r="D544"/>
      <c r="E544"/>
      <c r="F544"/>
      <c r="G544"/>
      <c r="H544"/>
      <c r="I544"/>
      <c r="J544"/>
    </row>
    <row r="545" spans="1:10" ht="14.4" x14ac:dyDescent="0.3">
      <c r="A545"/>
      <c r="B545"/>
      <c r="C545"/>
      <c r="D545"/>
      <c r="E545"/>
      <c r="F545"/>
      <c r="G545"/>
      <c r="H545"/>
      <c r="I545"/>
      <c r="J545"/>
    </row>
    <row r="546" spans="1:10" ht="14.4" x14ac:dyDescent="0.3">
      <c r="A546"/>
      <c r="B546"/>
      <c r="C546"/>
      <c r="D546"/>
      <c r="E546"/>
      <c r="F546"/>
      <c r="G546"/>
      <c r="H546"/>
      <c r="I546"/>
      <c r="J546"/>
    </row>
    <row r="547" spans="1:10" ht="14.4" x14ac:dyDescent="0.3">
      <c r="A547"/>
      <c r="B547"/>
      <c r="C547"/>
      <c r="D547"/>
      <c r="E547"/>
      <c r="F547"/>
      <c r="G547"/>
      <c r="H547"/>
      <c r="I547"/>
      <c r="J547"/>
    </row>
    <row r="548" spans="1:10" ht="14.4" x14ac:dyDescent="0.3">
      <c r="A548"/>
      <c r="B548"/>
      <c r="C548"/>
      <c r="D548"/>
      <c r="E548"/>
      <c r="F548"/>
      <c r="G548"/>
      <c r="H548"/>
      <c r="I548"/>
      <c r="J548"/>
    </row>
    <row r="549" spans="1:10" ht="14.4" x14ac:dyDescent="0.3">
      <c r="A549"/>
      <c r="B549"/>
      <c r="C549"/>
      <c r="D549"/>
      <c r="E549"/>
      <c r="F549"/>
      <c r="G549"/>
      <c r="H549"/>
      <c r="I549"/>
      <c r="J549"/>
    </row>
    <row r="550" spans="1:10" ht="14.4" x14ac:dyDescent="0.3">
      <c r="A550"/>
      <c r="B550"/>
      <c r="C550"/>
      <c r="D550"/>
      <c r="E550"/>
      <c r="F550"/>
      <c r="G550"/>
      <c r="H550"/>
      <c r="I550"/>
      <c r="J550"/>
    </row>
    <row r="551" spans="1:10" ht="14.4" x14ac:dyDescent="0.3">
      <c r="A551"/>
      <c r="B551"/>
      <c r="C551"/>
      <c r="D551"/>
      <c r="E551"/>
      <c r="F551"/>
      <c r="G551"/>
      <c r="H551"/>
      <c r="I551"/>
      <c r="J551"/>
    </row>
    <row r="552" spans="1:10" ht="14.4" x14ac:dyDescent="0.3">
      <c r="A552"/>
      <c r="B552"/>
      <c r="C552"/>
      <c r="D552"/>
      <c r="E552"/>
      <c r="F552"/>
      <c r="G552"/>
      <c r="H552"/>
      <c r="I552"/>
      <c r="J552"/>
    </row>
    <row r="553" spans="1:10" ht="14.4" x14ac:dyDescent="0.3">
      <c r="A553"/>
      <c r="B553"/>
      <c r="C553"/>
      <c r="D553"/>
      <c r="E553"/>
      <c r="F553"/>
      <c r="G553"/>
      <c r="H553"/>
      <c r="I553"/>
      <c r="J553"/>
    </row>
    <row r="554" spans="1:10" ht="14.4" x14ac:dyDescent="0.3">
      <c r="A554"/>
      <c r="B554"/>
      <c r="C554"/>
      <c r="D554"/>
      <c r="E554"/>
      <c r="F554"/>
      <c r="G554"/>
      <c r="H554"/>
      <c r="I554"/>
      <c r="J554"/>
    </row>
    <row r="555" spans="1:10" ht="14.4" x14ac:dyDescent="0.3">
      <c r="A555"/>
      <c r="B555"/>
      <c r="C555"/>
      <c r="D555"/>
      <c r="E555"/>
      <c r="F555"/>
      <c r="G555"/>
      <c r="H555"/>
      <c r="I555"/>
      <c r="J555"/>
    </row>
    <row r="556" spans="1:10" ht="14.4" x14ac:dyDescent="0.3">
      <c r="A556"/>
      <c r="B556"/>
      <c r="C556"/>
      <c r="D556"/>
      <c r="E556"/>
      <c r="F556"/>
      <c r="G556"/>
      <c r="H556"/>
      <c r="I556"/>
      <c r="J556"/>
    </row>
    <row r="557" spans="1:10" ht="14.4" x14ac:dyDescent="0.3">
      <c r="A557"/>
      <c r="B557"/>
      <c r="C557"/>
      <c r="D557"/>
      <c r="E557"/>
      <c r="F557"/>
      <c r="G557"/>
      <c r="H557"/>
      <c r="I557"/>
      <c r="J557"/>
    </row>
    <row r="558" spans="1:10" ht="14.4" x14ac:dyDescent="0.3">
      <c r="A558"/>
      <c r="B558"/>
      <c r="C558"/>
      <c r="D558"/>
      <c r="E558"/>
      <c r="F558"/>
      <c r="G558"/>
      <c r="H558"/>
      <c r="I558"/>
      <c r="J558"/>
    </row>
    <row r="559" spans="1:10" ht="14.4" x14ac:dyDescent="0.3">
      <c r="A559"/>
      <c r="B559"/>
      <c r="C559"/>
      <c r="D559"/>
      <c r="E559"/>
      <c r="F559"/>
      <c r="G559"/>
      <c r="H559"/>
      <c r="I559"/>
      <c r="J559"/>
    </row>
    <row r="560" spans="1:10" ht="14.4" x14ac:dyDescent="0.3">
      <c r="A560"/>
      <c r="B560"/>
      <c r="C560"/>
      <c r="D560"/>
      <c r="E560"/>
      <c r="F560"/>
      <c r="G560"/>
      <c r="H560"/>
      <c r="I560"/>
      <c r="J560"/>
    </row>
    <row r="561" spans="1:10" ht="14.4" x14ac:dyDescent="0.3">
      <c r="A561"/>
      <c r="B561"/>
      <c r="C561"/>
      <c r="D561"/>
      <c r="E561"/>
      <c r="F561"/>
      <c r="G561"/>
      <c r="H561"/>
      <c r="I561"/>
      <c r="J561"/>
    </row>
    <row r="562" spans="1:10" ht="14.4" x14ac:dyDescent="0.3">
      <c r="A562"/>
      <c r="B562"/>
      <c r="C562"/>
      <c r="D562"/>
      <c r="E562"/>
      <c r="F562"/>
      <c r="G562"/>
      <c r="H562"/>
      <c r="I562"/>
      <c r="J562"/>
    </row>
    <row r="563" spans="1:10" ht="14.4" x14ac:dyDescent="0.3">
      <c r="A563"/>
      <c r="B563"/>
      <c r="C563"/>
      <c r="D563"/>
      <c r="E563"/>
      <c r="F563"/>
      <c r="G563"/>
      <c r="H563"/>
      <c r="I563"/>
      <c r="J563"/>
    </row>
    <row r="564" spans="1:10" ht="14.4" x14ac:dyDescent="0.3">
      <c r="A564"/>
      <c r="B564"/>
      <c r="C564"/>
      <c r="D564"/>
      <c r="E564"/>
      <c r="F564"/>
      <c r="G564"/>
      <c r="H564"/>
      <c r="I564"/>
      <c r="J564"/>
    </row>
    <row r="565" spans="1:10" ht="14.4" x14ac:dyDescent="0.3">
      <c r="A565"/>
      <c r="B565"/>
      <c r="C565"/>
      <c r="D565"/>
      <c r="E565"/>
      <c r="F565"/>
      <c r="G565"/>
      <c r="H565"/>
      <c r="I565"/>
      <c r="J565"/>
    </row>
    <row r="566" spans="1:10" ht="14.4" x14ac:dyDescent="0.3">
      <c r="A566"/>
      <c r="B566"/>
      <c r="C566"/>
      <c r="D566"/>
      <c r="E566"/>
      <c r="F566"/>
      <c r="G566"/>
      <c r="H566"/>
      <c r="I566"/>
      <c r="J566"/>
    </row>
    <row r="567" spans="1:10" ht="14.4" x14ac:dyDescent="0.3">
      <c r="A567"/>
      <c r="B567"/>
      <c r="C567"/>
      <c r="D567"/>
      <c r="E567"/>
      <c r="F567"/>
      <c r="G567"/>
      <c r="H567"/>
      <c r="I567"/>
      <c r="J567"/>
    </row>
    <row r="568" spans="1:10" ht="14.4" x14ac:dyDescent="0.3">
      <c r="A568"/>
      <c r="B568"/>
      <c r="C568"/>
      <c r="D568"/>
      <c r="E568"/>
      <c r="F568"/>
      <c r="G568"/>
      <c r="H568"/>
      <c r="I568"/>
      <c r="J568"/>
    </row>
    <row r="569" spans="1:10" ht="14.4" x14ac:dyDescent="0.3">
      <c r="A569"/>
      <c r="B569"/>
      <c r="C569"/>
      <c r="D569"/>
      <c r="E569"/>
      <c r="F569"/>
      <c r="G569"/>
      <c r="H569"/>
      <c r="I569"/>
      <c r="J569"/>
    </row>
    <row r="570" spans="1:10" ht="14.4" x14ac:dyDescent="0.3">
      <c r="A570"/>
      <c r="B570"/>
      <c r="C570"/>
      <c r="D570"/>
      <c r="E570"/>
      <c r="F570"/>
      <c r="G570"/>
      <c r="H570"/>
      <c r="I570"/>
      <c r="J570"/>
    </row>
    <row r="571" spans="1:10" ht="14.4" x14ac:dyDescent="0.3">
      <c r="A571"/>
      <c r="B571"/>
      <c r="C571"/>
      <c r="D571"/>
      <c r="E571"/>
      <c r="F571"/>
      <c r="G571"/>
      <c r="H571"/>
      <c r="I571"/>
      <c r="J571"/>
    </row>
    <row r="572" spans="1:10" ht="14.4" x14ac:dyDescent="0.3">
      <c r="A572"/>
      <c r="B572"/>
      <c r="C572"/>
      <c r="D572"/>
      <c r="E572"/>
      <c r="F572"/>
      <c r="G572"/>
      <c r="H572"/>
      <c r="I572"/>
      <c r="J572"/>
    </row>
    <row r="573" spans="1:10" ht="14.4" x14ac:dyDescent="0.3">
      <c r="A573"/>
      <c r="B573"/>
      <c r="C573"/>
      <c r="D573"/>
      <c r="E573"/>
      <c r="F573"/>
      <c r="G573"/>
      <c r="H573"/>
      <c r="I573"/>
      <c r="J573"/>
    </row>
    <row r="574" spans="1:10" ht="14.4" x14ac:dyDescent="0.3">
      <c r="A574"/>
      <c r="B574"/>
      <c r="C574"/>
      <c r="D574"/>
      <c r="E574"/>
      <c r="F574"/>
      <c r="G574"/>
      <c r="H574"/>
      <c r="I574"/>
      <c r="J574"/>
    </row>
    <row r="575" spans="1:10" ht="14.4" x14ac:dyDescent="0.3">
      <c r="A575"/>
      <c r="B575"/>
      <c r="C575"/>
      <c r="D575"/>
      <c r="E575"/>
      <c r="F575"/>
      <c r="G575"/>
      <c r="H575"/>
      <c r="I575"/>
      <c r="J575"/>
    </row>
    <row r="576" spans="1:10" ht="14.4" x14ac:dyDescent="0.3">
      <c r="A576"/>
      <c r="B576"/>
      <c r="C576"/>
      <c r="D576"/>
      <c r="E576"/>
      <c r="F576"/>
      <c r="G576"/>
      <c r="H576"/>
      <c r="I576"/>
      <c r="J576"/>
    </row>
    <row r="577" spans="1:10" ht="14.4" x14ac:dyDescent="0.3">
      <c r="A577"/>
      <c r="B577"/>
      <c r="C577"/>
      <c r="D577"/>
      <c r="E577"/>
      <c r="F577"/>
      <c r="G577"/>
      <c r="H577"/>
      <c r="I577"/>
      <c r="J577"/>
    </row>
    <row r="578" spans="1:10" ht="14.4" x14ac:dyDescent="0.3">
      <c r="A578"/>
      <c r="B578"/>
      <c r="C578"/>
      <c r="D578"/>
      <c r="E578"/>
      <c r="F578"/>
      <c r="G578"/>
      <c r="H578"/>
      <c r="I578"/>
      <c r="J578"/>
    </row>
    <row r="579" spans="1:10" ht="14.4" x14ac:dyDescent="0.3">
      <c r="A579"/>
      <c r="B579"/>
      <c r="C579"/>
      <c r="D579"/>
      <c r="E579"/>
      <c r="F579"/>
      <c r="G579"/>
      <c r="H579"/>
      <c r="I579"/>
      <c r="J579"/>
    </row>
    <row r="580" spans="1:10" ht="14.4" x14ac:dyDescent="0.3">
      <c r="A580"/>
      <c r="B580"/>
      <c r="C580"/>
      <c r="D580"/>
      <c r="E580"/>
      <c r="F580"/>
      <c r="G580"/>
      <c r="H580"/>
      <c r="I580"/>
      <c r="J580"/>
    </row>
    <row r="581" spans="1:10" ht="14.4" x14ac:dyDescent="0.3">
      <c r="A581"/>
      <c r="B581"/>
      <c r="C581"/>
      <c r="D581"/>
      <c r="E581"/>
      <c r="F581"/>
      <c r="G581"/>
      <c r="H581"/>
      <c r="I581"/>
      <c r="J581"/>
    </row>
    <row r="582" spans="1:10" ht="14.4" x14ac:dyDescent="0.3">
      <c r="A582"/>
      <c r="B582"/>
      <c r="C582"/>
      <c r="D582"/>
      <c r="E582"/>
      <c r="F582"/>
      <c r="G582"/>
      <c r="H582"/>
      <c r="I582"/>
      <c r="J582"/>
    </row>
    <row r="583" spans="1:10" ht="14.4" x14ac:dyDescent="0.3">
      <c r="A583"/>
      <c r="B583"/>
      <c r="C583"/>
      <c r="D583"/>
      <c r="E583"/>
      <c r="F583"/>
      <c r="G583"/>
      <c r="H583"/>
      <c r="I583"/>
      <c r="J583"/>
    </row>
    <row r="584" spans="1:10" ht="14.4" x14ac:dyDescent="0.3">
      <c r="A584"/>
      <c r="B584"/>
      <c r="C584"/>
      <c r="D584"/>
      <c r="E584"/>
      <c r="F584"/>
      <c r="G584"/>
      <c r="H584"/>
      <c r="I584"/>
      <c r="J584"/>
    </row>
    <row r="585" spans="1:10" ht="14.4" x14ac:dyDescent="0.3">
      <c r="A585"/>
      <c r="B585"/>
      <c r="C585"/>
      <c r="D585"/>
      <c r="E585"/>
      <c r="F585"/>
      <c r="G585"/>
      <c r="H585"/>
      <c r="I585"/>
      <c r="J585"/>
    </row>
    <row r="586" spans="1:10" ht="14.4" x14ac:dyDescent="0.3">
      <c r="A586"/>
      <c r="B586"/>
      <c r="C586"/>
      <c r="D586"/>
      <c r="E586"/>
      <c r="F586"/>
      <c r="G586"/>
      <c r="H586"/>
      <c r="I586"/>
      <c r="J586"/>
    </row>
    <row r="587" spans="1:10" ht="14.4" x14ac:dyDescent="0.3">
      <c r="A587"/>
      <c r="B587"/>
      <c r="C587"/>
      <c r="D587"/>
      <c r="E587"/>
      <c r="F587"/>
      <c r="G587"/>
      <c r="H587"/>
      <c r="I587"/>
      <c r="J587"/>
    </row>
    <row r="588" spans="1:10" ht="14.4" x14ac:dyDescent="0.3">
      <c r="A588"/>
      <c r="B588"/>
      <c r="C588"/>
      <c r="D588"/>
      <c r="E588"/>
      <c r="F588"/>
      <c r="G588"/>
      <c r="H588"/>
      <c r="I588"/>
      <c r="J588"/>
    </row>
    <row r="589" spans="1:10" ht="14.4" x14ac:dyDescent="0.3">
      <c r="A589"/>
      <c r="B589"/>
      <c r="C589"/>
      <c r="D589"/>
      <c r="E589"/>
      <c r="F589"/>
      <c r="G589"/>
      <c r="H589"/>
      <c r="I589"/>
      <c r="J589"/>
    </row>
    <row r="590" spans="1:10" ht="14.4" x14ac:dyDescent="0.3">
      <c r="A590"/>
      <c r="B590"/>
      <c r="C590"/>
      <c r="D590"/>
      <c r="E590"/>
      <c r="F590"/>
      <c r="G590"/>
      <c r="H590"/>
      <c r="I590"/>
      <c r="J590"/>
    </row>
    <row r="591" spans="1:10" ht="14.4" x14ac:dyDescent="0.3">
      <c r="A591"/>
      <c r="B591"/>
      <c r="C591"/>
      <c r="D591"/>
      <c r="E591"/>
      <c r="F591"/>
      <c r="G591"/>
      <c r="H591"/>
      <c r="I591"/>
      <c r="J591"/>
    </row>
    <row r="592" spans="1:10" ht="14.4" x14ac:dyDescent="0.3">
      <c r="A592"/>
      <c r="B592"/>
      <c r="C592"/>
      <c r="D592"/>
      <c r="E592"/>
      <c r="F592"/>
      <c r="G592"/>
      <c r="H592"/>
      <c r="I592"/>
      <c r="J592"/>
    </row>
    <row r="593" spans="1:10" ht="14.4" x14ac:dyDescent="0.3">
      <c r="A593"/>
      <c r="B593"/>
      <c r="C593"/>
      <c r="D593"/>
      <c r="E593"/>
      <c r="F593"/>
      <c r="G593"/>
      <c r="H593"/>
      <c r="I593"/>
      <c r="J593"/>
    </row>
    <row r="594" spans="1:10" ht="14.4" x14ac:dyDescent="0.3">
      <c r="A594"/>
      <c r="B594"/>
      <c r="C594"/>
      <c r="D594"/>
      <c r="E594"/>
      <c r="F594"/>
      <c r="G594"/>
      <c r="H594"/>
      <c r="I594"/>
      <c r="J594"/>
    </row>
    <row r="595" spans="1:10" ht="14.4" x14ac:dyDescent="0.3">
      <c r="A595"/>
      <c r="B595"/>
      <c r="C595"/>
      <c r="D595"/>
      <c r="E595"/>
      <c r="F595"/>
      <c r="G595"/>
      <c r="H595"/>
      <c r="I595"/>
      <c r="J595"/>
    </row>
    <row r="596" spans="1:10" ht="14.4" x14ac:dyDescent="0.3">
      <c r="A596"/>
      <c r="B596"/>
      <c r="C596"/>
      <c r="D596"/>
      <c r="E596"/>
      <c r="F596"/>
      <c r="G596"/>
      <c r="H596"/>
      <c r="I596"/>
      <c r="J596"/>
    </row>
    <row r="597" spans="1:10" ht="14.4" x14ac:dyDescent="0.3">
      <c r="A597"/>
      <c r="B597"/>
      <c r="C597"/>
      <c r="D597"/>
      <c r="E597"/>
      <c r="F597"/>
      <c r="G597"/>
      <c r="H597"/>
      <c r="I597"/>
      <c r="J597"/>
    </row>
    <row r="598" spans="1:10" ht="14.4" x14ac:dyDescent="0.3">
      <c r="A598"/>
      <c r="B598"/>
      <c r="C598"/>
      <c r="D598"/>
      <c r="E598"/>
      <c r="F598"/>
      <c r="G598"/>
      <c r="H598"/>
      <c r="I598"/>
      <c r="J598"/>
    </row>
    <row r="599" spans="1:10" ht="14.4" x14ac:dyDescent="0.3">
      <c r="A599"/>
      <c r="B599"/>
      <c r="C599"/>
      <c r="D599"/>
      <c r="E599"/>
      <c r="F599"/>
      <c r="G599"/>
      <c r="H599"/>
      <c r="I599"/>
      <c r="J599"/>
    </row>
    <row r="600" spans="1:10" ht="14.4" x14ac:dyDescent="0.3">
      <c r="A600"/>
      <c r="B600"/>
      <c r="C600"/>
      <c r="D600"/>
      <c r="E600"/>
      <c r="F600"/>
      <c r="G600"/>
      <c r="H600"/>
      <c r="I600"/>
      <c r="J600"/>
    </row>
    <row r="601" spans="1:10" ht="14.4" x14ac:dyDescent="0.3">
      <c r="A601"/>
      <c r="B601"/>
      <c r="C601"/>
      <c r="D601"/>
      <c r="E601"/>
      <c r="F601"/>
      <c r="G601"/>
      <c r="H601"/>
      <c r="I601"/>
      <c r="J601"/>
    </row>
    <row r="602" spans="1:10" ht="14.4" x14ac:dyDescent="0.3">
      <c r="A602"/>
      <c r="B602"/>
      <c r="C602"/>
      <c r="D602"/>
      <c r="E602"/>
      <c r="F602"/>
      <c r="G602"/>
      <c r="H602"/>
      <c r="I602"/>
      <c r="J602"/>
    </row>
    <row r="603" spans="1:10" ht="14.4" x14ac:dyDescent="0.3">
      <c r="A603"/>
      <c r="B603"/>
      <c r="C603"/>
      <c r="D603"/>
      <c r="E603"/>
      <c r="F603"/>
      <c r="G603"/>
      <c r="H603"/>
      <c r="I603"/>
      <c r="J603"/>
    </row>
    <row r="604" spans="1:10" ht="14.4" x14ac:dyDescent="0.3">
      <c r="A604"/>
      <c r="B604"/>
      <c r="C604"/>
      <c r="D604"/>
      <c r="E604"/>
      <c r="F604"/>
      <c r="G604"/>
      <c r="H604"/>
      <c r="I604"/>
      <c r="J604"/>
    </row>
    <row r="605" spans="1:10" ht="14.4" x14ac:dyDescent="0.3">
      <c r="A605"/>
      <c r="B605"/>
      <c r="C605"/>
      <c r="D605"/>
      <c r="E605"/>
      <c r="F605"/>
      <c r="G605"/>
      <c r="H605"/>
      <c r="I605"/>
      <c r="J605"/>
    </row>
    <row r="606" spans="1:10" ht="14.4" x14ac:dyDescent="0.3">
      <c r="A606"/>
      <c r="B606"/>
      <c r="C606"/>
      <c r="D606"/>
      <c r="E606"/>
      <c r="F606"/>
      <c r="G606"/>
      <c r="H606"/>
      <c r="I606"/>
      <c r="J606"/>
    </row>
    <row r="607" spans="1:10" ht="14.4" x14ac:dyDescent="0.3">
      <c r="A607"/>
      <c r="B607"/>
      <c r="C607"/>
      <c r="D607"/>
      <c r="E607"/>
      <c r="F607"/>
      <c r="G607"/>
      <c r="H607"/>
      <c r="I607"/>
      <c r="J607"/>
    </row>
    <row r="608" spans="1:10" ht="14.4" x14ac:dyDescent="0.3">
      <c r="A608"/>
      <c r="B608"/>
      <c r="C608"/>
      <c r="D608"/>
      <c r="E608"/>
      <c r="F608"/>
      <c r="G608"/>
      <c r="H608"/>
      <c r="I608"/>
      <c r="J608"/>
    </row>
    <row r="609" spans="1:10" ht="14.4" x14ac:dyDescent="0.3">
      <c r="A609"/>
      <c r="B609"/>
      <c r="C609"/>
      <c r="D609"/>
      <c r="E609"/>
      <c r="F609"/>
      <c r="G609"/>
      <c r="H609"/>
      <c r="I609"/>
      <c r="J609"/>
    </row>
    <row r="610" spans="1:10" ht="14.4" x14ac:dyDescent="0.3">
      <c r="A610"/>
      <c r="B610"/>
      <c r="C610"/>
      <c r="D610"/>
      <c r="E610"/>
      <c r="F610"/>
      <c r="G610"/>
      <c r="H610"/>
      <c r="I610"/>
      <c r="J610"/>
    </row>
    <row r="611" spans="1:10" ht="14.4" x14ac:dyDescent="0.3">
      <c r="A611"/>
      <c r="B611"/>
      <c r="C611"/>
      <c r="D611"/>
      <c r="E611"/>
      <c r="F611"/>
      <c r="G611"/>
      <c r="H611"/>
      <c r="I611"/>
      <c r="J611"/>
    </row>
    <row r="612" spans="1:10" ht="14.4" x14ac:dyDescent="0.3">
      <c r="A612"/>
      <c r="B612"/>
      <c r="C612"/>
      <c r="D612"/>
      <c r="E612"/>
      <c r="F612"/>
      <c r="G612"/>
      <c r="H612"/>
      <c r="I612"/>
      <c r="J612"/>
    </row>
    <row r="613" spans="1:10" ht="14.4" x14ac:dyDescent="0.3">
      <c r="A613"/>
      <c r="B613"/>
      <c r="C613"/>
      <c r="D613"/>
      <c r="E613"/>
      <c r="F613"/>
      <c r="G613"/>
      <c r="H613"/>
      <c r="I613"/>
      <c r="J613"/>
    </row>
    <row r="614" spans="1:10" ht="14.4" x14ac:dyDescent="0.3">
      <c r="A614"/>
      <c r="B614"/>
      <c r="C614"/>
      <c r="D614"/>
      <c r="E614"/>
      <c r="F614"/>
      <c r="G614"/>
      <c r="H614"/>
      <c r="I614"/>
      <c r="J614"/>
    </row>
    <row r="615" spans="1:10" ht="14.4" x14ac:dyDescent="0.3">
      <c r="A615"/>
      <c r="B615"/>
      <c r="C615"/>
      <c r="D615"/>
      <c r="E615"/>
      <c r="F615"/>
      <c r="G615"/>
      <c r="H615"/>
      <c r="I615"/>
      <c r="J615"/>
    </row>
    <row r="616" spans="1:10" ht="14.4" x14ac:dyDescent="0.3">
      <c r="A616"/>
      <c r="B616"/>
      <c r="C616"/>
      <c r="D616"/>
      <c r="E616"/>
      <c r="F616"/>
      <c r="G616"/>
      <c r="H616"/>
      <c r="I616"/>
      <c r="J616"/>
    </row>
    <row r="617" spans="1:10" ht="14.4" x14ac:dyDescent="0.3">
      <c r="A617"/>
      <c r="B617"/>
      <c r="C617"/>
      <c r="D617"/>
      <c r="E617"/>
      <c r="F617"/>
      <c r="G617"/>
      <c r="H617"/>
      <c r="I617"/>
      <c r="J617"/>
    </row>
    <row r="618" spans="1:10" ht="14.4" x14ac:dyDescent="0.3">
      <c r="A618"/>
      <c r="B618"/>
      <c r="C618"/>
      <c r="D618"/>
      <c r="E618"/>
      <c r="F618"/>
      <c r="G618"/>
      <c r="H618"/>
      <c r="I618"/>
      <c r="J618"/>
    </row>
    <row r="619" spans="1:10" ht="14.4" x14ac:dyDescent="0.3">
      <c r="A619"/>
      <c r="B619"/>
      <c r="C619"/>
      <c r="D619"/>
      <c r="E619"/>
      <c r="F619"/>
      <c r="G619"/>
      <c r="H619"/>
      <c r="I619"/>
      <c r="J619"/>
    </row>
    <row r="620" spans="1:10" ht="14.4" x14ac:dyDescent="0.3">
      <c r="A620"/>
      <c r="B620"/>
      <c r="C620"/>
      <c r="D620"/>
      <c r="E620"/>
      <c r="F620"/>
      <c r="G620"/>
      <c r="H620"/>
      <c r="I620"/>
      <c r="J620"/>
    </row>
    <row r="621" spans="1:10" ht="14.4" x14ac:dyDescent="0.3">
      <c r="A621"/>
      <c r="B621"/>
      <c r="C621"/>
      <c r="D621"/>
      <c r="E621"/>
      <c r="F621"/>
      <c r="G621"/>
      <c r="H621"/>
      <c r="I621"/>
      <c r="J621"/>
    </row>
    <row r="622" spans="1:10" ht="14.4" x14ac:dyDescent="0.3">
      <c r="A622"/>
      <c r="B622"/>
      <c r="C622"/>
      <c r="D622"/>
      <c r="E622"/>
      <c r="F622"/>
      <c r="G622"/>
      <c r="H622"/>
      <c r="I622"/>
      <c r="J622"/>
    </row>
    <row r="623" spans="1:10" ht="14.4" x14ac:dyDescent="0.3">
      <c r="A623"/>
      <c r="B623"/>
      <c r="C623"/>
      <c r="D623"/>
      <c r="E623"/>
      <c r="F623"/>
      <c r="G623"/>
      <c r="H623"/>
      <c r="I623"/>
      <c r="J623"/>
    </row>
    <row r="624" spans="1:10" ht="14.4" x14ac:dyDescent="0.3">
      <c r="A624"/>
      <c r="B624"/>
      <c r="C624"/>
      <c r="D624"/>
      <c r="E624"/>
      <c r="F624"/>
      <c r="G624"/>
      <c r="H624"/>
      <c r="I624"/>
      <c r="J624"/>
    </row>
    <row r="625" spans="1:10" ht="14.4" x14ac:dyDescent="0.3">
      <c r="A625"/>
      <c r="B625"/>
      <c r="C625"/>
      <c r="D625"/>
      <c r="E625"/>
      <c r="F625"/>
      <c r="G625"/>
      <c r="H625"/>
      <c r="I625"/>
      <c r="J625"/>
    </row>
    <row r="626" spans="1:10" ht="14.4" x14ac:dyDescent="0.3">
      <c r="A626"/>
      <c r="B626"/>
      <c r="C626"/>
      <c r="D626"/>
      <c r="E626"/>
      <c r="F626"/>
      <c r="G626"/>
      <c r="H626"/>
      <c r="I626"/>
      <c r="J626"/>
    </row>
    <row r="627" spans="1:10" ht="14.4" x14ac:dyDescent="0.3">
      <c r="A627"/>
      <c r="B627"/>
      <c r="C627"/>
      <c r="D627"/>
      <c r="E627"/>
      <c r="F627"/>
      <c r="G627"/>
      <c r="H627"/>
      <c r="I627"/>
      <c r="J627"/>
    </row>
    <row r="628" spans="1:10" ht="14.4" x14ac:dyDescent="0.3">
      <c r="A628"/>
      <c r="B628"/>
      <c r="C628"/>
      <c r="D628"/>
      <c r="E628"/>
      <c r="F628"/>
      <c r="G628"/>
      <c r="H628"/>
      <c r="I628"/>
      <c r="J628"/>
    </row>
    <row r="629" spans="1:10" ht="14.4" x14ac:dyDescent="0.3">
      <c r="A629"/>
      <c r="B629"/>
      <c r="C629"/>
      <c r="D629"/>
      <c r="E629"/>
      <c r="F629"/>
      <c r="G629"/>
      <c r="H629"/>
      <c r="I629"/>
      <c r="J629"/>
    </row>
    <row r="630" spans="1:10" ht="14.4" x14ac:dyDescent="0.3">
      <c r="A630"/>
      <c r="B630"/>
      <c r="C630"/>
      <c r="D630"/>
      <c r="E630"/>
      <c r="F630"/>
      <c r="G630"/>
      <c r="H630"/>
      <c r="I630"/>
      <c r="J630"/>
    </row>
    <row r="631" spans="1:10" ht="14.4" x14ac:dyDescent="0.3">
      <c r="A631"/>
      <c r="B631"/>
      <c r="C631"/>
      <c r="D631"/>
      <c r="E631"/>
      <c r="F631"/>
      <c r="G631"/>
      <c r="H631"/>
      <c r="I631"/>
      <c r="J631"/>
    </row>
    <row r="632" spans="1:10" ht="14.4" x14ac:dyDescent="0.3">
      <c r="A632"/>
      <c r="B632"/>
      <c r="C632"/>
      <c r="D632"/>
      <c r="E632"/>
      <c r="F632"/>
      <c r="G632"/>
      <c r="H632"/>
      <c r="I632"/>
      <c r="J632"/>
    </row>
    <row r="633" spans="1:10" ht="14.4" x14ac:dyDescent="0.3">
      <c r="A633"/>
      <c r="B633"/>
      <c r="C633"/>
      <c r="D633"/>
      <c r="E633"/>
      <c r="F633"/>
      <c r="G633"/>
      <c r="H633"/>
      <c r="I633"/>
      <c r="J633"/>
    </row>
    <row r="634" spans="1:10" ht="14.4" x14ac:dyDescent="0.3">
      <c r="A634"/>
      <c r="B634"/>
      <c r="C634"/>
      <c r="D634"/>
      <c r="E634"/>
      <c r="F634"/>
      <c r="G634"/>
      <c r="H634"/>
      <c r="I634"/>
      <c r="J634"/>
    </row>
    <row r="635" spans="1:10" ht="14.4" x14ac:dyDescent="0.3">
      <c r="A635"/>
      <c r="B635"/>
      <c r="C635"/>
      <c r="D635"/>
      <c r="E635"/>
      <c r="F635"/>
      <c r="G635"/>
      <c r="H635"/>
      <c r="I635"/>
      <c r="J635"/>
    </row>
    <row r="636" spans="1:10" ht="14.4" x14ac:dyDescent="0.3">
      <c r="A636"/>
      <c r="B636"/>
      <c r="C636"/>
      <c r="D636"/>
      <c r="E636"/>
      <c r="F636"/>
      <c r="G636"/>
      <c r="H636"/>
      <c r="I636"/>
      <c r="J636"/>
    </row>
    <row r="637" spans="1:10" ht="14.4" x14ac:dyDescent="0.3">
      <c r="A637"/>
      <c r="B637"/>
      <c r="C637"/>
      <c r="D637"/>
      <c r="E637"/>
      <c r="F637"/>
      <c r="G637"/>
      <c r="H637"/>
      <c r="I637"/>
      <c r="J637"/>
    </row>
    <row r="638" spans="1:10" ht="14.4" x14ac:dyDescent="0.3">
      <c r="A638"/>
      <c r="B638"/>
      <c r="C638"/>
      <c r="D638"/>
      <c r="E638"/>
      <c r="F638"/>
      <c r="G638"/>
      <c r="H638"/>
      <c r="I638"/>
      <c r="J638"/>
    </row>
    <row r="639" spans="1:10" ht="14.4" x14ac:dyDescent="0.3">
      <c r="A639"/>
      <c r="B639"/>
      <c r="C639"/>
      <c r="D639"/>
      <c r="E639"/>
      <c r="F639"/>
      <c r="G639"/>
      <c r="H639"/>
      <c r="I639"/>
      <c r="J639"/>
    </row>
    <row r="640" spans="1:10" ht="14.4" x14ac:dyDescent="0.3">
      <c r="A640"/>
      <c r="B640"/>
      <c r="C640"/>
      <c r="D640"/>
      <c r="E640"/>
      <c r="F640"/>
      <c r="G640"/>
      <c r="H640"/>
      <c r="I640"/>
      <c r="J640"/>
    </row>
    <row r="641" spans="1:10" ht="14.4" x14ac:dyDescent="0.3">
      <c r="A641"/>
      <c r="B641"/>
      <c r="C641"/>
      <c r="D641"/>
      <c r="E641"/>
      <c r="F641"/>
      <c r="G641"/>
      <c r="H641"/>
      <c r="I641"/>
      <c r="J641"/>
    </row>
    <row r="642" spans="1:10" ht="14.4" x14ac:dyDescent="0.3">
      <c r="A642"/>
      <c r="B642"/>
      <c r="C642"/>
      <c r="D642"/>
      <c r="E642"/>
      <c r="F642"/>
      <c r="G642"/>
      <c r="H642"/>
      <c r="I642"/>
      <c r="J642"/>
    </row>
    <row r="643" spans="1:10" ht="14.4" x14ac:dyDescent="0.3">
      <c r="A643"/>
      <c r="B643"/>
      <c r="C643"/>
      <c r="D643"/>
      <c r="E643"/>
      <c r="F643"/>
      <c r="G643"/>
      <c r="H643"/>
      <c r="I643"/>
      <c r="J643"/>
    </row>
    <row r="644" spans="1:10" ht="14.4" x14ac:dyDescent="0.3">
      <c r="A644"/>
      <c r="B644"/>
      <c r="C644"/>
      <c r="D644"/>
      <c r="E644"/>
      <c r="F644"/>
      <c r="G644"/>
      <c r="H644"/>
      <c r="I644"/>
      <c r="J644"/>
    </row>
    <row r="645" spans="1:10" ht="14.4" x14ac:dyDescent="0.3">
      <c r="A645"/>
      <c r="B645"/>
      <c r="C645"/>
      <c r="D645"/>
      <c r="E645"/>
      <c r="F645"/>
      <c r="G645"/>
      <c r="H645"/>
      <c r="I645"/>
      <c r="J645"/>
    </row>
    <row r="646" spans="1:10" ht="14.4" x14ac:dyDescent="0.3">
      <c r="A646"/>
      <c r="B646"/>
      <c r="C646"/>
      <c r="D646"/>
      <c r="E646"/>
      <c r="F646"/>
      <c r="G646"/>
      <c r="H646"/>
      <c r="I646"/>
      <c r="J646"/>
    </row>
    <row r="647" spans="1:10" ht="14.4" x14ac:dyDescent="0.3">
      <c r="A647"/>
      <c r="B647"/>
      <c r="C647"/>
      <c r="D647"/>
      <c r="E647"/>
      <c r="F647"/>
      <c r="G647"/>
      <c r="H647"/>
      <c r="I647"/>
      <c r="J647"/>
    </row>
    <row r="648" spans="1:10" ht="14.4" x14ac:dyDescent="0.3">
      <c r="A648"/>
      <c r="B648"/>
      <c r="C648"/>
      <c r="D648"/>
      <c r="E648"/>
      <c r="F648"/>
      <c r="G648"/>
      <c r="H648"/>
      <c r="I648"/>
      <c r="J648"/>
    </row>
    <row r="649" spans="1:10" ht="14.4" x14ac:dyDescent="0.3">
      <c r="A649"/>
      <c r="B649"/>
      <c r="C649"/>
      <c r="D649"/>
      <c r="E649"/>
      <c r="F649"/>
      <c r="G649"/>
      <c r="H649"/>
      <c r="I649"/>
      <c r="J649"/>
    </row>
    <row r="650" spans="1:10" ht="14.4" x14ac:dyDescent="0.3">
      <c r="A650"/>
      <c r="B650"/>
      <c r="C650"/>
      <c r="D650"/>
      <c r="E650"/>
      <c r="F650"/>
      <c r="G650"/>
      <c r="H650"/>
      <c r="I650"/>
      <c r="J650"/>
    </row>
    <row r="651" spans="1:10" ht="14.4" x14ac:dyDescent="0.3">
      <c r="A651"/>
      <c r="B651"/>
      <c r="C651"/>
      <c r="D651"/>
      <c r="E651"/>
      <c r="F651"/>
      <c r="G651"/>
      <c r="H651"/>
      <c r="I651"/>
      <c r="J651"/>
    </row>
    <row r="652" spans="1:10" ht="14.4" x14ac:dyDescent="0.3">
      <c r="A652"/>
      <c r="B652"/>
      <c r="C652"/>
      <c r="D652"/>
      <c r="E652"/>
      <c r="F652"/>
      <c r="G652"/>
      <c r="H652"/>
      <c r="I652"/>
      <c r="J652"/>
    </row>
    <row r="653" spans="1:10" ht="14.4" x14ac:dyDescent="0.3">
      <c r="A653"/>
      <c r="B653"/>
      <c r="C653"/>
      <c r="D653"/>
      <c r="E653"/>
      <c r="F653"/>
      <c r="G653"/>
      <c r="H653"/>
      <c r="I653"/>
      <c r="J653"/>
    </row>
  </sheetData>
  <conditionalFormatting sqref="A1:XFD2 A360:XFD1048576 A4:B44 E13:E44 A3 A45:E173 G3:G173 A174:G284 A285:H359 J3:XFD359">
    <cfRule type="expression" dxfId="1178" priority="35">
      <formula>LEN(TRIM(A1))=0</formula>
    </cfRule>
    <cfRule type="expression" dxfId="1177" priority="36">
      <formula>LEN(TRIM(A1))=0</formula>
    </cfRule>
    <cfRule type="expression" dxfId="1176" priority="37">
      <formula>LEN(TRIM(A1))=0</formula>
    </cfRule>
    <cfRule type="expression" dxfId="1175" priority="38">
      <formula>LEN(TRIM(A1))=0</formula>
    </cfRule>
    <cfRule type="expression" dxfId="1174" priority="39">
      <formula>LEN(TRIM(A1))=0</formula>
    </cfRule>
    <cfRule type="expression" dxfId="1173" priority="40">
      <formula>LEN(TRIM(A1))=0</formula>
    </cfRule>
    <cfRule type="expression" dxfId="1172" priority="41">
      <formula>LEN(TRIM(A1))=0</formula>
    </cfRule>
    <cfRule type="expression" dxfId="1171" priority="42">
      <formula>LEN(TRIM(A1))=0</formula>
    </cfRule>
    <cfRule type="expression" dxfId="1170" priority="43">
      <formula>LEN(TRIM(A1))=0</formula>
    </cfRule>
    <cfRule type="expression" dxfId="1169" priority="44">
      <formula>LEN(TRIM(A1))=0</formula>
    </cfRule>
    <cfRule type="expression" dxfId="1168" priority="45">
      <formula>LEN(TRIM(A1))=0</formula>
    </cfRule>
    <cfRule type="expression" dxfId="1167" priority="46">
      <formula>LEN(TRIM(A1))=0</formula>
    </cfRule>
    <cfRule type="expression" dxfId="1166" priority="47">
      <formula>LEN(TRIM(A1))=0</formula>
    </cfRule>
    <cfRule type="expression" dxfId="1165" priority="48">
      <formula>LEN(TRIM(A1))=0</formula>
    </cfRule>
    <cfRule type="expression" dxfId="1164" priority="49">
      <formula>LEN(TRIM(A1))=0</formula>
    </cfRule>
    <cfRule type="expression" dxfId="1163" priority="50">
      <formula>LEN(TRIM(A1))=0</formula>
    </cfRule>
    <cfRule type="expression" dxfId="1162" priority="51">
      <formula>LEN(TRIM(A1))=0</formula>
    </cfRule>
    <cfRule type="expression" dxfId="1161" priority="52">
      <formula>LEN(TRIM(A1))=0</formula>
    </cfRule>
    <cfRule type="expression" dxfId="1160" priority="53">
      <formula>LEN(TRIM(A1))=0</formula>
    </cfRule>
    <cfRule type="expression" dxfId="1159" priority="54">
      <formula>LEN(TRIM(A1))=0</formula>
    </cfRule>
    <cfRule type="expression" dxfId="1158" priority="55">
      <formula>LEN(TRIM(A1))=0</formula>
    </cfRule>
    <cfRule type="expression" dxfId="1157" priority="56">
      <formula>LEN(TRIM(A1))=0</formula>
    </cfRule>
    <cfRule type="expression" dxfId="1156" priority="57">
      <formula>LEN(TRIM(A1))=0</formula>
    </cfRule>
    <cfRule type="expression" dxfId="1155" priority="58">
      <formula>LEN(TRIM(A1))=0</formula>
    </cfRule>
    <cfRule type="expression" dxfId="1154" priority="59">
      <formula>LEN(TRIM(A1))=0</formula>
    </cfRule>
    <cfRule type="expression" dxfId="1153" priority="60">
      <formula>LEN(TRIM(A1))=0</formula>
    </cfRule>
    <cfRule type="expression" dxfId="1152" priority="61">
      <formula>LEN(TRIM(A1))=0</formula>
    </cfRule>
    <cfRule type="expression" dxfId="1151" priority="62">
      <formula>LEN(TRIM(A1))=0</formula>
    </cfRule>
    <cfRule type="expression" dxfId="1150" priority="63">
      <formula>LEN(TRIM(A1))=0</formula>
    </cfRule>
    <cfRule type="expression" dxfId="1149" priority="64">
      <formula>LEN(TRIM(A1))=0</formula>
    </cfRule>
    <cfRule type="expression" dxfId="1148" priority="65">
      <formula>LEN(TRIM(A1))=0</formula>
    </cfRule>
    <cfRule type="expression" dxfId="1147" priority="66">
      <formula>LEN(TRIM(A1))=0</formula>
    </cfRule>
    <cfRule type="expression" dxfId="1146" priority="67">
      <formula>LEN(TRIM(A1))=0</formula>
    </cfRule>
    <cfRule type="expression" dxfId="1145" priority="68">
      <formula>LEN(TRIM(A1))=0</formula>
    </cfRule>
    <cfRule type="expression" dxfId="1144" priority="69">
      <formula>LEN(TRIM(A1))=0</formula>
    </cfRule>
  </conditionalFormatting>
  <conditionalFormatting sqref="A1:XFD1048576">
    <cfRule type="expression" dxfId="1143" priority="1">
      <formula>LEN(TRIM(A1))=0</formula>
    </cfRule>
    <cfRule type="expression" dxfId="1142" priority="2">
      <formula>LEN(TRIM(A1))=0</formula>
    </cfRule>
    <cfRule type="expression" dxfId="1141" priority="3">
      <formula>LEN(TRIM(A1))=0</formula>
    </cfRule>
    <cfRule type="expression" dxfId="1140" priority="4">
      <formula>LEN(TRIM(A1))=0</formula>
    </cfRule>
    <cfRule type="expression" dxfId="1139" priority="5">
      <formula>LEN(TRIM(A1))=0</formula>
    </cfRule>
    <cfRule type="expression" dxfId="1138" priority="6">
      <formula>LEN(TRIM(A1))=0</formula>
    </cfRule>
    <cfRule type="expression" dxfId="1137" priority="7">
      <formula>LEN(TRIM(A1))=0</formula>
    </cfRule>
    <cfRule type="expression" dxfId="1136" priority="8">
      <formula>LEN(TRIM(A1))=0</formula>
    </cfRule>
    <cfRule type="expression" dxfId="1135" priority="9">
      <formula>LEN(TRIM(A1))=0</formula>
    </cfRule>
    <cfRule type="expression" dxfId="1134" priority="10">
      <formula>LEN(TRIM(A1))=0</formula>
    </cfRule>
    <cfRule type="expression" dxfId="1133" priority="11">
      <formula>LEN(TRIM(A1))=0</formula>
    </cfRule>
    <cfRule type="expression" dxfId="1132" priority="12">
      <formula>LEN(TRIM(A1))=0</formula>
    </cfRule>
    <cfRule type="expression" dxfId="1131" priority="13">
      <formula>LEN(TRIM(A1))=0</formula>
    </cfRule>
    <cfRule type="expression" dxfId="1130" priority="14">
      <formula>LEN(TRIM(A1))=0</formula>
    </cfRule>
    <cfRule type="expression" dxfId="1129" priority="15">
      <formula>LEN(TRIM(A1))=0</formula>
    </cfRule>
    <cfRule type="expression" dxfId="1128" priority="16">
      <formula>LEN(TRIM(A1))=0</formula>
    </cfRule>
    <cfRule type="expression" dxfId="1127" priority="17">
      <formula>LEN(TRIM(A1))=0</formula>
    </cfRule>
    <cfRule type="expression" dxfId="1126" priority="18">
      <formula>LEN(TRIM(A1))=0</formula>
    </cfRule>
    <cfRule type="expression" dxfId="1125" priority="19">
      <formula>LEN(TRIM(A1))=0</formula>
    </cfRule>
    <cfRule type="expression" dxfId="1124" priority="20">
      <formula>LEN(TRIM(A1))=0</formula>
    </cfRule>
    <cfRule type="expression" dxfId="1123" priority="21">
      <formula>LEN(TRIM(A1))=0</formula>
    </cfRule>
    <cfRule type="expression" dxfId="1122" priority="22">
      <formula>LEN(TRIM(A1))=0</formula>
    </cfRule>
    <cfRule type="expression" dxfId="1121" priority="23">
      <formula>LEN(TRIM(A1))=0</formula>
    </cfRule>
    <cfRule type="expression" dxfId="1120" priority="24">
      <formula>LEN(TRIM(A1))=0</formula>
    </cfRule>
    <cfRule type="expression" dxfId="1119" priority="25">
      <formula>LEN(TRIM(A1))=0</formula>
    </cfRule>
    <cfRule type="expression" dxfId="1118" priority="26">
      <formula>LEN(TRIM(A1))=0</formula>
    </cfRule>
    <cfRule type="expression" dxfId="1117" priority="27">
      <formula>LEN(TRIM(A1))=0</formula>
    </cfRule>
    <cfRule type="expression" dxfId="1116" priority="28">
      <formula>LEN(TRIM(A1))=0</formula>
    </cfRule>
    <cfRule type="expression" dxfId="1115" priority="29">
      <formula>LEN(TRIM(A1))=0</formula>
    </cfRule>
    <cfRule type="expression" dxfId="1114" priority="30">
      <formula>LEN(TRIM(A1))=0</formula>
    </cfRule>
    <cfRule type="expression" dxfId="1113" priority="31">
      <formula>LEN(TRIM(A1))=0</formula>
    </cfRule>
    <cfRule type="expression" dxfId="1112" priority="32">
      <formula>LEN(TRIM(A1))=0</formula>
    </cfRule>
    <cfRule type="expression" dxfId="1111" priority="33">
      <formula>LEN(TRIM(A1))=0</formula>
    </cfRule>
    <cfRule type="expression" dxfId="1110" priority="34">
      <formula>LEN(TRIM(A1))=0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44CF-1B50-4DC4-BEED-295BCD670336}">
  <sheetPr codeName="Sheet11"/>
  <dimension ref="A1:J653"/>
  <sheetViews>
    <sheetView workbookViewId="0"/>
  </sheetViews>
  <sheetFormatPr defaultColWidth="10.44140625" defaultRowHeight="14.4" x14ac:dyDescent="0.3"/>
  <cols>
    <col min="1" max="1" width="5" style="169" bestFit="1" customWidth="1"/>
    <col min="2" max="2" width="26.77734375" style="169" bestFit="1" customWidth="1"/>
    <col min="3" max="3" width="12.88671875" style="169" bestFit="1" customWidth="1"/>
    <col min="4" max="4" width="19.5546875" style="169" bestFit="1" customWidth="1"/>
    <col min="5" max="5" width="15.5546875" style="169" bestFit="1" customWidth="1"/>
    <col min="6" max="6" width="12.21875" style="169" bestFit="1" customWidth="1"/>
    <col min="7" max="7" width="22.6640625" style="169" bestFit="1" customWidth="1"/>
    <col min="8" max="8" width="11.33203125" style="169" bestFit="1" customWidth="1"/>
    <col min="9" max="9" width="12.109375" style="169" bestFit="1" customWidth="1"/>
    <col min="10" max="10" width="9.109375" style="169" hidden="1" customWidth="1"/>
    <col min="11" max="11" width="14.6640625" style="169" customWidth="1"/>
    <col min="12" max="16384" width="10.44140625" style="169"/>
  </cols>
  <sheetData>
    <row r="1" spans="1:9" ht="51.6" x14ac:dyDescent="0.3">
      <c r="A1" s="409"/>
      <c r="B1" s="410" t="s">
        <v>364</v>
      </c>
      <c r="C1" s="410" t="s">
        <v>365</v>
      </c>
      <c r="D1" s="410" t="s">
        <v>368</v>
      </c>
      <c r="E1" s="410" t="s">
        <v>362</v>
      </c>
      <c r="F1" s="410" t="s">
        <v>361</v>
      </c>
      <c r="G1" s="410" t="s">
        <v>366</v>
      </c>
      <c r="H1" s="410" t="s">
        <v>363</v>
      </c>
      <c r="I1" s="410" t="s">
        <v>369</v>
      </c>
    </row>
    <row r="2" spans="1:9" x14ac:dyDescent="0.3">
      <c r="A2" s="169">
        <v>2041</v>
      </c>
      <c r="B2" s="169" t="s">
        <v>539</v>
      </c>
      <c r="C2" s="169" t="s">
        <v>558</v>
      </c>
      <c r="D2" s="169" t="s">
        <v>553</v>
      </c>
      <c r="E2" s="169" t="s">
        <v>556</v>
      </c>
      <c r="F2" s="169" t="s">
        <v>374</v>
      </c>
      <c r="G2" s="169" t="s">
        <v>555</v>
      </c>
      <c r="H2" s="169" t="s">
        <v>389</v>
      </c>
      <c r="I2" s="169" t="s">
        <v>550</v>
      </c>
    </row>
    <row r="3" spans="1:9" x14ac:dyDescent="0.3">
      <c r="B3" s="169" t="s">
        <v>539</v>
      </c>
      <c r="C3" s="169" t="s">
        <v>558</v>
      </c>
      <c r="D3" s="169" t="s">
        <v>553</v>
      </c>
      <c r="E3" s="169" t="s">
        <v>566</v>
      </c>
      <c r="F3" s="169" t="s">
        <v>374</v>
      </c>
      <c r="G3" s="169" t="s">
        <v>632</v>
      </c>
      <c r="H3" s="169" t="s">
        <v>391</v>
      </c>
      <c r="I3" s="169" t="s">
        <v>624</v>
      </c>
    </row>
    <row r="4" spans="1:9" x14ac:dyDescent="0.3">
      <c r="B4" s="169" t="s">
        <v>539</v>
      </c>
      <c r="C4" s="169" t="s">
        <v>558</v>
      </c>
      <c r="D4" s="169" t="s">
        <v>553</v>
      </c>
      <c r="E4" s="169" t="s">
        <v>566</v>
      </c>
      <c r="F4" s="169" t="s">
        <v>374</v>
      </c>
      <c r="G4" s="169" t="s">
        <v>565</v>
      </c>
      <c r="H4" s="169" t="s">
        <v>389</v>
      </c>
      <c r="I4" s="169" t="s">
        <v>550</v>
      </c>
    </row>
    <row r="5" spans="1:9" x14ac:dyDescent="0.3">
      <c r="B5" s="169" t="s">
        <v>539</v>
      </c>
      <c r="C5" s="169" t="s">
        <v>558</v>
      </c>
      <c r="D5" s="169" t="s">
        <v>553</v>
      </c>
      <c r="E5" s="169" t="s">
        <v>566</v>
      </c>
      <c r="F5" s="169" t="s">
        <v>374</v>
      </c>
      <c r="G5" s="169" t="s">
        <v>608</v>
      </c>
      <c r="H5" s="169" t="s">
        <v>390</v>
      </c>
      <c r="I5" s="169" t="s">
        <v>550</v>
      </c>
    </row>
    <row r="6" spans="1:9" x14ac:dyDescent="0.3">
      <c r="B6" s="169" t="s">
        <v>539</v>
      </c>
      <c r="C6" s="169" t="s">
        <v>558</v>
      </c>
      <c r="D6" s="169" t="s">
        <v>553</v>
      </c>
      <c r="E6" s="169" t="s">
        <v>570</v>
      </c>
      <c r="F6" s="169" t="s">
        <v>374</v>
      </c>
      <c r="G6" s="169" t="s">
        <v>645</v>
      </c>
      <c r="H6" s="169" t="s">
        <v>390</v>
      </c>
      <c r="I6" s="169" t="s">
        <v>550</v>
      </c>
    </row>
    <row r="7" spans="1:9" x14ac:dyDescent="0.3">
      <c r="B7" s="169" t="s">
        <v>539</v>
      </c>
      <c r="C7" s="169" t="s">
        <v>558</v>
      </c>
      <c r="D7" s="169" t="s">
        <v>553</v>
      </c>
      <c r="E7" s="169" t="s">
        <v>570</v>
      </c>
      <c r="F7" s="169" t="s">
        <v>374</v>
      </c>
      <c r="G7" s="169" t="s">
        <v>569</v>
      </c>
      <c r="H7" s="169" t="s">
        <v>389</v>
      </c>
      <c r="I7" s="169" t="s">
        <v>550</v>
      </c>
    </row>
    <row r="8" spans="1:9" x14ac:dyDescent="0.3">
      <c r="B8" s="169" t="s">
        <v>539</v>
      </c>
      <c r="C8" s="169" t="s">
        <v>558</v>
      </c>
      <c r="D8" s="169" t="s">
        <v>553</v>
      </c>
      <c r="E8" s="169" t="s">
        <v>574</v>
      </c>
      <c r="F8" s="169" t="s">
        <v>374</v>
      </c>
      <c r="G8" s="169" t="s">
        <v>573</v>
      </c>
      <c r="H8" s="169" t="s">
        <v>389</v>
      </c>
      <c r="I8" s="169" t="s">
        <v>550</v>
      </c>
    </row>
    <row r="9" spans="1:9" x14ac:dyDescent="0.3">
      <c r="B9" s="169" t="s">
        <v>539</v>
      </c>
      <c r="C9" s="169" t="s">
        <v>558</v>
      </c>
      <c r="D9" s="169" t="s">
        <v>553</v>
      </c>
      <c r="E9" s="169" t="s">
        <v>578</v>
      </c>
      <c r="F9" s="169" t="s">
        <v>374</v>
      </c>
      <c r="G9" s="169" t="s">
        <v>577</v>
      </c>
      <c r="H9" s="169" t="s">
        <v>389</v>
      </c>
      <c r="I9" s="169" t="s">
        <v>550</v>
      </c>
    </row>
    <row r="10" spans="1:9" x14ac:dyDescent="0.3">
      <c r="B10" s="169" t="s">
        <v>539</v>
      </c>
      <c r="C10" s="169" t="s">
        <v>558</v>
      </c>
      <c r="D10" s="169" t="s">
        <v>553</v>
      </c>
      <c r="E10" s="169" t="s">
        <v>582</v>
      </c>
      <c r="F10" s="169" t="s">
        <v>374</v>
      </c>
      <c r="G10" s="169" t="s">
        <v>581</v>
      </c>
      <c r="H10" s="169" t="s">
        <v>389</v>
      </c>
      <c r="I10" s="169" t="s">
        <v>550</v>
      </c>
    </row>
    <row r="11" spans="1:9" x14ac:dyDescent="0.3">
      <c r="B11" s="169" t="s">
        <v>539</v>
      </c>
      <c r="C11" s="169" t="s">
        <v>558</v>
      </c>
      <c r="D11" s="169" t="s">
        <v>553</v>
      </c>
      <c r="E11" s="169" t="s">
        <v>597</v>
      </c>
      <c r="F11" s="169" t="s">
        <v>372</v>
      </c>
      <c r="G11" s="169" t="s">
        <v>695</v>
      </c>
      <c r="H11" s="169" t="s">
        <v>390</v>
      </c>
      <c r="I11" s="169" t="s">
        <v>624</v>
      </c>
    </row>
    <row r="12" spans="1:9" x14ac:dyDescent="0.3">
      <c r="B12" s="169" t="s">
        <v>539</v>
      </c>
      <c r="C12" s="169" t="s">
        <v>558</v>
      </c>
      <c r="D12" s="169" t="s">
        <v>553</v>
      </c>
      <c r="E12" s="169" t="s">
        <v>597</v>
      </c>
      <c r="F12" s="169" t="s">
        <v>372</v>
      </c>
      <c r="G12" s="169" t="s">
        <v>686</v>
      </c>
      <c r="H12" s="169" t="s">
        <v>389</v>
      </c>
      <c r="I12" s="169" t="s">
        <v>624</v>
      </c>
    </row>
    <row r="13" spans="1:9" x14ac:dyDescent="0.3">
      <c r="B13" s="169" t="s">
        <v>539</v>
      </c>
      <c r="C13" s="169" t="s">
        <v>558</v>
      </c>
      <c r="D13" s="169" t="s">
        <v>553</v>
      </c>
      <c r="E13" s="169" t="s">
        <v>611</v>
      </c>
      <c r="F13" s="169" t="s">
        <v>373</v>
      </c>
      <c r="G13" s="169" t="s">
        <v>820</v>
      </c>
      <c r="H13" s="169" t="s">
        <v>389</v>
      </c>
      <c r="I13" s="169" t="s">
        <v>624</v>
      </c>
    </row>
    <row r="14" spans="1:9" x14ac:dyDescent="0.3">
      <c r="B14" s="169" t="s">
        <v>539</v>
      </c>
      <c r="C14" s="169" t="s">
        <v>558</v>
      </c>
      <c r="D14" s="169" t="s">
        <v>553</v>
      </c>
      <c r="E14" s="169" t="s">
        <v>616</v>
      </c>
      <c r="F14" s="169" t="s">
        <v>374</v>
      </c>
      <c r="G14" s="169" t="s">
        <v>615</v>
      </c>
      <c r="H14" s="169" t="s">
        <v>389</v>
      </c>
      <c r="I14" s="169" t="s">
        <v>550</v>
      </c>
    </row>
    <row r="15" spans="1:9" x14ac:dyDescent="0.3">
      <c r="B15" s="169" t="s">
        <v>539</v>
      </c>
      <c r="C15" s="169" t="s">
        <v>558</v>
      </c>
      <c r="D15" s="169" t="s">
        <v>553</v>
      </c>
      <c r="E15" s="169" t="s">
        <v>616</v>
      </c>
      <c r="F15" s="169" t="s">
        <v>374</v>
      </c>
      <c r="G15" s="169" t="s">
        <v>626</v>
      </c>
      <c r="H15" s="169" t="s">
        <v>390</v>
      </c>
      <c r="I15" s="169" t="s">
        <v>624</v>
      </c>
    </row>
    <row r="16" spans="1:9" x14ac:dyDescent="0.3">
      <c r="B16" s="169" t="s">
        <v>539</v>
      </c>
      <c r="C16" s="169" t="s">
        <v>558</v>
      </c>
      <c r="D16" s="169" t="s">
        <v>553</v>
      </c>
      <c r="E16" s="169" t="s">
        <v>636</v>
      </c>
      <c r="F16" s="169" t="s">
        <v>374</v>
      </c>
      <c r="G16" s="169" t="s">
        <v>635</v>
      </c>
      <c r="H16" s="169" t="s">
        <v>389</v>
      </c>
      <c r="I16" s="169" t="s">
        <v>550</v>
      </c>
    </row>
    <row r="17" spans="2:9" x14ac:dyDescent="0.3">
      <c r="B17" s="169" t="s">
        <v>539</v>
      </c>
      <c r="C17" s="169" t="s">
        <v>558</v>
      </c>
      <c r="D17" s="169" t="s">
        <v>553</v>
      </c>
      <c r="E17" s="169" t="s">
        <v>639</v>
      </c>
      <c r="F17" s="169" t="s">
        <v>374</v>
      </c>
      <c r="G17" s="169" t="s">
        <v>642</v>
      </c>
      <c r="H17" s="169" t="s">
        <v>389</v>
      </c>
      <c r="I17" s="169" t="s">
        <v>550</v>
      </c>
    </row>
    <row r="18" spans="2:9" x14ac:dyDescent="0.3">
      <c r="B18" s="169" t="s">
        <v>539</v>
      </c>
      <c r="C18" s="169" t="s">
        <v>558</v>
      </c>
      <c r="D18" s="169" t="s">
        <v>553</v>
      </c>
      <c r="E18" s="169" t="s">
        <v>650</v>
      </c>
      <c r="F18" s="169" t="s">
        <v>372</v>
      </c>
      <c r="G18" s="169" t="s">
        <v>699</v>
      </c>
      <c r="H18" s="169" t="s">
        <v>389</v>
      </c>
      <c r="I18" s="169" t="s">
        <v>624</v>
      </c>
    </row>
    <row r="19" spans="2:9" x14ac:dyDescent="0.3">
      <c r="B19" s="169" t="s">
        <v>539</v>
      </c>
      <c r="C19" s="169" t="s">
        <v>558</v>
      </c>
      <c r="D19" s="169" t="s">
        <v>553</v>
      </c>
      <c r="E19" s="169" t="s">
        <v>673</v>
      </c>
      <c r="F19" s="169" t="s">
        <v>374</v>
      </c>
      <c r="G19" s="169" t="s">
        <v>672</v>
      </c>
      <c r="H19" s="169" t="s">
        <v>389</v>
      </c>
      <c r="I19" s="169" t="s">
        <v>550</v>
      </c>
    </row>
    <row r="20" spans="2:9" x14ac:dyDescent="0.3">
      <c r="B20" s="169" t="s">
        <v>539</v>
      </c>
      <c r="C20" s="169" t="s">
        <v>558</v>
      </c>
      <c r="D20" s="169" t="s">
        <v>553</v>
      </c>
      <c r="E20" s="169" t="s">
        <v>703</v>
      </c>
      <c r="F20" s="169" t="s">
        <v>372</v>
      </c>
      <c r="G20" s="169" t="s">
        <v>702</v>
      </c>
      <c r="H20" s="169" t="s">
        <v>389</v>
      </c>
      <c r="I20" s="169" t="s">
        <v>624</v>
      </c>
    </row>
    <row r="21" spans="2:9" x14ac:dyDescent="0.3">
      <c r="B21" s="169" t="s">
        <v>539</v>
      </c>
      <c r="C21" s="169" t="s">
        <v>558</v>
      </c>
      <c r="D21" s="169" t="s">
        <v>553</v>
      </c>
      <c r="E21" s="169" t="s">
        <v>710</v>
      </c>
      <c r="F21" s="169" t="s">
        <v>372</v>
      </c>
      <c r="G21" s="169" t="s">
        <v>709</v>
      </c>
      <c r="H21" s="169" t="s">
        <v>389</v>
      </c>
      <c r="I21" s="169" t="s">
        <v>624</v>
      </c>
    </row>
    <row r="22" spans="2:9" x14ac:dyDescent="0.3">
      <c r="B22" s="169" t="s">
        <v>539</v>
      </c>
      <c r="C22" s="169" t="s">
        <v>558</v>
      </c>
      <c r="D22" s="169" t="s">
        <v>553</v>
      </c>
      <c r="E22" s="169" t="s">
        <v>715</v>
      </c>
      <c r="F22" s="169" t="s">
        <v>372</v>
      </c>
      <c r="G22" s="169" t="s">
        <v>853</v>
      </c>
      <c r="H22" s="169" t="s">
        <v>390</v>
      </c>
      <c r="I22" s="169" t="s">
        <v>624</v>
      </c>
    </row>
    <row r="23" spans="2:9" x14ac:dyDescent="0.3">
      <c r="B23" s="169" t="s">
        <v>539</v>
      </c>
      <c r="C23" s="169" t="s">
        <v>558</v>
      </c>
      <c r="D23" s="169" t="s">
        <v>553</v>
      </c>
      <c r="E23" s="169" t="s">
        <v>715</v>
      </c>
      <c r="F23" s="169" t="s">
        <v>373</v>
      </c>
      <c r="G23" s="169" t="s">
        <v>714</v>
      </c>
      <c r="H23" s="169" t="s">
        <v>389</v>
      </c>
      <c r="I23" s="169" t="s">
        <v>550</v>
      </c>
    </row>
    <row r="24" spans="2:9" x14ac:dyDescent="0.3">
      <c r="B24" s="169" t="s">
        <v>539</v>
      </c>
      <c r="C24" s="169" t="s">
        <v>558</v>
      </c>
      <c r="D24" s="169" t="s">
        <v>553</v>
      </c>
      <c r="E24" s="169" t="s">
        <v>748</v>
      </c>
      <c r="F24" s="169" t="s">
        <v>374</v>
      </c>
      <c r="G24" s="169" t="s">
        <v>836</v>
      </c>
      <c r="H24" s="169" t="s">
        <v>389</v>
      </c>
      <c r="I24" s="169" t="s">
        <v>550</v>
      </c>
    </row>
    <row r="25" spans="2:9" x14ac:dyDescent="0.3">
      <c r="B25" s="169" t="s">
        <v>539</v>
      </c>
      <c r="C25" s="169" t="s">
        <v>558</v>
      </c>
      <c r="D25" s="169" t="s">
        <v>553</v>
      </c>
      <c r="E25" s="169" t="s">
        <v>751</v>
      </c>
      <c r="F25" s="169" t="s">
        <v>374</v>
      </c>
      <c r="G25" s="169" t="s">
        <v>750</v>
      </c>
      <c r="H25" s="169" t="s">
        <v>389</v>
      </c>
      <c r="I25" s="169" t="s">
        <v>550</v>
      </c>
    </row>
    <row r="26" spans="2:9" x14ac:dyDescent="0.3">
      <c r="B26" s="169" t="s">
        <v>539</v>
      </c>
      <c r="C26" s="169" t="s">
        <v>558</v>
      </c>
      <c r="D26" s="169" t="s">
        <v>553</v>
      </c>
      <c r="E26" s="169" t="s">
        <v>756</v>
      </c>
      <c r="F26" s="169" t="s">
        <v>374</v>
      </c>
      <c r="G26" s="169" t="s">
        <v>755</v>
      </c>
      <c r="H26" s="169" t="s">
        <v>389</v>
      </c>
      <c r="I26" s="169" t="s">
        <v>550</v>
      </c>
    </row>
    <row r="27" spans="2:9" x14ac:dyDescent="0.3">
      <c r="B27" s="169" t="s">
        <v>539</v>
      </c>
      <c r="C27" s="169" t="s">
        <v>558</v>
      </c>
      <c r="D27" s="169" t="s">
        <v>553</v>
      </c>
      <c r="E27" s="169" t="s">
        <v>756</v>
      </c>
      <c r="F27" s="169" t="s">
        <v>374</v>
      </c>
      <c r="G27" s="169" t="s">
        <v>762</v>
      </c>
      <c r="H27" s="169" t="s">
        <v>390</v>
      </c>
      <c r="I27" s="169" t="s">
        <v>550</v>
      </c>
    </row>
    <row r="28" spans="2:9" x14ac:dyDescent="0.3">
      <c r="B28" s="169" t="s">
        <v>539</v>
      </c>
      <c r="C28" s="169" t="s">
        <v>558</v>
      </c>
      <c r="D28" s="169" t="s">
        <v>553</v>
      </c>
      <c r="E28" s="169" t="s">
        <v>776</v>
      </c>
      <c r="F28" s="169" t="s">
        <v>373</v>
      </c>
      <c r="G28" s="169" t="s">
        <v>775</v>
      </c>
      <c r="H28" s="169" t="s">
        <v>389</v>
      </c>
      <c r="I28" s="169" t="s">
        <v>550</v>
      </c>
    </row>
    <row r="29" spans="2:9" x14ac:dyDescent="0.3">
      <c r="B29" s="169" t="s">
        <v>539</v>
      </c>
      <c r="C29" s="169" t="s">
        <v>558</v>
      </c>
      <c r="D29" s="169" t="s">
        <v>553</v>
      </c>
      <c r="E29" s="169" t="s">
        <v>782</v>
      </c>
      <c r="F29" s="169" t="s">
        <v>373</v>
      </c>
      <c r="G29" s="169" t="s">
        <v>781</v>
      </c>
      <c r="H29" s="169" t="s">
        <v>389</v>
      </c>
      <c r="I29" s="169" t="s">
        <v>550</v>
      </c>
    </row>
    <row r="30" spans="2:9" x14ac:dyDescent="0.3">
      <c r="B30" s="169" t="s">
        <v>539</v>
      </c>
      <c r="C30" s="169" t="s">
        <v>558</v>
      </c>
      <c r="D30" s="169" t="s">
        <v>553</v>
      </c>
      <c r="E30" s="169" t="s">
        <v>794</v>
      </c>
      <c r="F30" s="169" t="s">
        <v>373</v>
      </c>
      <c r="G30" s="169" t="s">
        <v>793</v>
      </c>
      <c r="H30" s="169" t="s">
        <v>389</v>
      </c>
      <c r="I30" s="169" t="s">
        <v>550</v>
      </c>
    </row>
    <row r="31" spans="2:9" x14ac:dyDescent="0.3">
      <c r="B31" s="169" t="s">
        <v>539</v>
      </c>
      <c r="C31" s="169" t="s">
        <v>558</v>
      </c>
      <c r="D31" s="169" t="s">
        <v>553</v>
      </c>
      <c r="E31" s="169" t="s">
        <v>794</v>
      </c>
      <c r="F31" s="169" t="s">
        <v>373</v>
      </c>
      <c r="G31" s="169" t="s">
        <v>800</v>
      </c>
      <c r="H31" s="169" t="s">
        <v>390</v>
      </c>
      <c r="I31" s="169" t="s">
        <v>550</v>
      </c>
    </row>
    <row r="32" spans="2:9" x14ac:dyDescent="0.3">
      <c r="B32" s="169" t="s">
        <v>539</v>
      </c>
      <c r="C32" s="169" t="s">
        <v>558</v>
      </c>
      <c r="D32" s="169" t="s">
        <v>553</v>
      </c>
      <c r="E32" s="169" t="s">
        <v>804</v>
      </c>
      <c r="F32" s="169" t="s">
        <v>373</v>
      </c>
      <c r="G32" s="169" t="s">
        <v>806</v>
      </c>
      <c r="H32" s="169" t="s">
        <v>389</v>
      </c>
      <c r="I32" s="169" t="s">
        <v>624</v>
      </c>
    </row>
    <row r="33" spans="1:9" x14ac:dyDescent="0.3">
      <c r="A33"/>
      <c r="B33"/>
      <c r="C33"/>
      <c r="D33"/>
      <c r="E33"/>
      <c r="F33"/>
      <c r="G33"/>
      <c r="H33"/>
      <c r="I33"/>
    </row>
    <row r="34" spans="1:9" x14ac:dyDescent="0.3">
      <c r="A34"/>
      <c r="B34"/>
      <c r="C34"/>
      <c r="D34"/>
      <c r="E34"/>
      <c r="F34"/>
      <c r="G34"/>
      <c r="H34"/>
      <c r="I34"/>
    </row>
    <row r="35" spans="1:9" x14ac:dyDescent="0.3">
      <c r="A35"/>
      <c r="B35"/>
      <c r="C35"/>
      <c r="D35"/>
      <c r="E35"/>
      <c r="F35"/>
      <c r="G35"/>
      <c r="H35"/>
      <c r="I35"/>
    </row>
    <row r="36" spans="1:9" x14ac:dyDescent="0.3">
      <c r="A36"/>
      <c r="B36"/>
      <c r="C36"/>
      <c r="D36"/>
      <c r="E36"/>
      <c r="F36"/>
      <c r="G36"/>
      <c r="H36"/>
      <c r="I36"/>
    </row>
    <row r="37" spans="1:9" x14ac:dyDescent="0.3">
      <c r="A37"/>
      <c r="B37"/>
      <c r="C37"/>
      <c r="D37"/>
      <c r="E37"/>
      <c r="F37"/>
      <c r="G37"/>
      <c r="H37"/>
      <c r="I37"/>
    </row>
    <row r="38" spans="1:9" x14ac:dyDescent="0.3">
      <c r="A38"/>
      <c r="B38"/>
      <c r="C38"/>
      <c r="D38"/>
      <c r="E38"/>
      <c r="F38"/>
      <c r="G38"/>
      <c r="H38"/>
      <c r="I38"/>
    </row>
    <row r="39" spans="1:9" x14ac:dyDescent="0.3">
      <c r="A39"/>
      <c r="B39"/>
      <c r="C39"/>
      <c r="D39"/>
      <c r="E39"/>
      <c r="F39"/>
      <c r="G39"/>
      <c r="H39"/>
      <c r="I39"/>
    </row>
    <row r="40" spans="1:9" x14ac:dyDescent="0.3">
      <c r="A40"/>
      <c r="B40"/>
      <c r="C40"/>
      <c r="D40"/>
      <c r="E40"/>
      <c r="F40"/>
      <c r="G40"/>
      <c r="H40"/>
      <c r="I40"/>
    </row>
    <row r="41" spans="1:9" x14ac:dyDescent="0.3">
      <c r="A41"/>
      <c r="B41"/>
      <c r="C41"/>
      <c r="D41"/>
      <c r="E41"/>
      <c r="F41"/>
      <c r="G41"/>
      <c r="H41"/>
      <c r="I41"/>
    </row>
    <row r="42" spans="1:9" x14ac:dyDescent="0.3">
      <c r="A42"/>
      <c r="B42"/>
      <c r="C42"/>
      <c r="D42"/>
      <c r="E42"/>
      <c r="F42"/>
      <c r="G42"/>
      <c r="H42"/>
      <c r="I42"/>
    </row>
    <row r="43" spans="1:9" x14ac:dyDescent="0.3">
      <c r="A43"/>
      <c r="B43"/>
      <c r="C43"/>
      <c r="D43"/>
      <c r="E43"/>
      <c r="F43"/>
      <c r="G43"/>
      <c r="H43"/>
      <c r="I43"/>
    </row>
    <row r="44" spans="1:9" x14ac:dyDescent="0.3">
      <c r="A44"/>
      <c r="B44"/>
      <c r="C44"/>
      <c r="D44"/>
      <c r="E44"/>
      <c r="F44"/>
      <c r="G44"/>
      <c r="H44"/>
      <c r="I44"/>
    </row>
    <row r="45" spans="1:9" x14ac:dyDescent="0.3">
      <c r="A45"/>
      <c r="B45"/>
      <c r="C45"/>
      <c r="D45"/>
      <c r="E45"/>
      <c r="F45"/>
      <c r="G45"/>
      <c r="H45"/>
      <c r="I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A47"/>
      <c r="B47"/>
      <c r="C47"/>
      <c r="D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H53"/>
      <c r="I53"/>
    </row>
    <row r="54" spans="1:9" x14ac:dyDescent="0.3">
      <c r="A54"/>
      <c r="B54"/>
      <c r="C54"/>
      <c r="D54"/>
      <c r="E54"/>
      <c r="F54"/>
      <c r="G54"/>
      <c r="H54"/>
      <c r="I54"/>
    </row>
    <row r="55" spans="1:9" x14ac:dyDescent="0.3">
      <c r="A55"/>
      <c r="B55"/>
      <c r="C55"/>
      <c r="D55"/>
      <c r="E55"/>
      <c r="F55"/>
      <c r="G55"/>
      <c r="H55"/>
      <c r="I55"/>
    </row>
    <row r="56" spans="1:9" x14ac:dyDescent="0.3">
      <c r="A56"/>
      <c r="B56"/>
      <c r="C56"/>
      <c r="D56"/>
      <c r="E56"/>
      <c r="F56"/>
      <c r="G56"/>
      <c r="H56"/>
      <c r="I56"/>
    </row>
    <row r="57" spans="1:9" x14ac:dyDescent="0.3">
      <c r="A57"/>
      <c r="B57"/>
      <c r="C57"/>
      <c r="D57"/>
      <c r="E57"/>
      <c r="F57"/>
      <c r="G57"/>
      <c r="H57"/>
      <c r="I57"/>
    </row>
    <row r="58" spans="1:9" x14ac:dyDescent="0.3">
      <c r="A58"/>
      <c r="B58"/>
      <c r="C58"/>
      <c r="D58"/>
      <c r="E58"/>
      <c r="F58"/>
      <c r="G58"/>
      <c r="H58"/>
      <c r="I58"/>
    </row>
    <row r="59" spans="1:9" x14ac:dyDescent="0.3">
      <c r="A59"/>
      <c r="B59"/>
      <c r="C59"/>
      <c r="D59"/>
      <c r="E59"/>
      <c r="F59"/>
      <c r="G59"/>
      <c r="H59"/>
      <c r="I59"/>
    </row>
    <row r="60" spans="1:9" x14ac:dyDescent="0.3">
      <c r="A60"/>
      <c r="B60"/>
      <c r="C60"/>
      <c r="D60"/>
      <c r="E60"/>
      <c r="F60"/>
      <c r="G60"/>
      <c r="H60"/>
      <c r="I60"/>
    </row>
    <row r="61" spans="1:9" x14ac:dyDescent="0.3">
      <c r="A61"/>
      <c r="B61"/>
      <c r="C61"/>
      <c r="D61"/>
      <c r="E61"/>
      <c r="F61"/>
      <c r="G61"/>
      <c r="H61"/>
      <c r="I61"/>
    </row>
    <row r="62" spans="1:9" x14ac:dyDescent="0.3">
      <c r="A62"/>
      <c r="B62"/>
      <c r="C62"/>
      <c r="D62"/>
      <c r="E62"/>
      <c r="F62"/>
      <c r="G62"/>
      <c r="H62"/>
      <c r="I62"/>
    </row>
    <row r="63" spans="1:9" x14ac:dyDescent="0.3">
      <c r="A63"/>
      <c r="B63"/>
      <c r="C63"/>
      <c r="D63"/>
      <c r="E63"/>
      <c r="F63"/>
      <c r="G63"/>
      <c r="H63"/>
      <c r="I63"/>
    </row>
    <row r="64" spans="1:9" x14ac:dyDescent="0.3">
      <c r="A64"/>
      <c r="B64"/>
      <c r="C64"/>
      <c r="D64"/>
      <c r="E64"/>
      <c r="F64"/>
      <c r="G64"/>
      <c r="H64"/>
      <c r="I64"/>
    </row>
    <row r="65" spans="1:9" x14ac:dyDescent="0.3">
      <c r="A65"/>
      <c r="B65"/>
      <c r="C65"/>
      <c r="D65"/>
      <c r="E65"/>
      <c r="F65"/>
      <c r="G65"/>
      <c r="H65"/>
      <c r="I65"/>
    </row>
    <row r="66" spans="1:9" x14ac:dyDescent="0.3">
      <c r="A66"/>
      <c r="B66"/>
      <c r="C66"/>
      <c r="D66"/>
      <c r="E66"/>
      <c r="F66"/>
      <c r="G66"/>
      <c r="H66"/>
      <c r="I66"/>
    </row>
    <row r="67" spans="1:9" x14ac:dyDescent="0.3">
      <c r="A67"/>
      <c r="B67"/>
      <c r="C67"/>
      <c r="D67"/>
      <c r="E67"/>
      <c r="F67"/>
      <c r="G67"/>
      <c r="H67"/>
      <c r="I67"/>
    </row>
    <row r="68" spans="1:9" x14ac:dyDescent="0.3">
      <c r="A68"/>
      <c r="B68"/>
      <c r="C68"/>
      <c r="D68"/>
      <c r="E68"/>
      <c r="F68"/>
      <c r="G68"/>
      <c r="H68"/>
      <c r="I68"/>
    </row>
    <row r="69" spans="1:9" x14ac:dyDescent="0.3">
      <c r="A69"/>
      <c r="B69"/>
      <c r="C69"/>
      <c r="D69"/>
      <c r="E69"/>
      <c r="F69"/>
      <c r="G69"/>
      <c r="H69"/>
      <c r="I69"/>
    </row>
    <row r="70" spans="1:9" x14ac:dyDescent="0.3">
      <c r="A70"/>
      <c r="B70"/>
      <c r="C70"/>
      <c r="D70"/>
      <c r="E70"/>
      <c r="F70"/>
      <c r="G70"/>
      <c r="H70"/>
      <c r="I70"/>
    </row>
    <row r="71" spans="1:9" x14ac:dyDescent="0.3">
      <c r="A71"/>
      <c r="B71"/>
      <c r="C71"/>
      <c r="D71"/>
      <c r="E71"/>
      <c r="F71"/>
      <c r="G71"/>
      <c r="H71"/>
      <c r="I71"/>
    </row>
    <row r="72" spans="1:9" x14ac:dyDescent="0.3">
      <c r="A72"/>
      <c r="B72"/>
      <c r="C72"/>
      <c r="D72"/>
      <c r="E72"/>
      <c r="F72"/>
      <c r="G72"/>
      <c r="H72"/>
      <c r="I72"/>
    </row>
    <row r="73" spans="1:9" x14ac:dyDescent="0.3">
      <c r="A73"/>
      <c r="B73"/>
      <c r="C73"/>
      <c r="D73"/>
      <c r="E73"/>
      <c r="F73"/>
      <c r="G73"/>
      <c r="H73"/>
      <c r="I73"/>
    </row>
    <row r="74" spans="1:9" x14ac:dyDescent="0.3">
      <c r="A74"/>
      <c r="B74"/>
      <c r="C74"/>
      <c r="D74"/>
      <c r="E74"/>
      <c r="F74"/>
      <c r="G74"/>
      <c r="H74"/>
      <c r="I74"/>
    </row>
    <row r="75" spans="1:9" x14ac:dyDescent="0.3">
      <c r="A75"/>
      <c r="B75"/>
      <c r="C75"/>
      <c r="D75"/>
      <c r="E75"/>
      <c r="F75"/>
      <c r="G75"/>
      <c r="H75"/>
      <c r="I75"/>
    </row>
    <row r="76" spans="1:9" x14ac:dyDescent="0.3">
      <c r="A76"/>
      <c r="B76"/>
      <c r="C76"/>
      <c r="D76"/>
      <c r="E76"/>
      <c r="F76"/>
      <c r="G76"/>
      <c r="H76"/>
      <c r="I76"/>
    </row>
    <row r="77" spans="1:9" x14ac:dyDescent="0.3">
      <c r="A77"/>
      <c r="B77"/>
      <c r="C77"/>
      <c r="D77"/>
      <c r="E77"/>
      <c r="F77"/>
      <c r="G77"/>
      <c r="H77"/>
      <c r="I77"/>
    </row>
    <row r="78" spans="1:9" x14ac:dyDescent="0.3">
      <c r="A78"/>
      <c r="B78"/>
      <c r="C78"/>
      <c r="D78"/>
      <c r="E78"/>
      <c r="F78"/>
      <c r="G78"/>
      <c r="H78"/>
      <c r="I78"/>
    </row>
    <row r="79" spans="1:9" x14ac:dyDescent="0.3">
      <c r="A79"/>
      <c r="B79"/>
      <c r="C79"/>
      <c r="D79"/>
      <c r="E79"/>
      <c r="F79"/>
      <c r="G79"/>
      <c r="H79"/>
      <c r="I79"/>
    </row>
    <row r="80" spans="1:9" x14ac:dyDescent="0.3">
      <c r="A80"/>
      <c r="B80"/>
      <c r="C80"/>
      <c r="D80"/>
      <c r="E80"/>
      <c r="F80"/>
      <c r="G80"/>
      <c r="H80"/>
      <c r="I80"/>
    </row>
    <row r="81" spans="1:9" x14ac:dyDescent="0.3">
      <c r="A81"/>
      <c r="B81"/>
      <c r="C81"/>
      <c r="D81"/>
      <c r="E81"/>
      <c r="F81"/>
      <c r="G81"/>
      <c r="H81"/>
      <c r="I81"/>
    </row>
    <row r="82" spans="1:9" x14ac:dyDescent="0.3">
      <c r="A82"/>
      <c r="B82"/>
      <c r="C82"/>
      <c r="D82"/>
      <c r="E82"/>
      <c r="F82"/>
      <c r="G82"/>
      <c r="H82"/>
      <c r="I82"/>
    </row>
    <row r="83" spans="1:9" x14ac:dyDescent="0.3">
      <c r="A83"/>
      <c r="B83"/>
      <c r="C83"/>
      <c r="D83"/>
      <c r="E83"/>
      <c r="F83"/>
      <c r="G83"/>
      <c r="H83"/>
      <c r="I83"/>
    </row>
    <row r="84" spans="1:9" x14ac:dyDescent="0.3">
      <c r="A84"/>
      <c r="B84"/>
      <c r="C84"/>
      <c r="D84"/>
      <c r="E84"/>
      <c r="F84"/>
      <c r="G84"/>
      <c r="H84"/>
      <c r="I84"/>
    </row>
    <row r="85" spans="1:9" x14ac:dyDescent="0.3">
      <c r="A85"/>
      <c r="B85"/>
      <c r="C85"/>
      <c r="D85"/>
      <c r="E85"/>
      <c r="F85"/>
      <c r="G85"/>
      <c r="H85"/>
      <c r="I85"/>
    </row>
    <row r="86" spans="1:9" x14ac:dyDescent="0.3">
      <c r="A86"/>
      <c r="B86"/>
      <c r="C86"/>
      <c r="D86"/>
      <c r="E86"/>
      <c r="F86"/>
      <c r="G86"/>
      <c r="H86"/>
      <c r="I86"/>
    </row>
    <row r="87" spans="1:9" x14ac:dyDescent="0.3">
      <c r="A87"/>
      <c r="B87"/>
      <c r="C87"/>
      <c r="D87"/>
      <c r="E87"/>
      <c r="F87"/>
      <c r="G87"/>
      <c r="H87"/>
      <c r="I87"/>
    </row>
    <row r="88" spans="1:9" x14ac:dyDescent="0.3">
      <c r="A88"/>
      <c r="B88"/>
      <c r="C88"/>
      <c r="D88"/>
      <c r="E88"/>
      <c r="F88"/>
      <c r="G88"/>
      <c r="H88"/>
      <c r="I88"/>
    </row>
    <row r="89" spans="1:9" x14ac:dyDescent="0.3">
      <c r="A89"/>
      <c r="B89"/>
      <c r="C89"/>
      <c r="D89"/>
      <c r="E89"/>
      <c r="F89"/>
      <c r="G89"/>
      <c r="H89"/>
      <c r="I89"/>
    </row>
    <row r="90" spans="1:9" x14ac:dyDescent="0.3">
      <c r="A90"/>
      <c r="B90"/>
      <c r="C90"/>
      <c r="D90"/>
      <c r="E90"/>
      <c r="F90"/>
      <c r="G90"/>
      <c r="H90"/>
      <c r="I90"/>
    </row>
    <row r="91" spans="1:9" x14ac:dyDescent="0.3">
      <c r="A91"/>
      <c r="B91"/>
      <c r="C91"/>
      <c r="D91"/>
      <c r="E91"/>
      <c r="F91"/>
      <c r="G91"/>
      <c r="H91"/>
      <c r="I91"/>
    </row>
    <row r="92" spans="1:9" x14ac:dyDescent="0.3">
      <c r="A92"/>
      <c r="B92"/>
      <c r="C92"/>
      <c r="D92"/>
      <c r="E92"/>
      <c r="F92"/>
      <c r="G92"/>
      <c r="H92"/>
      <c r="I92"/>
    </row>
    <row r="93" spans="1:9" x14ac:dyDescent="0.3">
      <c r="A93"/>
      <c r="B93"/>
      <c r="C93"/>
      <c r="D93"/>
      <c r="E93"/>
      <c r="F93"/>
      <c r="G93"/>
      <c r="H93"/>
      <c r="I93"/>
    </row>
    <row r="94" spans="1:9" x14ac:dyDescent="0.3">
      <c r="A94"/>
      <c r="B94"/>
      <c r="C94"/>
      <c r="D94"/>
      <c r="E94"/>
      <c r="F94"/>
      <c r="G94"/>
      <c r="H94"/>
      <c r="I94"/>
    </row>
    <row r="95" spans="1:9" x14ac:dyDescent="0.3">
      <c r="A95"/>
      <c r="B95"/>
      <c r="C95"/>
      <c r="D95"/>
      <c r="E95"/>
      <c r="F95"/>
      <c r="G95"/>
      <c r="H95"/>
      <c r="I95"/>
    </row>
    <row r="96" spans="1:9" x14ac:dyDescent="0.3">
      <c r="A96"/>
      <c r="B96"/>
      <c r="C96"/>
      <c r="D96"/>
      <c r="E96"/>
      <c r="F96"/>
      <c r="G96"/>
      <c r="H96"/>
      <c r="I96"/>
    </row>
    <row r="97" spans="1:9" x14ac:dyDescent="0.3">
      <c r="A97"/>
      <c r="B97"/>
      <c r="C97"/>
      <c r="D97"/>
      <c r="E97"/>
      <c r="F97"/>
      <c r="G97"/>
      <c r="H97"/>
      <c r="I97"/>
    </row>
    <row r="98" spans="1:9" x14ac:dyDescent="0.3">
      <c r="A98"/>
      <c r="B98"/>
      <c r="C98"/>
      <c r="D98"/>
      <c r="E98"/>
      <c r="F98"/>
      <c r="G98"/>
      <c r="H98"/>
      <c r="I98"/>
    </row>
    <row r="99" spans="1:9" x14ac:dyDescent="0.3">
      <c r="A99"/>
      <c r="B99"/>
      <c r="C99"/>
      <c r="D99"/>
      <c r="E99"/>
      <c r="F99"/>
      <c r="G99"/>
      <c r="H99"/>
      <c r="I99"/>
    </row>
    <row r="100" spans="1:9" x14ac:dyDescent="0.3">
      <c r="A100"/>
      <c r="B100"/>
      <c r="C100"/>
      <c r="D100"/>
      <c r="E100"/>
      <c r="F100"/>
      <c r="G100"/>
      <c r="H100"/>
      <c r="I100"/>
    </row>
    <row r="101" spans="1:9" x14ac:dyDescent="0.3">
      <c r="A101"/>
      <c r="B101"/>
      <c r="C101"/>
      <c r="D101"/>
      <c r="E101"/>
      <c r="F101"/>
      <c r="G101"/>
      <c r="H101"/>
      <c r="I101"/>
    </row>
    <row r="102" spans="1:9" x14ac:dyDescent="0.3">
      <c r="A102"/>
      <c r="B102"/>
      <c r="C102"/>
      <c r="D102"/>
      <c r="E102"/>
      <c r="F102"/>
      <c r="G102"/>
      <c r="H102"/>
      <c r="I102"/>
    </row>
    <row r="103" spans="1:9" x14ac:dyDescent="0.3">
      <c r="A103"/>
      <c r="B103"/>
      <c r="C103"/>
      <c r="D103"/>
      <c r="E103"/>
      <c r="F103"/>
      <c r="G103"/>
      <c r="H103"/>
      <c r="I103"/>
    </row>
    <row r="104" spans="1:9" x14ac:dyDescent="0.3">
      <c r="A104"/>
      <c r="B104"/>
      <c r="C104"/>
      <c r="D104"/>
      <c r="E104"/>
      <c r="F104"/>
      <c r="G104"/>
      <c r="H104"/>
      <c r="I104"/>
    </row>
    <row r="105" spans="1:9" x14ac:dyDescent="0.3">
      <c r="A105"/>
      <c r="B105"/>
      <c r="C105"/>
      <c r="D105"/>
      <c r="E105"/>
      <c r="F105"/>
      <c r="G105"/>
      <c r="H105"/>
      <c r="I105"/>
    </row>
    <row r="106" spans="1:9" x14ac:dyDescent="0.3">
      <c r="A106"/>
      <c r="B106"/>
      <c r="C106"/>
      <c r="D106"/>
      <c r="E106"/>
      <c r="F106"/>
      <c r="G106"/>
      <c r="H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A108"/>
      <c r="B108"/>
      <c r="C108"/>
      <c r="D108"/>
      <c r="E108"/>
      <c r="F108"/>
      <c r="G108"/>
      <c r="H108"/>
      <c r="I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D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H185"/>
      <c r="I185"/>
    </row>
    <row r="186" spans="1:9" x14ac:dyDescent="0.3">
      <c r="A186"/>
      <c r="B186"/>
      <c r="C186"/>
      <c r="D186"/>
      <c r="E186"/>
      <c r="F186"/>
      <c r="G186"/>
      <c r="H186"/>
      <c r="I186"/>
    </row>
    <row r="187" spans="1:9" x14ac:dyDescent="0.3">
      <c r="A187"/>
      <c r="B187"/>
      <c r="C187"/>
      <c r="D187"/>
      <c r="E187"/>
      <c r="F187"/>
      <c r="G187"/>
      <c r="H187"/>
      <c r="I187"/>
    </row>
    <row r="188" spans="1:9" x14ac:dyDescent="0.3">
      <c r="A188"/>
      <c r="B188"/>
      <c r="C188"/>
      <c r="D188"/>
      <c r="E188"/>
      <c r="F188"/>
      <c r="G188"/>
      <c r="H188"/>
      <c r="I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A190"/>
      <c r="B190"/>
      <c r="C190"/>
      <c r="D190"/>
      <c r="E190"/>
      <c r="F190"/>
      <c r="G190"/>
      <c r="H190"/>
      <c r="I190"/>
    </row>
    <row r="191" spans="1:9" x14ac:dyDescent="0.3">
      <c r="A191"/>
      <c r="B191"/>
      <c r="C191"/>
      <c r="D191"/>
      <c r="E191"/>
      <c r="F191"/>
      <c r="G191"/>
      <c r="H191"/>
      <c r="I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H193"/>
      <c r="I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A220"/>
      <c r="B220"/>
      <c r="C220"/>
      <c r="D220"/>
      <c r="E220"/>
      <c r="F220"/>
      <c r="G220"/>
      <c r="H220"/>
      <c r="I220"/>
    </row>
    <row r="221" spans="1:9" x14ac:dyDescent="0.3">
      <c r="A221"/>
      <c r="B221"/>
      <c r="C221"/>
      <c r="D221"/>
      <c r="E221"/>
      <c r="F221"/>
      <c r="G221"/>
      <c r="H221"/>
      <c r="I221"/>
    </row>
    <row r="222" spans="1:9" x14ac:dyDescent="0.3">
      <c r="A222"/>
      <c r="B222"/>
      <c r="C222"/>
      <c r="D222"/>
      <c r="E222"/>
      <c r="F222"/>
      <c r="G222"/>
      <c r="H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A254"/>
      <c r="B254"/>
      <c r="C254"/>
      <c r="D254"/>
      <c r="E254"/>
      <c r="F254"/>
      <c r="G254"/>
      <c r="H254"/>
      <c r="I254"/>
    </row>
    <row r="255" spans="1:9" x14ac:dyDescent="0.3">
      <c r="A255"/>
      <c r="B255"/>
      <c r="C255"/>
      <c r="D255"/>
      <c r="E255"/>
      <c r="F255"/>
      <c r="G255"/>
      <c r="H255"/>
      <c r="I255"/>
    </row>
    <row r="256" spans="1:9" x14ac:dyDescent="0.3">
      <c r="A256"/>
      <c r="B256"/>
      <c r="C256"/>
      <c r="D256"/>
      <c r="E256"/>
      <c r="F256"/>
      <c r="G256"/>
      <c r="H256"/>
      <c r="I256"/>
    </row>
    <row r="257" spans="1:9" x14ac:dyDescent="0.3">
      <c r="A257"/>
      <c r="B257"/>
      <c r="C257"/>
      <c r="D257"/>
      <c r="E257"/>
      <c r="F257"/>
      <c r="G257"/>
      <c r="H257"/>
      <c r="I257"/>
    </row>
    <row r="258" spans="1:9" x14ac:dyDescent="0.3">
      <c r="A258"/>
      <c r="B258"/>
      <c r="C258"/>
      <c r="D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D261"/>
      <c r="E261"/>
      <c r="F261"/>
      <c r="G261"/>
      <c r="H261"/>
      <c r="I261"/>
    </row>
    <row r="262" spans="1:9" x14ac:dyDescent="0.3">
      <c r="A262"/>
      <c r="B262"/>
      <c r="C262"/>
      <c r="D262"/>
      <c r="E262"/>
      <c r="F262"/>
      <c r="G262"/>
      <c r="H262"/>
      <c r="I262"/>
    </row>
    <row r="263" spans="1:9" x14ac:dyDescent="0.3">
      <c r="A263"/>
      <c r="B263"/>
      <c r="C263"/>
      <c r="D263"/>
      <c r="E263"/>
      <c r="F263"/>
      <c r="G263"/>
      <c r="H263"/>
      <c r="I263"/>
    </row>
    <row r="264" spans="1:9" x14ac:dyDescent="0.3">
      <c r="A264"/>
      <c r="B264"/>
      <c r="C264"/>
      <c r="D264"/>
      <c r="E264"/>
      <c r="F264"/>
      <c r="G264"/>
      <c r="H264"/>
      <c r="I264"/>
    </row>
    <row r="265" spans="1:9" x14ac:dyDescent="0.3">
      <c r="A265"/>
      <c r="B265"/>
      <c r="C265"/>
      <c r="D265"/>
      <c r="E265"/>
      <c r="F265"/>
      <c r="G265"/>
      <c r="H265"/>
      <c r="I265"/>
    </row>
    <row r="266" spans="1:9" x14ac:dyDescent="0.3">
      <c r="A266"/>
      <c r="B266"/>
      <c r="C266"/>
      <c r="D266"/>
      <c r="E266"/>
      <c r="F266"/>
      <c r="G266"/>
      <c r="H266"/>
      <c r="I266"/>
    </row>
    <row r="267" spans="1:9" x14ac:dyDescent="0.3">
      <c r="A267"/>
      <c r="B267"/>
      <c r="C267"/>
      <c r="D267"/>
      <c r="E267"/>
      <c r="F267"/>
      <c r="G267"/>
      <c r="H267"/>
      <c r="I267"/>
    </row>
    <row r="268" spans="1:9" x14ac:dyDescent="0.3">
      <c r="A268"/>
      <c r="B268"/>
      <c r="C268"/>
      <c r="D268"/>
      <c r="E268"/>
      <c r="F268"/>
      <c r="G268"/>
      <c r="H268"/>
      <c r="I268"/>
    </row>
    <row r="269" spans="1:9" x14ac:dyDescent="0.3">
      <c r="A269"/>
      <c r="B269"/>
      <c r="C269"/>
      <c r="D269"/>
      <c r="E269"/>
      <c r="F269"/>
      <c r="G269"/>
      <c r="H269"/>
      <c r="I269"/>
    </row>
    <row r="270" spans="1:9" x14ac:dyDescent="0.3">
      <c r="A270"/>
      <c r="B270"/>
      <c r="C270"/>
      <c r="D270"/>
      <c r="E270"/>
      <c r="F270"/>
      <c r="G270"/>
      <c r="H270"/>
      <c r="I270"/>
    </row>
    <row r="271" spans="1:9" x14ac:dyDescent="0.3">
      <c r="A271"/>
      <c r="B271"/>
      <c r="C271"/>
      <c r="D271"/>
      <c r="E271"/>
      <c r="F271"/>
      <c r="G271"/>
      <c r="H271"/>
      <c r="I271"/>
    </row>
    <row r="272" spans="1:9" x14ac:dyDescent="0.3">
      <c r="A272"/>
      <c r="B272"/>
      <c r="C272"/>
      <c r="D272"/>
      <c r="E272"/>
      <c r="F272"/>
      <c r="G272"/>
      <c r="H272"/>
      <c r="I272"/>
    </row>
    <row r="273" spans="1:9" x14ac:dyDescent="0.3">
      <c r="A273"/>
      <c r="B273"/>
      <c r="C273"/>
      <c r="D273"/>
      <c r="E273"/>
      <c r="F273"/>
      <c r="G273"/>
      <c r="H273"/>
      <c r="I273"/>
    </row>
    <row r="274" spans="1:9" x14ac:dyDescent="0.3">
      <c r="A274"/>
      <c r="B274"/>
      <c r="C274"/>
      <c r="D274"/>
      <c r="E274"/>
      <c r="F274"/>
      <c r="G274"/>
      <c r="H274"/>
      <c r="I274"/>
    </row>
    <row r="275" spans="1:9" x14ac:dyDescent="0.3">
      <c r="A275"/>
      <c r="B275"/>
      <c r="C275"/>
      <c r="D275"/>
      <c r="E275"/>
      <c r="F275"/>
      <c r="G275"/>
      <c r="H275"/>
      <c r="I275"/>
    </row>
    <row r="276" spans="1:9" x14ac:dyDescent="0.3">
      <c r="A276"/>
      <c r="B276"/>
      <c r="C276"/>
      <c r="D276"/>
      <c r="E276"/>
      <c r="F276"/>
      <c r="G276"/>
      <c r="H276"/>
      <c r="I276"/>
    </row>
    <row r="277" spans="1:9" x14ac:dyDescent="0.3">
      <c r="A277"/>
      <c r="B277"/>
      <c r="C277"/>
      <c r="D277"/>
      <c r="E277"/>
      <c r="F277"/>
      <c r="G277"/>
      <c r="H277"/>
      <c r="I277"/>
    </row>
    <row r="278" spans="1:9" x14ac:dyDescent="0.3">
      <c r="A278"/>
      <c r="B278"/>
      <c r="C278"/>
      <c r="D278"/>
      <c r="E278"/>
      <c r="F278"/>
      <c r="G278"/>
      <c r="H278"/>
      <c r="I278"/>
    </row>
    <row r="279" spans="1:9" x14ac:dyDescent="0.3">
      <c r="A279"/>
      <c r="B279"/>
      <c r="C279"/>
      <c r="D279"/>
      <c r="E279"/>
      <c r="F279"/>
      <c r="G279"/>
      <c r="H279"/>
      <c r="I279"/>
    </row>
    <row r="280" spans="1:9" x14ac:dyDescent="0.3">
      <c r="A280"/>
      <c r="B280"/>
      <c r="C280"/>
      <c r="D280"/>
      <c r="E280"/>
      <c r="F280"/>
      <c r="G280"/>
      <c r="H280"/>
      <c r="I280"/>
    </row>
    <row r="281" spans="1:9" x14ac:dyDescent="0.3">
      <c r="A281"/>
      <c r="B281"/>
      <c r="C281"/>
      <c r="D281"/>
      <c r="E281"/>
      <c r="F281"/>
      <c r="G281"/>
      <c r="H281"/>
      <c r="I281"/>
    </row>
    <row r="282" spans="1:9" x14ac:dyDescent="0.3">
      <c r="A282"/>
      <c r="B282"/>
      <c r="C282"/>
      <c r="D282"/>
      <c r="E282"/>
      <c r="F282"/>
      <c r="G282"/>
      <c r="H282"/>
      <c r="I282"/>
    </row>
    <row r="283" spans="1:9" x14ac:dyDescent="0.3">
      <c r="A283"/>
      <c r="B283"/>
      <c r="C283"/>
      <c r="D283"/>
      <c r="E283"/>
      <c r="F283"/>
      <c r="G283"/>
      <c r="H283"/>
      <c r="I283"/>
    </row>
    <row r="284" spans="1:9" x14ac:dyDescent="0.3">
      <c r="A284"/>
      <c r="B284"/>
      <c r="C284"/>
      <c r="D284"/>
      <c r="E284"/>
      <c r="F284"/>
      <c r="G284"/>
      <c r="H284"/>
      <c r="I284"/>
    </row>
    <row r="285" spans="1:9" x14ac:dyDescent="0.3">
      <c r="A285"/>
      <c r="B285"/>
      <c r="C285"/>
      <c r="D285"/>
      <c r="E285"/>
      <c r="F285"/>
      <c r="G285"/>
      <c r="H285"/>
      <c r="I285"/>
    </row>
    <row r="286" spans="1:9" x14ac:dyDescent="0.3">
      <c r="A286"/>
      <c r="B286"/>
      <c r="C286"/>
      <c r="D286"/>
      <c r="E286"/>
      <c r="F286"/>
      <c r="G286"/>
      <c r="H286"/>
      <c r="I286"/>
    </row>
    <row r="287" spans="1:9" x14ac:dyDescent="0.3">
      <c r="A287"/>
      <c r="B287"/>
      <c r="C287"/>
      <c r="D287"/>
      <c r="E287"/>
      <c r="F287"/>
      <c r="G287"/>
      <c r="H287"/>
      <c r="I287"/>
    </row>
    <row r="288" spans="1:9" x14ac:dyDescent="0.3">
      <c r="A288"/>
      <c r="B288"/>
      <c r="C288"/>
      <c r="D288"/>
      <c r="E288"/>
      <c r="F288"/>
      <c r="G288"/>
      <c r="H288"/>
      <c r="I288"/>
    </row>
    <row r="289" spans="1:9" x14ac:dyDescent="0.3">
      <c r="A289"/>
      <c r="B289"/>
      <c r="C289"/>
      <c r="D289"/>
      <c r="E289"/>
      <c r="F289"/>
      <c r="G289"/>
      <c r="H289"/>
      <c r="I289"/>
    </row>
    <row r="290" spans="1:9" x14ac:dyDescent="0.3">
      <c r="A290"/>
      <c r="B290"/>
      <c r="C290"/>
      <c r="D290"/>
      <c r="E290"/>
      <c r="F290"/>
      <c r="G290"/>
      <c r="H290"/>
      <c r="I290"/>
    </row>
    <row r="291" spans="1:9" x14ac:dyDescent="0.3">
      <c r="A291"/>
      <c r="B291"/>
      <c r="C291"/>
      <c r="D291"/>
      <c r="E291"/>
      <c r="F291"/>
      <c r="G291"/>
      <c r="H291"/>
      <c r="I291"/>
    </row>
    <row r="292" spans="1:9" x14ac:dyDescent="0.3">
      <c r="A292"/>
      <c r="B292"/>
      <c r="C292"/>
      <c r="D292"/>
      <c r="E292"/>
      <c r="F292"/>
      <c r="G292"/>
      <c r="H292"/>
      <c r="I292"/>
    </row>
    <row r="293" spans="1:9" x14ac:dyDescent="0.3">
      <c r="A293"/>
      <c r="B293"/>
      <c r="C293"/>
      <c r="D293"/>
      <c r="E293"/>
      <c r="F293"/>
      <c r="G293"/>
      <c r="H293"/>
      <c r="I293"/>
    </row>
    <row r="294" spans="1:9" x14ac:dyDescent="0.3">
      <c r="A294"/>
      <c r="B294"/>
      <c r="C294"/>
      <c r="D294"/>
      <c r="E294"/>
      <c r="F294"/>
      <c r="G294"/>
      <c r="H294"/>
      <c r="I294"/>
    </row>
    <row r="295" spans="1:9" x14ac:dyDescent="0.3">
      <c r="A295"/>
      <c r="B295"/>
      <c r="C295"/>
      <c r="D295"/>
      <c r="E295"/>
      <c r="F295"/>
      <c r="G295"/>
      <c r="H295"/>
      <c r="I295"/>
    </row>
    <row r="296" spans="1:9" x14ac:dyDescent="0.3">
      <c r="A296"/>
      <c r="B296"/>
      <c r="C296"/>
      <c r="D296"/>
      <c r="E296"/>
      <c r="F296"/>
      <c r="G296"/>
      <c r="H296"/>
      <c r="I296"/>
    </row>
    <row r="297" spans="1:9" x14ac:dyDescent="0.3">
      <c r="A297"/>
      <c r="B297"/>
      <c r="C297"/>
      <c r="D297"/>
      <c r="E297"/>
      <c r="F297"/>
      <c r="G297"/>
      <c r="H297"/>
      <c r="I297"/>
    </row>
    <row r="298" spans="1:9" x14ac:dyDescent="0.3">
      <c r="A298"/>
      <c r="B298"/>
      <c r="C298"/>
      <c r="D298"/>
      <c r="E298"/>
      <c r="F298"/>
      <c r="G298"/>
      <c r="H298"/>
      <c r="I298"/>
    </row>
    <row r="299" spans="1:9" x14ac:dyDescent="0.3">
      <c r="A299"/>
      <c r="B299"/>
      <c r="C299"/>
      <c r="D299"/>
      <c r="E299"/>
      <c r="F299"/>
      <c r="G299"/>
      <c r="H299"/>
      <c r="I299"/>
    </row>
    <row r="300" spans="1:9" x14ac:dyDescent="0.3">
      <c r="A300"/>
      <c r="B300"/>
      <c r="C300"/>
      <c r="D300"/>
      <c r="E300"/>
      <c r="F300"/>
      <c r="G300"/>
      <c r="H300"/>
      <c r="I300"/>
    </row>
    <row r="301" spans="1:9" x14ac:dyDescent="0.3">
      <c r="A301"/>
      <c r="B301"/>
      <c r="C301"/>
      <c r="D301"/>
      <c r="E301"/>
      <c r="F301"/>
      <c r="G301"/>
      <c r="H301"/>
      <c r="I301"/>
    </row>
    <row r="302" spans="1:9" x14ac:dyDescent="0.3">
      <c r="A302"/>
      <c r="B302"/>
      <c r="C302"/>
      <c r="D302"/>
      <c r="E302"/>
      <c r="F302"/>
      <c r="G302"/>
      <c r="H302"/>
      <c r="I302"/>
    </row>
    <row r="303" spans="1:9" x14ac:dyDescent="0.3">
      <c r="A303"/>
      <c r="B303"/>
      <c r="C303"/>
      <c r="D303"/>
      <c r="E303"/>
      <c r="F303"/>
      <c r="G303"/>
      <c r="H303"/>
      <c r="I303"/>
    </row>
    <row r="304" spans="1:9" x14ac:dyDescent="0.3">
      <c r="A304"/>
      <c r="B304"/>
      <c r="C304"/>
      <c r="D304"/>
      <c r="E304"/>
      <c r="F304"/>
      <c r="G304"/>
      <c r="H304"/>
      <c r="I304"/>
    </row>
    <row r="305" spans="1:9" x14ac:dyDescent="0.3">
      <c r="A305"/>
      <c r="B305"/>
      <c r="C305"/>
      <c r="D305"/>
      <c r="E305"/>
      <c r="F305"/>
      <c r="G305"/>
      <c r="H305"/>
      <c r="I305"/>
    </row>
    <row r="306" spans="1:9" x14ac:dyDescent="0.3">
      <c r="A306"/>
      <c r="B306"/>
      <c r="C306"/>
      <c r="D306"/>
      <c r="E306"/>
      <c r="F306"/>
      <c r="G306"/>
      <c r="H306"/>
      <c r="I306"/>
    </row>
    <row r="307" spans="1:9" x14ac:dyDescent="0.3">
      <c r="A307"/>
      <c r="B307"/>
      <c r="C307"/>
      <c r="D307"/>
      <c r="E307"/>
      <c r="F307"/>
      <c r="G307"/>
      <c r="H307"/>
      <c r="I307"/>
    </row>
    <row r="308" spans="1:9" x14ac:dyDescent="0.3">
      <c r="A308"/>
      <c r="B308"/>
      <c r="C308"/>
      <c r="D308"/>
      <c r="E308"/>
      <c r="F308"/>
      <c r="G308"/>
      <c r="H308"/>
      <c r="I308"/>
    </row>
    <row r="309" spans="1:9" x14ac:dyDescent="0.3">
      <c r="A309"/>
      <c r="B309"/>
      <c r="C309"/>
      <c r="D309"/>
      <c r="E309"/>
      <c r="F309"/>
      <c r="G309"/>
      <c r="H309"/>
      <c r="I309"/>
    </row>
    <row r="310" spans="1:9" x14ac:dyDescent="0.3">
      <c r="A310"/>
      <c r="B310"/>
      <c r="C310"/>
      <c r="D310"/>
      <c r="E310"/>
      <c r="F310"/>
      <c r="G310"/>
      <c r="H310"/>
      <c r="I310"/>
    </row>
    <row r="311" spans="1:9" x14ac:dyDescent="0.3">
      <c r="A311"/>
      <c r="B311"/>
      <c r="C311"/>
      <c r="D311"/>
      <c r="E311"/>
      <c r="F311"/>
      <c r="G311"/>
      <c r="H311"/>
      <c r="I311"/>
    </row>
    <row r="312" spans="1:9" x14ac:dyDescent="0.3">
      <c r="A312"/>
      <c r="B312"/>
      <c r="C312"/>
      <c r="D312"/>
      <c r="E312"/>
      <c r="F312"/>
      <c r="G312"/>
      <c r="H312"/>
      <c r="I312"/>
    </row>
    <row r="313" spans="1:9" x14ac:dyDescent="0.3">
      <c r="A313"/>
      <c r="B313"/>
      <c r="C313"/>
      <c r="D313"/>
      <c r="E313"/>
      <c r="F313"/>
      <c r="G313"/>
      <c r="H313"/>
      <c r="I313"/>
    </row>
    <row r="314" spans="1:9" x14ac:dyDescent="0.3">
      <c r="A314"/>
      <c r="B314"/>
      <c r="C314"/>
      <c r="D314"/>
      <c r="E314"/>
      <c r="F314"/>
      <c r="G314"/>
      <c r="H314"/>
      <c r="I314"/>
    </row>
    <row r="315" spans="1:9" x14ac:dyDescent="0.3">
      <c r="A315"/>
      <c r="B315"/>
      <c r="C315"/>
      <c r="D315"/>
      <c r="E315"/>
      <c r="F315"/>
      <c r="G315"/>
      <c r="H315"/>
      <c r="I315"/>
    </row>
    <row r="316" spans="1:9" x14ac:dyDescent="0.3">
      <c r="A316"/>
      <c r="B316"/>
      <c r="C316"/>
      <c r="D316"/>
      <c r="E316"/>
      <c r="F316"/>
      <c r="G316"/>
      <c r="H316"/>
      <c r="I316"/>
    </row>
    <row r="317" spans="1:9" x14ac:dyDescent="0.3">
      <c r="A317"/>
      <c r="B317"/>
      <c r="C317"/>
      <c r="D317"/>
      <c r="E317"/>
      <c r="F317"/>
      <c r="G317"/>
      <c r="H317"/>
      <c r="I317"/>
    </row>
    <row r="318" spans="1:9" x14ac:dyDescent="0.3">
      <c r="A318"/>
      <c r="B318"/>
      <c r="C318"/>
      <c r="D318"/>
      <c r="E318"/>
      <c r="F318"/>
      <c r="G318"/>
      <c r="H318"/>
      <c r="I318"/>
    </row>
    <row r="319" spans="1:9" x14ac:dyDescent="0.3">
      <c r="A319"/>
      <c r="B319"/>
      <c r="C319"/>
      <c r="D319"/>
      <c r="E319"/>
      <c r="F319"/>
      <c r="G319"/>
      <c r="H319"/>
      <c r="I319"/>
    </row>
    <row r="320" spans="1:9" x14ac:dyDescent="0.3">
      <c r="A320"/>
      <c r="B320"/>
      <c r="C320"/>
      <c r="D320"/>
      <c r="E320"/>
      <c r="F320"/>
      <c r="G320"/>
      <c r="H320"/>
      <c r="I320"/>
    </row>
    <row r="321" spans="1:9" x14ac:dyDescent="0.3">
      <c r="A321"/>
      <c r="B321"/>
      <c r="C321"/>
      <c r="D321"/>
      <c r="E321"/>
      <c r="F321"/>
      <c r="G321"/>
      <c r="H321"/>
      <c r="I321"/>
    </row>
    <row r="322" spans="1:9" x14ac:dyDescent="0.3">
      <c r="A322"/>
      <c r="B322"/>
      <c r="C322"/>
      <c r="D322"/>
      <c r="E322"/>
      <c r="F322"/>
      <c r="G322"/>
      <c r="H322"/>
      <c r="I322"/>
    </row>
    <row r="323" spans="1:9" x14ac:dyDescent="0.3">
      <c r="A323"/>
      <c r="B323"/>
      <c r="C323"/>
      <c r="D323"/>
      <c r="E323"/>
      <c r="F323"/>
      <c r="G323"/>
      <c r="H323"/>
      <c r="I323"/>
    </row>
    <row r="324" spans="1:9" x14ac:dyDescent="0.3">
      <c r="A324"/>
      <c r="B324"/>
      <c r="C324"/>
      <c r="D324"/>
      <c r="E324"/>
      <c r="F324"/>
      <c r="G324"/>
      <c r="H324"/>
      <c r="I324"/>
    </row>
    <row r="325" spans="1:9" x14ac:dyDescent="0.3">
      <c r="A325"/>
      <c r="B325"/>
      <c r="C325"/>
      <c r="D325"/>
      <c r="E325"/>
      <c r="F325"/>
      <c r="G325"/>
      <c r="H325"/>
      <c r="I325"/>
    </row>
    <row r="326" spans="1:9" x14ac:dyDescent="0.3">
      <c r="A326"/>
      <c r="B326"/>
      <c r="C326"/>
      <c r="D326"/>
      <c r="E326"/>
      <c r="F326"/>
      <c r="G326"/>
      <c r="H326"/>
      <c r="I326"/>
    </row>
    <row r="327" spans="1:9" x14ac:dyDescent="0.3">
      <c r="A327"/>
      <c r="B327"/>
      <c r="C327"/>
      <c r="D327"/>
      <c r="E327"/>
      <c r="F327"/>
      <c r="G327"/>
      <c r="H327"/>
      <c r="I327"/>
    </row>
    <row r="328" spans="1:9" x14ac:dyDescent="0.3">
      <c r="A328"/>
      <c r="B328"/>
      <c r="C328"/>
      <c r="D328"/>
      <c r="E328"/>
      <c r="F328"/>
      <c r="G328"/>
      <c r="H328"/>
      <c r="I328"/>
    </row>
    <row r="329" spans="1:9" x14ac:dyDescent="0.3">
      <c r="A329"/>
      <c r="B329"/>
      <c r="C329"/>
      <c r="D329"/>
      <c r="E329"/>
      <c r="F329"/>
      <c r="G329"/>
      <c r="H329"/>
      <c r="I329"/>
    </row>
    <row r="330" spans="1:9" x14ac:dyDescent="0.3">
      <c r="A330"/>
      <c r="B330"/>
      <c r="C330"/>
      <c r="D330"/>
      <c r="E330"/>
      <c r="F330"/>
      <c r="G330"/>
      <c r="H330"/>
      <c r="I330"/>
    </row>
    <row r="331" spans="1:9" x14ac:dyDescent="0.3">
      <c r="A331"/>
      <c r="B331"/>
      <c r="C331"/>
      <c r="D331"/>
      <c r="E331"/>
      <c r="F331"/>
      <c r="G331"/>
      <c r="H331"/>
      <c r="I331"/>
    </row>
    <row r="332" spans="1:9" x14ac:dyDescent="0.3">
      <c r="A332"/>
      <c r="B332"/>
      <c r="C332"/>
      <c r="D332"/>
      <c r="E332"/>
      <c r="F332"/>
      <c r="G332"/>
      <c r="H332"/>
      <c r="I332"/>
    </row>
    <row r="333" spans="1:9" x14ac:dyDescent="0.3">
      <c r="A333"/>
      <c r="B333"/>
      <c r="C333"/>
      <c r="D333"/>
      <c r="E333"/>
      <c r="F333"/>
      <c r="G333"/>
      <c r="H333"/>
      <c r="I333"/>
    </row>
    <row r="334" spans="1:9" x14ac:dyDescent="0.3">
      <c r="A334"/>
      <c r="B334"/>
      <c r="C334"/>
      <c r="D334"/>
      <c r="E334"/>
      <c r="F334"/>
      <c r="G334"/>
      <c r="H334"/>
      <c r="I334"/>
    </row>
    <row r="335" spans="1:9" x14ac:dyDescent="0.3">
      <c r="A335"/>
      <c r="B335"/>
      <c r="C335"/>
      <c r="D335"/>
      <c r="E335"/>
      <c r="F335"/>
      <c r="G335"/>
      <c r="H335"/>
      <c r="I335"/>
    </row>
    <row r="336" spans="1:9" x14ac:dyDescent="0.3">
      <c r="A336"/>
      <c r="B336"/>
      <c r="C336"/>
      <c r="D336"/>
      <c r="E336"/>
      <c r="F336"/>
      <c r="G336"/>
      <c r="H336"/>
      <c r="I336"/>
    </row>
    <row r="337" spans="1:9" x14ac:dyDescent="0.3">
      <c r="A337"/>
      <c r="B337"/>
      <c r="C337"/>
      <c r="D337"/>
      <c r="E337"/>
      <c r="F337"/>
      <c r="G337"/>
      <c r="H337"/>
      <c r="I337"/>
    </row>
    <row r="338" spans="1:9" x14ac:dyDescent="0.3">
      <c r="A338"/>
      <c r="B338"/>
      <c r="C338"/>
      <c r="D338"/>
      <c r="E338"/>
      <c r="F338"/>
      <c r="G338"/>
      <c r="H338"/>
      <c r="I338"/>
    </row>
    <row r="339" spans="1:9" x14ac:dyDescent="0.3">
      <c r="A339"/>
      <c r="B339"/>
      <c r="C339"/>
      <c r="D339"/>
      <c r="E339"/>
      <c r="F339"/>
      <c r="G339"/>
      <c r="H339"/>
      <c r="I339"/>
    </row>
    <row r="340" spans="1:9" x14ac:dyDescent="0.3">
      <c r="A340"/>
      <c r="B340"/>
      <c r="C340"/>
      <c r="D340"/>
      <c r="E340"/>
      <c r="F340"/>
      <c r="G340"/>
      <c r="H340"/>
      <c r="I340"/>
    </row>
    <row r="341" spans="1:9" x14ac:dyDescent="0.3">
      <c r="A341"/>
      <c r="B341"/>
      <c r="C341"/>
      <c r="D341"/>
      <c r="E341"/>
      <c r="F341"/>
      <c r="G341"/>
      <c r="H341"/>
      <c r="I341"/>
    </row>
    <row r="342" spans="1:9" x14ac:dyDescent="0.3">
      <c r="A342"/>
      <c r="B342"/>
      <c r="C342"/>
      <c r="D342"/>
      <c r="E342"/>
      <c r="F342"/>
      <c r="G342"/>
      <c r="H342"/>
      <c r="I342"/>
    </row>
    <row r="343" spans="1:9" x14ac:dyDescent="0.3">
      <c r="A343"/>
      <c r="B343"/>
      <c r="C343"/>
      <c r="D343"/>
      <c r="E343"/>
      <c r="F343"/>
      <c r="G343"/>
      <c r="H343"/>
      <c r="I343"/>
    </row>
    <row r="344" spans="1:9" x14ac:dyDescent="0.3">
      <c r="A344"/>
      <c r="B344"/>
      <c r="C344"/>
      <c r="D344"/>
      <c r="E344"/>
      <c r="F344"/>
      <c r="G344"/>
      <c r="H344"/>
      <c r="I344"/>
    </row>
    <row r="345" spans="1:9" x14ac:dyDescent="0.3">
      <c r="A345"/>
      <c r="B345"/>
      <c r="C345"/>
      <c r="D345"/>
      <c r="E345"/>
      <c r="F345"/>
      <c r="G345"/>
      <c r="H345"/>
      <c r="I345"/>
    </row>
    <row r="346" spans="1:9" x14ac:dyDescent="0.3">
      <c r="A346"/>
      <c r="B346"/>
      <c r="C346"/>
      <c r="D346"/>
      <c r="E346"/>
      <c r="F346"/>
      <c r="G346"/>
      <c r="H346"/>
      <c r="I346"/>
    </row>
    <row r="347" spans="1:9" x14ac:dyDescent="0.3">
      <c r="A347"/>
      <c r="B347"/>
      <c r="C347"/>
      <c r="D347"/>
      <c r="E347"/>
      <c r="F347"/>
      <c r="G347"/>
      <c r="H347"/>
      <c r="I347"/>
    </row>
    <row r="348" spans="1:9" x14ac:dyDescent="0.3">
      <c r="A348"/>
      <c r="B348"/>
      <c r="C348"/>
      <c r="D348"/>
      <c r="E348"/>
      <c r="F348"/>
      <c r="G348"/>
      <c r="H348"/>
      <c r="I348"/>
    </row>
    <row r="349" spans="1:9" x14ac:dyDescent="0.3">
      <c r="A349"/>
      <c r="B349"/>
      <c r="C349"/>
      <c r="D349"/>
      <c r="E349"/>
      <c r="F349"/>
      <c r="G349"/>
      <c r="H349"/>
      <c r="I349"/>
    </row>
    <row r="350" spans="1:9" x14ac:dyDescent="0.3">
      <c r="A350"/>
      <c r="B350"/>
      <c r="C350"/>
      <c r="D350"/>
      <c r="E350"/>
      <c r="F350"/>
      <c r="G350"/>
      <c r="H350"/>
      <c r="I350"/>
    </row>
    <row r="351" spans="1:9" x14ac:dyDescent="0.3">
      <c r="A351"/>
      <c r="B351"/>
      <c r="C351"/>
      <c r="D351"/>
      <c r="E351"/>
      <c r="F351"/>
      <c r="G351"/>
      <c r="H351"/>
      <c r="I351"/>
    </row>
    <row r="352" spans="1:9" x14ac:dyDescent="0.3">
      <c r="A352"/>
      <c r="B352"/>
      <c r="C352"/>
      <c r="D352"/>
      <c r="E352"/>
      <c r="F352"/>
      <c r="G352"/>
      <c r="H352"/>
      <c r="I352"/>
    </row>
    <row r="353" spans="1:9" x14ac:dyDescent="0.3">
      <c r="A353"/>
      <c r="B353"/>
      <c r="C353"/>
      <c r="D353"/>
      <c r="E353"/>
      <c r="F353"/>
      <c r="G353"/>
      <c r="H353"/>
      <c r="I353"/>
    </row>
    <row r="354" spans="1:9" x14ac:dyDescent="0.3">
      <c r="A354"/>
      <c r="B354"/>
      <c r="C354"/>
      <c r="D354"/>
      <c r="E354"/>
      <c r="F354"/>
      <c r="G354"/>
      <c r="H354"/>
      <c r="I354"/>
    </row>
    <row r="355" spans="1:9" x14ac:dyDescent="0.3">
      <c r="A355"/>
      <c r="B355"/>
      <c r="C355"/>
      <c r="D355"/>
      <c r="E355"/>
      <c r="F355"/>
      <c r="G355"/>
      <c r="H355"/>
      <c r="I355"/>
    </row>
    <row r="356" spans="1:9" x14ac:dyDescent="0.3">
      <c r="A356"/>
      <c r="B356"/>
      <c r="C356"/>
      <c r="D356"/>
      <c r="E356"/>
      <c r="F356"/>
      <c r="G356"/>
      <c r="H356"/>
      <c r="I356"/>
    </row>
    <row r="357" spans="1:9" x14ac:dyDescent="0.3">
      <c r="A357"/>
      <c r="B357"/>
      <c r="C357"/>
      <c r="D357"/>
      <c r="E357"/>
      <c r="F357"/>
      <c r="G357"/>
      <c r="H357"/>
      <c r="I357"/>
    </row>
    <row r="358" spans="1:9" x14ac:dyDescent="0.3">
      <c r="A358"/>
      <c r="B358"/>
      <c r="C358"/>
      <c r="D358"/>
      <c r="E358"/>
      <c r="F358"/>
      <c r="G358"/>
      <c r="H358"/>
      <c r="I358"/>
    </row>
    <row r="359" spans="1:9" x14ac:dyDescent="0.3">
      <c r="A359"/>
      <c r="B359"/>
      <c r="C359"/>
      <c r="D359"/>
      <c r="E359"/>
      <c r="F359"/>
      <c r="G359"/>
      <c r="H359"/>
      <c r="I359"/>
    </row>
    <row r="360" spans="1:9" x14ac:dyDescent="0.3">
      <c r="A360"/>
      <c r="B360"/>
      <c r="C360"/>
      <c r="D360"/>
      <c r="E360"/>
      <c r="F360"/>
      <c r="G360"/>
      <c r="H360"/>
      <c r="I360"/>
    </row>
    <row r="361" spans="1:9" x14ac:dyDescent="0.3">
      <c r="A361"/>
      <c r="B361"/>
      <c r="C361"/>
      <c r="D361"/>
      <c r="E361"/>
      <c r="F361"/>
      <c r="G361"/>
      <c r="H361"/>
      <c r="I361"/>
    </row>
    <row r="362" spans="1:9" x14ac:dyDescent="0.3">
      <c r="A362"/>
      <c r="B362"/>
      <c r="C362"/>
      <c r="D362"/>
      <c r="E362"/>
      <c r="F362"/>
      <c r="G362"/>
      <c r="H362"/>
      <c r="I362"/>
    </row>
    <row r="363" spans="1:9" x14ac:dyDescent="0.3">
      <c r="A363"/>
      <c r="B363"/>
      <c r="C363"/>
      <c r="D363"/>
      <c r="E363"/>
      <c r="F363"/>
      <c r="G363"/>
      <c r="H363"/>
      <c r="I363"/>
    </row>
    <row r="364" spans="1:9" x14ac:dyDescent="0.3">
      <c r="A364"/>
      <c r="B364"/>
      <c r="C364"/>
      <c r="D364"/>
      <c r="E364"/>
      <c r="F364"/>
      <c r="G364"/>
      <c r="H364"/>
      <c r="I364"/>
    </row>
    <row r="365" spans="1:9" x14ac:dyDescent="0.3">
      <c r="A365"/>
      <c r="B365"/>
      <c r="C365"/>
      <c r="D365"/>
      <c r="E365"/>
      <c r="F365"/>
      <c r="G365"/>
      <c r="H365"/>
      <c r="I365"/>
    </row>
    <row r="366" spans="1:9" x14ac:dyDescent="0.3">
      <c r="A366"/>
      <c r="B366"/>
      <c r="C366"/>
      <c r="D366"/>
      <c r="E366"/>
      <c r="F366"/>
      <c r="G366"/>
      <c r="H366"/>
      <c r="I366"/>
    </row>
    <row r="367" spans="1:9" x14ac:dyDescent="0.3">
      <c r="A367"/>
      <c r="B367"/>
      <c r="C367"/>
      <c r="D367"/>
      <c r="E367"/>
      <c r="F367"/>
      <c r="G367"/>
      <c r="H367"/>
      <c r="I367"/>
    </row>
    <row r="368" spans="1:9" x14ac:dyDescent="0.3">
      <c r="A368"/>
      <c r="B368"/>
      <c r="C368"/>
      <c r="D368"/>
      <c r="E368"/>
      <c r="F368"/>
      <c r="G368"/>
      <c r="H368"/>
      <c r="I368"/>
    </row>
    <row r="369" spans="1:9" x14ac:dyDescent="0.3">
      <c r="A369"/>
      <c r="B369"/>
      <c r="C369"/>
      <c r="D369"/>
      <c r="E369"/>
      <c r="F369"/>
      <c r="G369"/>
      <c r="H369"/>
      <c r="I369"/>
    </row>
    <row r="370" spans="1:9" x14ac:dyDescent="0.3">
      <c r="A370"/>
      <c r="B370"/>
      <c r="C370"/>
      <c r="D370"/>
      <c r="E370"/>
      <c r="F370"/>
      <c r="G370"/>
      <c r="H370"/>
      <c r="I370"/>
    </row>
    <row r="371" spans="1:9" x14ac:dyDescent="0.3">
      <c r="A371"/>
      <c r="B371"/>
      <c r="C371"/>
      <c r="D371"/>
      <c r="E371"/>
      <c r="F371"/>
      <c r="G371"/>
      <c r="H371"/>
      <c r="I371"/>
    </row>
    <row r="372" spans="1:9" x14ac:dyDescent="0.3">
      <c r="A372"/>
      <c r="B372"/>
      <c r="C372"/>
      <c r="D372"/>
      <c r="E372"/>
      <c r="F372"/>
      <c r="G372"/>
      <c r="H372"/>
      <c r="I372"/>
    </row>
    <row r="373" spans="1:9" x14ac:dyDescent="0.3">
      <c r="A373"/>
      <c r="B373"/>
      <c r="C373"/>
      <c r="D373"/>
      <c r="E373"/>
      <c r="F373"/>
      <c r="G373"/>
      <c r="H373"/>
      <c r="I373"/>
    </row>
    <row r="374" spans="1:9" x14ac:dyDescent="0.3">
      <c r="A374"/>
      <c r="B374"/>
      <c r="C374"/>
      <c r="D374"/>
      <c r="E374"/>
      <c r="F374"/>
      <c r="G374"/>
      <c r="H374"/>
      <c r="I374"/>
    </row>
    <row r="375" spans="1:9" x14ac:dyDescent="0.3">
      <c r="A375"/>
      <c r="B375"/>
      <c r="C375"/>
      <c r="D375"/>
      <c r="E375"/>
      <c r="F375"/>
      <c r="G375"/>
      <c r="H375"/>
      <c r="I375"/>
    </row>
    <row r="376" spans="1:9" x14ac:dyDescent="0.3">
      <c r="A376"/>
      <c r="B376"/>
      <c r="C376"/>
      <c r="D376"/>
      <c r="E376"/>
      <c r="F376"/>
      <c r="G376"/>
      <c r="H376"/>
      <c r="I376"/>
    </row>
    <row r="377" spans="1:9" x14ac:dyDescent="0.3">
      <c r="A377"/>
      <c r="B377"/>
      <c r="C377"/>
      <c r="D377"/>
      <c r="E377"/>
      <c r="F377"/>
      <c r="G377"/>
      <c r="H377"/>
      <c r="I377"/>
    </row>
    <row r="378" spans="1:9" x14ac:dyDescent="0.3">
      <c r="A378"/>
      <c r="B378"/>
      <c r="C378"/>
      <c r="D378"/>
      <c r="E378"/>
      <c r="F378"/>
      <c r="G378"/>
      <c r="H378"/>
      <c r="I378"/>
    </row>
    <row r="379" spans="1:9" x14ac:dyDescent="0.3">
      <c r="A379"/>
      <c r="B379"/>
      <c r="C379"/>
      <c r="D379"/>
      <c r="E379"/>
      <c r="F379"/>
      <c r="G379"/>
      <c r="H379"/>
      <c r="I379"/>
    </row>
    <row r="380" spans="1:9" x14ac:dyDescent="0.3">
      <c r="A380"/>
      <c r="B380"/>
      <c r="C380"/>
      <c r="D380"/>
      <c r="E380"/>
      <c r="F380"/>
      <c r="G380"/>
      <c r="H380"/>
      <c r="I380"/>
    </row>
    <row r="381" spans="1:9" x14ac:dyDescent="0.3">
      <c r="A381"/>
      <c r="B381"/>
      <c r="C381"/>
      <c r="D381"/>
      <c r="E381"/>
      <c r="F381"/>
      <c r="G381"/>
      <c r="H381"/>
      <c r="I381"/>
    </row>
    <row r="382" spans="1:9" x14ac:dyDescent="0.3">
      <c r="A382"/>
      <c r="B382"/>
      <c r="C382"/>
      <c r="D382"/>
      <c r="E382"/>
      <c r="F382"/>
      <c r="G382"/>
      <c r="H382"/>
      <c r="I382"/>
    </row>
    <row r="383" spans="1:9" x14ac:dyDescent="0.3">
      <c r="A383"/>
      <c r="B383"/>
      <c r="C383"/>
      <c r="D383"/>
      <c r="E383"/>
      <c r="F383"/>
      <c r="G383"/>
      <c r="H383"/>
      <c r="I383"/>
    </row>
    <row r="384" spans="1:9" x14ac:dyDescent="0.3">
      <c r="A384"/>
      <c r="B384"/>
      <c r="C384"/>
      <c r="D384"/>
      <c r="E384"/>
      <c r="F384"/>
      <c r="G384"/>
      <c r="H384"/>
      <c r="I384"/>
    </row>
    <row r="385" spans="1:9" x14ac:dyDescent="0.3">
      <c r="A385"/>
      <c r="B385"/>
      <c r="C385"/>
      <c r="D385"/>
      <c r="E385"/>
      <c r="F385"/>
      <c r="G385"/>
      <c r="H385"/>
      <c r="I385"/>
    </row>
    <row r="386" spans="1:9" x14ac:dyDescent="0.3">
      <c r="A386"/>
      <c r="B386"/>
      <c r="C386"/>
      <c r="D386"/>
      <c r="E386"/>
      <c r="F386"/>
      <c r="G386"/>
      <c r="H386"/>
      <c r="I386"/>
    </row>
    <row r="387" spans="1:9" x14ac:dyDescent="0.3">
      <c r="A387"/>
      <c r="B387"/>
      <c r="C387"/>
      <c r="D387"/>
      <c r="E387"/>
      <c r="F387"/>
      <c r="G387"/>
      <c r="H387"/>
      <c r="I387"/>
    </row>
    <row r="388" spans="1:9" x14ac:dyDescent="0.3">
      <c r="A388"/>
      <c r="B388"/>
      <c r="C388"/>
      <c r="D388"/>
      <c r="E388"/>
      <c r="F388"/>
      <c r="G388"/>
      <c r="H388"/>
      <c r="I388"/>
    </row>
    <row r="389" spans="1:9" x14ac:dyDescent="0.3">
      <c r="A389"/>
      <c r="B389"/>
      <c r="C389"/>
      <c r="D389"/>
      <c r="E389"/>
      <c r="F389"/>
      <c r="G389"/>
      <c r="H389"/>
      <c r="I389"/>
    </row>
    <row r="390" spans="1:9" x14ac:dyDescent="0.3">
      <c r="A390"/>
      <c r="B390"/>
      <c r="C390"/>
      <c r="D390"/>
      <c r="E390"/>
      <c r="F390"/>
      <c r="G390"/>
      <c r="H390"/>
      <c r="I390"/>
    </row>
    <row r="391" spans="1:9" x14ac:dyDescent="0.3">
      <c r="A391"/>
      <c r="B391"/>
      <c r="C391"/>
      <c r="D391"/>
      <c r="E391"/>
      <c r="F391"/>
      <c r="G391"/>
      <c r="H391"/>
      <c r="I391"/>
    </row>
    <row r="392" spans="1:9" x14ac:dyDescent="0.3">
      <c r="A392"/>
      <c r="B392"/>
      <c r="C392"/>
      <c r="D392"/>
      <c r="E392"/>
      <c r="F392"/>
      <c r="G392"/>
      <c r="H392"/>
      <c r="I392"/>
    </row>
    <row r="393" spans="1:9" x14ac:dyDescent="0.3">
      <c r="A393"/>
      <c r="B393"/>
      <c r="C393"/>
      <c r="D393"/>
      <c r="E393"/>
      <c r="F393"/>
      <c r="G393"/>
      <c r="H393"/>
      <c r="I393"/>
    </row>
    <row r="394" spans="1:9" x14ac:dyDescent="0.3">
      <c r="A394"/>
      <c r="B394"/>
      <c r="C394"/>
      <c r="D394"/>
      <c r="E394"/>
      <c r="F394"/>
      <c r="G394"/>
      <c r="H394"/>
      <c r="I394"/>
    </row>
    <row r="395" spans="1:9" x14ac:dyDescent="0.3">
      <c r="A395"/>
      <c r="B395"/>
      <c r="C395"/>
      <c r="D395"/>
      <c r="E395"/>
      <c r="F395"/>
      <c r="G395"/>
      <c r="H395"/>
      <c r="I395"/>
    </row>
    <row r="396" spans="1:9" x14ac:dyDescent="0.3">
      <c r="A396"/>
      <c r="B396"/>
      <c r="C396"/>
      <c r="D396"/>
      <c r="E396"/>
      <c r="F396"/>
      <c r="G396"/>
      <c r="H396"/>
      <c r="I396"/>
    </row>
    <row r="397" spans="1:9" x14ac:dyDescent="0.3">
      <c r="A397"/>
      <c r="B397"/>
      <c r="C397"/>
      <c r="D397"/>
      <c r="E397"/>
      <c r="F397"/>
      <c r="G397"/>
      <c r="H397"/>
      <c r="I397"/>
    </row>
    <row r="398" spans="1:9" x14ac:dyDescent="0.3">
      <c r="A398"/>
      <c r="B398"/>
      <c r="C398"/>
      <c r="D398"/>
      <c r="E398"/>
      <c r="F398"/>
      <c r="G398"/>
      <c r="H398"/>
      <c r="I398"/>
    </row>
    <row r="399" spans="1:9" x14ac:dyDescent="0.3">
      <c r="A399"/>
      <c r="B399"/>
      <c r="C399"/>
      <c r="D399"/>
      <c r="E399"/>
      <c r="F399"/>
      <c r="G399"/>
      <c r="H399"/>
      <c r="I399"/>
    </row>
    <row r="400" spans="1:9" x14ac:dyDescent="0.3">
      <c r="A400"/>
      <c r="B400"/>
      <c r="C400"/>
      <c r="D400"/>
      <c r="E400"/>
      <c r="F400"/>
      <c r="G400"/>
      <c r="H400"/>
      <c r="I400"/>
    </row>
    <row r="401" spans="1:9" x14ac:dyDescent="0.3">
      <c r="A401"/>
      <c r="B401"/>
      <c r="C401"/>
      <c r="D401"/>
      <c r="E401"/>
      <c r="F401"/>
      <c r="G401"/>
      <c r="H401"/>
      <c r="I401"/>
    </row>
    <row r="402" spans="1:9" x14ac:dyDescent="0.3">
      <c r="A402"/>
      <c r="B402"/>
      <c r="C402"/>
      <c r="D402"/>
      <c r="E402"/>
      <c r="F402"/>
      <c r="G402"/>
      <c r="H402"/>
      <c r="I402"/>
    </row>
    <row r="403" spans="1:9" x14ac:dyDescent="0.3">
      <c r="A403"/>
      <c r="B403"/>
      <c r="C403"/>
      <c r="D403"/>
      <c r="E403"/>
      <c r="F403"/>
      <c r="G403"/>
      <c r="H403"/>
      <c r="I403"/>
    </row>
    <row r="404" spans="1:9" x14ac:dyDescent="0.3">
      <c r="A404"/>
      <c r="B404"/>
      <c r="C404"/>
      <c r="D404"/>
      <c r="E404"/>
      <c r="F404"/>
      <c r="G404"/>
      <c r="H404"/>
      <c r="I404"/>
    </row>
    <row r="405" spans="1:9" x14ac:dyDescent="0.3">
      <c r="A405"/>
      <c r="B405"/>
      <c r="C405"/>
      <c r="D405"/>
      <c r="E405"/>
      <c r="F405"/>
      <c r="G405"/>
      <c r="H405"/>
      <c r="I405"/>
    </row>
    <row r="406" spans="1:9" x14ac:dyDescent="0.3">
      <c r="A406"/>
      <c r="B406"/>
      <c r="C406"/>
      <c r="D406"/>
      <c r="E406"/>
      <c r="F406"/>
      <c r="G406"/>
      <c r="H406"/>
      <c r="I406"/>
    </row>
    <row r="407" spans="1:9" x14ac:dyDescent="0.3">
      <c r="A407"/>
      <c r="B407"/>
      <c r="C407"/>
      <c r="D407"/>
      <c r="E407"/>
      <c r="F407"/>
      <c r="G407"/>
      <c r="H407"/>
      <c r="I407"/>
    </row>
    <row r="408" spans="1:9" x14ac:dyDescent="0.3">
      <c r="A408"/>
      <c r="B408"/>
      <c r="C408"/>
      <c r="D408"/>
      <c r="E408"/>
      <c r="F408"/>
      <c r="G408"/>
      <c r="H408"/>
      <c r="I408"/>
    </row>
    <row r="409" spans="1:9" x14ac:dyDescent="0.3">
      <c r="A409"/>
      <c r="B409"/>
      <c r="C409"/>
      <c r="D409"/>
      <c r="E409"/>
      <c r="F409"/>
      <c r="G409"/>
      <c r="H409"/>
      <c r="I409"/>
    </row>
    <row r="410" spans="1:9" x14ac:dyDescent="0.3">
      <c r="A410"/>
      <c r="B410"/>
      <c r="C410"/>
      <c r="D410"/>
      <c r="E410"/>
      <c r="F410"/>
      <c r="G410"/>
      <c r="H410"/>
      <c r="I410"/>
    </row>
    <row r="411" spans="1:9" x14ac:dyDescent="0.3">
      <c r="A411"/>
      <c r="B411"/>
      <c r="C411"/>
      <c r="D411"/>
      <c r="E411"/>
      <c r="F411"/>
      <c r="G411"/>
      <c r="H411"/>
      <c r="I411"/>
    </row>
    <row r="412" spans="1:9" x14ac:dyDescent="0.3">
      <c r="A412"/>
      <c r="B412"/>
      <c r="C412"/>
      <c r="D412"/>
      <c r="E412"/>
      <c r="F412"/>
      <c r="G412"/>
      <c r="H412"/>
      <c r="I412"/>
    </row>
    <row r="413" spans="1:9" x14ac:dyDescent="0.3">
      <c r="A413"/>
      <c r="B413"/>
      <c r="C413"/>
      <c r="D413"/>
      <c r="E413"/>
      <c r="F413"/>
      <c r="G413"/>
      <c r="H413"/>
      <c r="I413"/>
    </row>
    <row r="414" spans="1:9" x14ac:dyDescent="0.3">
      <c r="A414"/>
      <c r="B414"/>
      <c r="C414"/>
      <c r="D414"/>
      <c r="E414"/>
      <c r="F414"/>
      <c r="G414"/>
      <c r="H414"/>
      <c r="I414"/>
    </row>
    <row r="415" spans="1:9" x14ac:dyDescent="0.3">
      <c r="A415"/>
      <c r="B415"/>
      <c r="C415"/>
      <c r="D415"/>
      <c r="E415"/>
      <c r="F415"/>
      <c r="G415"/>
      <c r="H415"/>
      <c r="I415"/>
    </row>
    <row r="416" spans="1:9" x14ac:dyDescent="0.3">
      <c r="A416"/>
      <c r="B416"/>
      <c r="C416"/>
      <c r="D416"/>
      <c r="E416"/>
      <c r="F416"/>
      <c r="G416"/>
      <c r="H416"/>
      <c r="I416"/>
    </row>
    <row r="417" spans="1:9" x14ac:dyDescent="0.3">
      <c r="A417"/>
      <c r="B417"/>
      <c r="C417"/>
      <c r="D417"/>
      <c r="E417"/>
      <c r="F417"/>
      <c r="G417"/>
      <c r="H417"/>
      <c r="I417"/>
    </row>
    <row r="418" spans="1:9" x14ac:dyDescent="0.3">
      <c r="A418"/>
      <c r="B418"/>
      <c r="C418"/>
      <c r="D418"/>
      <c r="E418"/>
      <c r="F418"/>
      <c r="G418"/>
      <c r="H418"/>
      <c r="I418"/>
    </row>
    <row r="419" spans="1:9" x14ac:dyDescent="0.3">
      <c r="A419"/>
      <c r="B419"/>
      <c r="C419"/>
      <c r="D419"/>
      <c r="E419"/>
      <c r="F419"/>
      <c r="G419"/>
      <c r="H419"/>
      <c r="I419"/>
    </row>
    <row r="420" spans="1:9" x14ac:dyDescent="0.3">
      <c r="A420"/>
      <c r="B420"/>
      <c r="C420"/>
      <c r="D420"/>
      <c r="E420"/>
      <c r="F420"/>
      <c r="G420"/>
      <c r="H420"/>
      <c r="I420"/>
    </row>
    <row r="421" spans="1:9" x14ac:dyDescent="0.3">
      <c r="A421"/>
      <c r="B421"/>
      <c r="C421"/>
      <c r="D421"/>
      <c r="E421"/>
      <c r="F421"/>
      <c r="G421"/>
      <c r="H421"/>
      <c r="I421"/>
    </row>
    <row r="422" spans="1:9" x14ac:dyDescent="0.3">
      <c r="A422"/>
      <c r="B422"/>
      <c r="C422"/>
      <c r="D422"/>
      <c r="E422"/>
      <c r="F422"/>
      <c r="G422"/>
      <c r="H422"/>
      <c r="I422"/>
    </row>
    <row r="423" spans="1:9" x14ac:dyDescent="0.3">
      <c r="A423"/>
      <c r="B423"/>
      <c r="C423"/>
      <c r="D423"/>
      <c r="E423"/>
      <c r="F423"/>
      <c r="G423"/>
      <c r="H423"/>
      <c r="I423"/>
    </row>
    <row r="424" spans="1:9" x14ac:dyDescent="0.3">
      <c r="A424"/>
      <c r="B424"/>
      <c r="C424"/>
      <c r="D424"/>
      <c r="E424"/>
      <c r="F424"/>
      <c r="G424"/>
      <c r="H424"/>
      <c r="I424"/>
    </row>
    <row r="425" spans="1:9" x14ac:dyDescent="0.3">
      <c r="A425"/>
      <c r="B425"/>
      <c r="C425"/>
      <c r="D425"/>
      <c r="E425"/>
      <c r="F425"/>
      <c r="G425"/>
      <c r="H425"/>
      <c r="I425"/>
    </row>
    <row r="426" spans="1:9" x14ac:dyDescent="0.3">
      <c r="A426"/>
      <c r="B426"/>
      <c r="C426"/>
      <c r="D426"/>
      <c r="E426"/>
      <c r="F426"/>
      <c r="G426"/>
      <c r="H426"/>
      <c r="I426"/>
    </row>
    <row r="427" spans="1:9" x14ac:dyDescent="0.3">
      <c r="A427"/>
      <c r="B427"/>
      <c r="C427"/>
      <c r="D427"/>
      <c r="E427"/>
      <c r="F427"/>
      <c r="G427"/>
      <c r="H427"/>
      <c r="I427"/>
    </row>
    <row r="428" spans="1:9" x14ac:dyDescent="0.3">
      <c r="A428"/>
      <c r="B428"/>
      <c r="C428"/>
      <c r="D428"/>
      <c r="E428"/>
      <c r="F428"/>
      <c r="G428"/>
      <c r="H428"/>
      <c r="I428"/>
    </row>
    <row r="429" spans="1:9" x14ac:dyDescent="0.3">
      <c r="A429"/>
      <c r="B429"/>
      <c r="C429"/>
      <c r="D429"/>
      <c r="E429"/>
      <c r="F429"/>
      <c r="G429"/>
      <c r="H429"/>
      <c r="I429"/>
    </row>
    <row r="430" spans="1:9" x14ac:dyDescent="0.3">
      <c r="A430"/>
      <c r="B430"/>
      <c r="C430"/>
      <c r="D430"/>
      <c r="E430"/>
      <c r="F430"/>
      <c r="G430"/>
      <c r="H430"/>
      <c r="I430"/>
    </row>
    <row r="431" spans="1:9" x14ac:dyDescent="0.3">
      <c r="A431"/>
      <c r="B431"/>
      <c r="C431"/>
      <c r="D431"/>
      <c r="E431"/>
      <c r="F431"/>
      <c r="G431"/>
      <c r="H431"/>
      <c r="I431"/>
    </row>
    <row r="432" spans="1:9" x14ac:dyDescent="0.3">
      <c r="A432"/>
      <c r="B432"/>
      <c r="C432"/>
      <c r="D432"/>
      <c r="E432"/>
      <c r="F432"/>
      <c r="G432"/>
      <c r="H432"/>
      <c r="I432"/>
    </row>
    <row r="433" spans="1:9" x14ac:dyDescent="0.3">
      <c r="A433"/>
      <c r="B433"/>
      <c r="C433"/>
      <c r="D433"/>
      <c r="E433"/>
      <c r="F433"/>
      <c r="G433"/>
      <c r="H433"/>
      <c r="I433"/>
    </row>
    <row r="434" spans="1:9" x14ac:dyDescent="0.3">
      <c r="A434"/>
      <c r="B434"/>
      <c r="C434"/>
      <c r="D434"/>
      <c r="E434"/>
      <c r="F434"/>
      <c r="G434"/>
      <c r="H434"/>
      <c r="I434"/>
    </row>
    <row r="435" spans="1:9" x14ac:dyDescent="0.3">
      <c r="A435"/>
      <c r="B435"/>
      <c r="C435"/>
      <c r="D435"/>
      <c r="E435"/>
      <c r="F435"/>
      <c r="G435"/>
      <c r="H435"/>
      <c r="I435"/>
    </row>
    <row r="436" spans="1:9" x14ac:dyDescent="0.3">
      <c r="A436"/>
      <c r="B436"/>
      <c r="C436"/>
      <c r="D436"/>
      <c r="E436"/>
      <c r="F436"/>
      <c r="G436"/>
      <c r="H436"/>
      <c r="I436"/>
    </row>
    <row r="437" spans="1:9" x14ac:dyDescent="0.3">
      <c r="A437"/>
      <c r="B437"/>
      <c r="C437"/>
      <c r="D437"/>
      <c r="E437"/>
      <c r="F437"/>
      <c r="G437"/>
      <c r="H437"/>
      <c r="I437"/>
    </row>
    <row r="438" spans="1:9" x14ac:dyDescent="0.3">
      <c r="A438"/>
      <c r="B438"/>
      <c r="C438"/>
      <c r="D438"/>
      <c r="E438"/>
      <c r="F438"/>
      <c r="G438"/>
      <c r="H438"/>
      <c r="I438"/>
    </row>
    <row r="439" spans="1:9" x14ac:dyDescent="0.3">
      <c r="A439"/>
      <c r="B439"/>
      <c r="C439"/>
      <c r="D439"/>
      <c r="E439"/>
      <c r="F439"/>
      <c r="G439"/>
      <c r="H439"/>
      <c r="I439"/>
    </row>
    <row r="440" spans="1:9" x14ac:dyDescent="0.3">
      <c r="A440"/>
      <c r="B440"/>
      <c r="C440"/>
      <c r="D440"/>
      <c r="E440"/>
      <c r="F440"/>
      <c r="G440"/>
      <c r="H440"/>
      <c r="I440"/>
    </row>
    <row r="441" spans="1:9" x14ac:dyDescent="0.3">
      <c r="A441"/>
      <c r="B441"/>
      <c r="C441"/>
      <c r="D441"/>
      <c r="E441"/>
      <c r="F441"/>
      <c r="G441"/>
      <c r="H441"/>
      <c r="I441"/>
    </row>
    <row r="442" spans="1:9" x14ac:dyDescent="0.3">
      <c r="A442"/>
      <c r="B442"/>
      <c r="C442"/>
      <c r="D442"/>
      <c r="E442"/>
      <c r="F442"/>
      <c r="G442"/>
      <c r="H442"/>
      <c r="I442"/>
    </row>
    <row r="443" spans="1:9" x14ac:dyDescent="0.3">
      <c r="A443"/>
      <c r="B443"/>
      <c r="C443"/>
      <c r="D443"/>
      <c r="E443"/>
      <c r="F443"/>
      <c r="G443"/>
      <c r="H443"/>
      <c r="I443"/>
    </row>
    <row r="444" spans="1:9" x14ac:dyDescent="0.3">
      <c r="A444"/>
      <c r="B444"/>
      <c r="C444"/>
      <c r="D444"/>
      <c r="E444"/>
      <c r="F444"/>
      <c r="G444"/>
      <c r="H444"/>
      <c r="I444"/>
    </row>
    <row r="445" spans="1:9" x14ac:dyDescent="0.3">
      <c r="A445"/>
      <c r="B445"/>
      <c r="C445"/>
      <c r="D445"/>
      <c r="E445"/>
      <c r="F445"/>
      <c r="G445"/>
      <c r="H445"/>
      <c r="I445"/>
    </row>
    <row r="446" spans="1:9" x14ac:dyDescent="0.3">
      <c r="A446"/>
      <c r="B446"/>
      <c r="C446"/>
      <c r="D446"/>
      <c r="E446"/>
      <c r="F446"/>
      <c r="G446"/>
      <c r="H446"/>
      <c r="I446"/>
    </row>
    <row r="447" spans="1:9" x14ac:dyDescent="0.3">
      <c r="A447"/>
      <c r="B447"/>
      <c r="C447"/>
      <c r="D447"/>
      <c r="E447"/>
      <c r="F447"/>
      <c r="G447"/>
      <c r="H447"/>
      <c r="I447"/>
    </row>
    <row r="448" spans="1:9" x14ac:dyDescent="0.3">
      <c r="A448"/>
      <c r="B448"/>
      <c r="C448"/>
      <c r="D448"/>
      <c r="E448"/>
      <c r="F448"/>
      <c r="G448"/>
      <c r="H448"/>
      <c r="I448"/>
    </row>
    <row r="449" spans="1:9" x14ac:dyDescent="0.3">
      <c r="A449"/>
      <c r="B449"/>
      <c r="C449"/>
      <c r="D449"/>
      <c r="E449"/>
      <c r="F449"/>
      <c r="G449"/>
      <c r="H449"/>
      <c r="I449"/>
    </row>
    <row r="450" spans="1:9" x14ac:dyDescent="0.3">
      <c r="A450"/>
      <c r="B450"/>
      <c r="C450"/>
      <c r="D450"/>
      <c r="E450"/>
      <c r="F450"/>
      <c r="G450"/>
      <c r="H450"/>
      <c r="I450"/>
    </row>
    <row r="451" spans="1:9" x14ac:dyDescent="0.3">
      <c r="A451"/>
      <c r="B451"/>
      <c r="C451"/>
      <c r="D451"/>
      <c r="E451"/>
      <c r="F451"/>
      <c r="G451"/>
      <c r="H451"/>
      <c r="I451"/>
    </row>
    <row r="452" spans="1:9" x14ac:dyDescent="0.3">
      <c r="A452"/>
      <c r="B452"/>
      <c r="C452"/>
      <c r="D452"/>
      <c r="E452"/>
      <c r="F452"/>
      <c r="G452"/>
      <c r="H452"/>
      <c r="I452"/>
    </row>
    <row r="453" spans="1:9" x14ac:dyDescent="0.3">
      <c r="A453"/>
      <c r="B453"/>
      <c r="C453"/>
      <c r="D453"/>
      <c r="E453"/>
      <c r="F453"/>
      <c r="G453"/>
      <c r="H453"/>
      <c r="I453"/>
    </row>
    <row r="454" spans="1:9" x14ac:dyDescent="0.3">
      <c r="A454"/>
      <c r="B454"/>
      <c r="C454"/>
      <c r="D454"/>
      <c r="E454"/>
      <c r="F454"/>
      <c r="G454"/>
      <c r="H454"/>
      <c r="I454"/>
    </row>
    <row r="455" spans="1:9" x14ac:dyDescent="0.3">
      <c r="A455"/>
      <c r="B455"/>
      <c r="C455"/>
      <c r="D455"/>
      <c r="E455"/>
      <c r="F455"/>
      <c r="G455"/>
      <c r="H455"/>
      <c r="I455"/>
    </row>
    <row r="456" spans="1:9" x14ac:dyDescent="0.3">
      <c r="A456"/>
      <c r="B456"/>
      <c r="C456"/>
      <c r="D456"/>
      <c r="E456"/>
      <c r="F456"/>
      <c r="G456"/>
      <c r="H456"/>
      <c r="I456"/>
    </row>
    <row r="457" spans="1:9" x14ac:dyDescent="0.3">
      <c r="A457"/>
      <c r="B457"/>
      <c r="C457"/>
      <c r="D457"/>
      <c r="E457"/>
      <c r="F457"/>
      <c r="G457"/>
      <c r="H457"/>
      <c r="I457"/>
    </row>
    <row r="458" spans="1:9" x14ac:dyDescent="0.3">
      <c r="A458"/>
      <c r="B458"/>
      <c r="C458"/>
      <c r="D458"/>
      <c r="E458"/>
      <c r="F458"/>
      <c r="G458"/>
      <c r="H458"/>
      <c r="I458"/>
    </row>
    <row r="459" spans="1:9" x14ac:dyDescent="0.3">
      <c r="A459"/>
      <c r="B459"/>
      <c r="C459"/>
      <c r="D459"/>
      <c r="E459"/>
      <c r="F459"/>
      <c r="G459"/>
      <c r="H459"/>
      <c r="I459"/>
    </row>
    <row r="460" spans="1:9" x14ac:dyDescent="0.3">
      <c r="A460"/>
      <c r="B460"/>
      <c r="C460"/>
      <c r="D460"/>
      <c r="E460"/>
      <c r="F460"/>
      <c r="G460"/>
      <c r="H460"/>
      <c r="I460"/>
    </row>
    <row r="461" spans="1:9" x14ac:dyDescent="0.3">
      <c r="A461"/>
      <c r="B461"/>
      <c r="C461"/>
      <c r="D461"/>
      <c r="E461"/>
      <c r="F461"/>
      <c r="G461"/>
      <c r="H461"/>
      <c r="I461"/>
    </row>
    <row r="462" spans="1:9" x14ac:dyDescent="0.3">
      <c r="A462"/>
      <c r="B462"/>
      <c r="C462"/>
      <c r="D462"/>
      <c r="E462"/>
      <c r="F462"/>
      <c r="G462"/>
      <c r="H462"/>
      <c r="I462"/>
    </row>
    <row r="463" spans="1:9" x14ac:dyDescent="0.3">
      <c r="A463"/>
      <c r="B463"/>
      <c r="C463"/>
      <c r="D463"/>
      <c r="E463"/>
      <c r="F463"/>
      <c r="G463"/>
      <c r="H463"/>
      <c r="I463"/>
    </row>
    <row r="464" spans="1:9" x14ac:dyDescent="0.3">
      <c r="A464"/>
      <c r="B464"/>
      <c r="C464"/>
      <c r="D464"/>
      <c r="E464"/>
      <c r="F464"/>
      <c r="G464"/>
      <c r="H464"/>
      <c r="I464"/>
    </row>
    <row r="465" spans="1:9" x14ac:dyDescent="0.3">
      <c r="A465"/>
      <c r="B465"/>
      <c r="C465"/>
      <c r="D465"/>
      <c r="E465"/>
      <c r="F465"/>
      <c r="G465"/>
      <c r="H465"/>
      <c r="I465"/>
    </row>
    <row r="466" spans="1:9" x14ac:dyDescent="0.3">
      <c r="A466"/>
      <c r="B466"/>
      <c r="C466"/>
      <c r="D466"/>
      <c r="E466"/>
      <c r="F466"/>
      <c r="G466"/>
      <c r="H466"/>
      <c r="I466"/>
    </row>
    <row r="467" spans="1:9" x14ac:dyDescent="0.3">
      <c r="A467"/>
      <c r="B467"/>
      <c r="C467"/>
      <c r="D467"/>
      <c r="E467"/>
      <c r="F467"/>
      <c r="G467"/>
      <c r="H467"/>
      <c r="I467"/>
    </row>
    <row r="468" spans="1:9" x14ac:dyDescent="0.3">
      <c r="A468"/>
      <c r="B468"/>
      <c r="C468"/>
      <c r="D468"/>
      <c r="E468"/>
      <c r="F468"/>
      <c r="G468"/>
      <c r="H468"/>
      <c r="I468"/>
    </row>
    <row r="469" spans="1:9" x14ac:dyDescent="0.3">
      <c r="A469"/>
      <c r="B469"/>
      <c r="C469"/>
      <c r="D469"/>
      <c r="E469"/>
      <c r="F469"/>
      <c r="G469"/>
      <c r="H469"/>
      <c r="I469"/>
    </row>
    <row r="470" spans="1:9" x14ac:dyDescent="0.3">
      <c r="A470"/>
      <c r="B470"/>
      <c r="C470"/>
      <c r="D470"/>
      <c r="E470"/>
      <c r="F470"/>
      <c r="G470"/>
      <c r="H470"/>
      <c r="I470"/>
    </row>
    <row r="471" spans="1:9" x14ac:dyDescent="0.3">
      <c r="A471"/>
      <c r="B471"/>
      <c r="C471"/>
      <c r="D471"/>
      <c r="E471"/>
      <c r="F471"/>
      <c r="G471"/>
      <c r="H471"/>
      <c r="I471"/>
    </row>
    <row r="472" spans="1:9" x14ac:dyDescent="0.3">
      <c r="A472"/>
      <c r="B472"/>
      <c r="C472"/>
      <c r="D472"/>
      <c r="E472"/>
      <c r="F472"/>
      <c r="G472"/>
      <c r="H472"/>
      <c r="I472"/>
    </row>
    <row r="473" spans="1:9" x14ac:dyDescent="0.3">
      <c r="A473"/>
      <c r="B473"/>
      <c r="C473"/>
      <c r="D473"/>
      <c r="E473"/>
      <c r="F473"/>
      <c r="G473"/>
      <c r="H473"/>
      <c r="I473"/>
    </row>
    <row r="474" spans="1:9" x14ac:dyDescent="0.3">
      <c r="A474"/>
      <c r="B474"/>
      <c r="C474"/>
      <c r="D474"/>
      <c r="E474"/>
      <c r="F474"/>
      <c r="G474"/>
      <c r="H474"/>
      <c r="I474"/>
    </row>
    <row r="475" spans="1:9" x14ac:dyDescent="0.3">
      <c r="A475"/>
      <c r="B475"/>
      <c r="C475"/>
      <c r="D475"/>
      <c r="E475"/>
      <c r="F475"/>
      <c r="G475"/>
      <c r="H475"/>
      <c r="I475"/>
    </row>
    <row r="476" spans="1:9" x14ac:dyDescent="0.3">
      <c r="A476"/>
      <c r="B476"/>
      <c r="C476"/>
      <c r="D476"/>
      <c r="E476"/>
      <c r="F476"/>
      <c r="G476"/>
      <c r="H476"/>
      <c r="I476"/>
    </row>
    <row r="477" spans="1:9" x14ac:dyDescent="0.3">
      <c r="A477"/>
      <c r="B477"/>
      <c r="C477"/>
      <c r="D477"/>
      <c r="E477"/>
      <c r="F477"/>
      <c r="G477"/>
      <c r="H477"/>
      <c r="I477"/>
    </row>
    <row r="478" spans="1:9" x14ac:dyDescent="0.3">
      <c r="A478"/>
      <c r="B478"/>
      <c r="C478"/>
      <c r="D478"/>
      <c r="E478"/>
      <c r="F478"/>
      <c r="G478"/>
      <c r="H478"/>
      <c r="I478"/>
    </row>
    <row r="479" spans="1:9" x14ac:dyDescent="0.3">
      <c r="A479"/>
      <c r="B479"/>
      <c r="C479"/>
      <c r="D479"/>
      <c r="E479"/>
      <c r="F479"/>
      <c r="G479"/>
      <c r="H479"/>
      <c r="I479"/>
    </row>
    <row r="480" spans="1:9" x14ac:dyDescent="0.3">
      <c r="A480"/>
      <c r="B480"/>
      <c r="C480"/>
      <c r="D480"/>
      <c r="E480"/>
      <c r="F480"/>
      <c r="G480"/>
      <c r="H480"/>
      <c r="I480"/>
    </row>
    <row r="481" spans="1:9" x14ac:dyDescent="0.3">
      <c r="A481"/>
      <c r="B481"/>
      <c r="C481"/>
      <c r="D481"/>
      <c r="E481"/>
      <c r="F481"/>
      <c r="G481"/>
      <c r="H481"/>
      <c r="I481"/>
    </row>
    <row r="482" spans="1:9" x14ac:dyDescent="0.3">
      <c r="A482"/>
      <c r="B482"/>
      <c r="C482"/>
      <c r="D482"/>
      <c r="E482"/>
      <c r="F482"/>
      <c r="G482"/>
      <c r="H482"/>
      <c r="I482"/>
    </row>
    <row r="483" spans="1:9" x14ac:dyDescent="0.3">
      <c r="A483"/>
      <c r="B483"/>
      <c r="C483"/>
      <c r="D483"/>
      <c r="E483"/>
      <c r="F483"/>
      <c r="G483"/>
      <c r="H483"/>
      <c r="I483"/>
    </row>
    <row r="484" spans="1:9" x14ac:dyDescent="0.3">
      <c r="A484"/>
      <c r="B484"/>
      <c r="C484"/>
      <c r="D484"/>
      <c r="E484"/>
      <c r="F484"/>
      <c r="G484"/>
      <c r="H484"/>
      <c r="I484"/>
    </row>
    <row r="485" spans="1:9" x14ac:dyDescent="0.3">
      <c r="A485"/>
      <c r="B485"/>
      <c r="C485"/>
      <c r="D485"/>
      <c r="E485"/>
      <c r="F485"/>
      <c r="G485"/>
      <c r="H485"/>
      <c r="I485"/>
    </row>
    <row r="486" spans="1:9" x14ac:dyDescent="0.3">
      <c r="A486"/>
      <c r="B486"/>
      <c r="C486"/>
      <c r="D486"/>
      <c r="E486"/>
      <c r="F486"/>
      <c r="G486"/>
      <c r="H486"/>
      <c r="I486"/>
    </row>
    <row r="487" spans="1:9" x14ac:dyDescent="0.3">
      <c r="A487"/>
      <c r="B487"/>
      <c r="C487"/>
      <c r="D487"/>
      <c r="E487"/>
      <c r="F487"/>
      <c r="G487"/>
      <c r="H487"/>
      <c r="I487"/>
    </row>
    <row r="488" spans="1:9" x14ac:dyDescent="0.3">
      <c r="A488"/>
      <c r="B488"/>
      <c r="C488"/>
      <c r="D488"/>
      <c r="E488"/>
      <c r="F488"/>
      <c r="G488"/>
      <c r="H488"/>
      <c r="I488"/>
    </row>
    <row r="489" spans="1:9" x14ac:dyDescent="0.3">
      <c r="A489"/>
      <c r="B489"/>
      <c r="C489"/>
      <c r="D489"/>
      <c r="E489"/>
      <c r="F489"/>
      <c r="G489"/>
      <c r="H489"/>
      <c r="I489"/>
    </row>
    <row r="490" spans="1:9" x14ac:dyDescent="0.3">
      <c r="A490"/>
      <c r="B490"/>
      <c r="C490"/>
      <c r="D490"/>
      <c r="E490"/>
      <c r="F490"/>
      <c r="G490"/>
      <c r="H490"/>
      <c r="I490"/>
    </row>
    <row r="491" spans="1:9" x14ac:dyDescent="0.3">
      <c r="A491"/>
      <c r="B491"/>
      <c r="C491"/>
      <c r="D491"/>
      <c r="E491"/>
      <c r="F491"/>
      <c r="G491"/>
      <c r="H491"/>
      <c r="I491"/>
    </row>
    <row r="492" spans="1:9" x14ac:dyDescent="0.3">
      <c r="A492"/>
      <c r="B492"/>
      <c r="C492"/>
      <c r="D492"/>
      <c r="E492"/>
      <c r="F492"/>
      <c r="G492"/>
      <c r="H492"/>
      <c r="I492"/>
    </row>
    <row r="493" spans="1:9" x14ac:dyDescent="0.3">
      <c r="A493"/>
      <c r="B493"/>
      <c r="C493"/>
      <c r="D493"/>
      <c r="E493"/>
      <c r="F493"/>
      <c r="G493"/>
      <c r="H493"/>
      <c r="I493"/>
    </row>
    <row r="494" spans="1:9" x14ac:dyDescent="0.3">
      <c r="A494"/>
      <c r="B494"/>
      <c r="C494"/>
      <c r="D494"/>
      <c r="E494"/>
      <c r="F494"/>
      <c r="G494"/>
      <c r="H494"/>
      <c r="I494"/>
    </row>
    <row r="495" spans="1:9" x14ac:dyDescent="0.3">
      <c r="A495"/>
      <c r="B495"/>
      <c r="C495"/>
      <c r="D495"/>
      <c r="E495"/>
      <c r="F495"/>
      <c r="G495"/>
      <c r="H495"/>
      <c r="I495"/>
    </row>
    <row r="496" spans="1:9" x14ac:dyDescent="0.3">
      <c r="A496"/>
      <c r="B496"/>
      <c r="C496"/>
      <c r="D496"/>
      <c r="E496"/>
      <c r="F496"/>
      <c r="G496"/>
      <c r="H496"/>
      <c r="I496"/>
    </row>
    <row r="497" spans="1:9" x14ac:dyDescent="0.3">
      <c r="A497"/>
      <c r="B497"/>
      <c r="C497"/>
      <c r="D497"/>
      <c r="E497"/>
      <c r="F497"/>
      <c r="G497"/>
      <c r="H497"/>
      <c r="I497"/>
    </row>
    <row r="498" spans="1:9" x14ac:dyDescent="0.3">
      <c r="A498"/>
      <c r="B498"/>
      <c r="C498"/>
      <c r="D498"/>
      <c r="E498"/>
      <c r="F498"/>
      <c r="G498"/>
      <c r="H498"/>
      <c r="I498"/>
    </row>
    <row r="499" spans="1:9" x14ac:dyDescent="0.3">
      <c r="A499"/>
      <c r="B499"/>
      <c r="C499"/>
      <c r="D499"/>
      <c r="E499"/>
      <c r="F499"/>
      <c r="G499"/>
      <c r="H499"/>
      <c r="I499"/>
    </row>
    <row r="500" spans="1:9" x14ac:dyDescent="0.3">
      <c r="A500"/>
      <c r="B500"/>
      <c r="C500"/>
      <c r="D500"/>
      <c r="E500"/>
      <c r="F500"/>
      <c r="G500"/>
      <c r="H500"/>
      <c r="I500"/>
    </row>
    <row r="501" spans="1:9" x14ac:dyDescent="0.3">
      <c r="A501"/>
      <c r="B501"/>
      <c r="C501"/>
      <c r="D501"/>
      <c r="E501"/>
      <c r="F501"/>
      <c r="G501"/>
      <c r="H501"/>
      <c r="I501"/>
    </row>
    <row r="502" spans="1:9" x14ac:dyDescent="0.3">
      <c r="A502"/>
      <c r="B502"/>
      <c r="C502"/>
      <c r="D502"/>
      <c r="E502"/>
      <c r="F502"/>
      <c r="G502"/>
      <c r="H502"/>
      <c r="I502"/>
    </row>
    <row r="503" spans="1:9" x14ac:dyDescent="0.3">
      <c r="A503"/>
      <c r="B503"/>
      <c r="C503"/>
      <c r="D503"/>
      <c r="E503"/>
      <c r="F503"/>
      <c r="G503"/>
      <c r="H503"/>
      <c r="I503"/>
    </row>
    <row r="504" spans="1:9" x14ac:dyDescent="0.3">
      <c r="A504"/>
      <c r="B504"/>
      <c r="C504"/>
      <c r="D504"/>
      <c r="E504"/>
      <c r="F504"/>
      <c r="G504"/>
      <c r="H504"/>
      <c r="I504"/>
    </row>
    <row r="505" spans="1:9" x14ac:dyDescent="0.3">
      <c r="A505"/>
      <c r="B505"/>
      <c r="C505"/>
      <c r="D505"/>
      <c r="E505"/>
      <c r="F505"/>
      <c r="G505"/>
      <c r="H505"/>
      <c r="I505"/>
    </row>
    <row r="506" spans="1:9" x14ac:dyDescent="0.3">
      <c r="A506"/>
      <c r="B506"/>
      <c r="C506"/>
      <c r="D506"/>
      <c r="E506"/>
      <c r="F506"/>
      <c r="G506"/>
      <c r="H506"/>
      <c r="I506"/>
    </row>
    <row r="507" spans="1:9" x14ac:dyDescent="0.3">
      <c r="A507"/>
      <c r="B507"/>
      <c r="C507"/>
      <c r="D507"/>
      <c r="E507"/>
      <c r="F507"/>
      <c r="G507"/>
      <c r="H507"/>
      <c r="I507"/>
    </row>
    <row r="508" spans="1:9" x14ac:dyDescent="0.3">
      <c r="A508"/>
      <c r="B508"/>
      <c r="C508"/>
      <c r="D508"/>
      <c r="E508"/>
      <c r="F508"/>
      <c r="G508"/>
      <c r="H508"/>
      <c r="I508"/>
    </row>
    <row r="509" spans="1:9" x14ac:dyDescent="0.3">
      <c r="A509"/>
      <c r="B509"/>
      <c r="C509"/>
      <c r="D509"/>
      <c r="E509"/>
      <c r="F509"/>
      <c r="G509"/>
      <c r="H509"/>
      <c r="I509"/>
    </row>
    <row r="510" spans="1:9" x14ac:dyDescent="0.3">
      <c r="A510"/>
      <c r="B510"/>
      <c r="C510"/>
      <c r="D510"/>
      <c r="E510"/>
      <c r="F510"/>
      <c r="G510"/>
      <c r="H510"/>
      <c r="I510"/>
    </row>
    <row r="511" spans="1:9" x14ac:dyDescent="0.3">
      <c r="A511"/>
      <c r="B511"/>
      <c r="C511"/>
      <c r="D511"/>
      <c r="E511"/>
      <c r="F511"/>
      <c r="G511"/>
      <c r="H511"/>
      <c r="I511"/>
    </row>
    <row r="512" spans="1:9" x14ac:dyDescent="0.3">
      <c r="A512"/>
      <c r="B512"/>
      <c r="C512"/>
      <c r="D512"/>
      <c r="E512"/>
      <c r="F512"/>
      <c r="G512"/>
      <c r="H512"/>
      <c r="I512"/>
    </row>
    <row r="513" spans="1:9" x14ac:dyDescent="0.3">
      <c r="A513"/>
      <c r="B513"/>
      <c r="C513"/>
      <c r="D513"/>
      <c r="E513"/>
      <c r="F513"/>
      <c r="G513"/>
      <c r="H513"/>
      <c r="I513"/>
    </row>
    <row r="514" spans="1:9" x14ac:dyDescent="0.3">
      <c r="A514"/>
      <c r="B514"/>
      <c r="C514"/>
      <c r="D514"/>
      <c r="E514"/>
      <c r="F514"/>
      <c r="G514"/>
      <c r="H514"/>
      <c r="I514"/>
    </row>
    <row r="515" spans="1:9" x14ac:dyDescent="0.3">
      <c r="A515"/>
      <c r="B515"/>
      <c r="C515"/>
      <c r="D515"/>
      <c r="E515"/>
      <c r="F515"/>
      <c r="G515"/>
      <c r="H515"/>
      <c r="I515"/>
    </row>
    <row r="516" spans="1:9" x14ac:dyDescent="0.3">
      <c r="A516"/>
      <c r="B516"/>
      <c r="C516"/>
      <c r="D516"/>
      <c r="E516"/>
      <c r="F516"/>
      <c r="G516"/>
      <c r="H516"/>
      <c r="I516"/>
    </row>
    <row r="517" spans="1:9" x14ac:dyDescent="0.3">
      <c r="A517"/>
      <c r="B517"/>
      <c r="C517"/>
      <c r="D517"/>
      <c r="E517"/>
      <c r="F517"/>
      <c r="G517"/>
      <c r="H517"/>
      <c r="I517"/>
    </row>
    <row r="518" spans="1:9" x14ac:dyDescent="0.3">
      <c r="A518"/>
      <c r="B518"/>
      <c r="C518"/>
      <c r="D518"/>
      <c r="E518"/>
      <c r="F518"/>
      <c r="G518"/>
      <c r="H518"/>
      <c r="I518"/>
    </row>
    <row r="519" spans="1:9" x14ac:dyDescent="0.3">
      <c r="A519"/>
      <c r="B519"/>
      <c r="C519"/>
      <c r="D519"/>
      <c r="E519"/>
      <c r="F519"/>
      <c r="G519"/>
      <c r="H519"/>
      <c r="I519"/>
    </row>
    <row r="520" spans="1:9" x14ac:dyDescent="0.3">
      <c r="A520"/>
      <c r="B520"/>
      <c r="C520"/>
      <c r="D520"/>
      <c r="E520"/>
      <c r="F520"/>
      <c r="G520"/>
      <c r="H520"/>
      <c r="I520"/>
    </row>
    <row r="521" spans="1:9" x14ac:dyDescent="0.3">
      <c r="A521"/>
      <c r="B521"/>
      <c r="C521"/>
      <c r="D521"/>
      <c r="E521"/>
      <c r="F521"/>
      <c r="G521"/>
      <c r="H521"/>
      <c r="I521"/>
    </row>
    <row r="522" spans="1:9" x14ac:dyDescent="0.3">
      <c r="A522"/>
      <c r="B522"/>
      <c r="C522"/>
      <c r="D522"/>
      <c r="E522"/>
      <c r="F522"/>
      <c r="G522"/>
      <c r="H522"/>
      <c r="I522"/>
    </row>
    <row r="523" spans="1:9" x14ac:dyDescent="0.3">
      <c r="A523"/>
      <c r="B523"/>
      <c r="C523"/>
      <c r="D523"/>
      <c r="E523"/>
      <c r="F523"/>
      <c r="G523"/>
      <c r="H523"/>
      <c r="I523"/>
    </row>
    <row r="524" spans="1:9" x14ac:dyDescent="0.3">
      <c r="A524"/>
      <c r="B524"/>
      <c r="C524"/>
      <c r="D524"/>
      <c r="E524"/>
      <c r="F524"/>
      <c r="G524"/>
      <c r="H524"/>
      <c r="I524"/>
    </row>
    <row r="525" spans="1:9" x14ac:dyDescent="0.3">
      <c r="A525"/>
      <c r="B525"/>
      <c r="C525"/>
      <c r="D525"/>
      <c r="E525"/>
      <c r="F525"/>
      <c r="G525"/>
      <c r="H525"/>
      <c r="I525"/>
    </row>
    <row r="526" spans="1:9" x14ac:dyDescent="0.3">
      <c r="A526"/>
      <c r="B526"/>
      <c r="C526"/>
      <c r="D526"/>
      <c r="E526"/>
      <c r="F526"/>
      <c r="G526"/>
      <c r="H526"/>
      <c r="I526"/>
    </row>
    <row r="527" spans="1:9" x14ac:dyDescent="0.3">
      <c r="A527"/>
      <c r="B527"/>
      <c r="C527"/>
      <c r="D527"/>
      <c r="E527"/>
      <c r="F527"/>
      <c r="G527"/>
      <c r="H527"/>
      <c r="I527"/>
    </row>
    <row r="528" spans="1:9" x14ac:dyDescent="0.3">
      <c r="A528"/>
      <c r="B528"/>
      <c r="C528"/>
      <c r="D528"/>
      <c r="E528"/>
      <c r="F528"/>
      <c r="G528"/>
      <c r="H528"/>
      <c r="I528"/>
    </row>
    <row r="529" spans="1:9" x14ac:dyDescent="0.3">
      <c r="A529"/>
      <c r="B529"/>
      <c r="C529"/>
      <c r="D529"/>
      <c r="E529"/>
      <c r="F529"/>
      <c r="G529"/>
      <c r="H529"/>
      <c r="I529"/>
    </row>
    <row r="530" spans="1:9" x14ac:dyDescent="0.3">
      <c r="A530"/>
      <c r="B530"/>
      <c r="C530"/>
      <c r="D530"/>
      <c r="E530"/>
      <c r="F530"/>
      <c r="G530"/>
      <c r="H530"/>
      <c r="I530"/>
    </row>
    <row r="531" spans="1:9" x14ac:dyDescent="0.3">
      <c r="A531"/>
      <c r="B531"/>
      <c r="C531"/>
      <c r="D531"/>
      <c r="E531"/>
      <c r="F531"/>
      <c r="G531"/>
      <c r="H531"/>
      <c r="I531"/>
    </row>
    <row r="532" spans="1:9" x14ac:dyDescent="0.3">
      <c r="A532"/>
      <c r="B532"/>
      <c r="C532"/>
      <c r="D532"/>
      <c r="E532"/>
      <c r="F532"/>
      <c r="G532"/>
      <c r="H532"/>
      <c r="I532"/>
    </row>
    <row r="533" spans="1:9" x14ac:dyDescent="0.3">
      <c r="A533"/>
      <c r="B533"/>
      <c r="C533"/>
      <c r="D533"/>
      <c r="E533"/>
      <c r="F533"/>
      <c r="G533"/>
      <c r="H533"/>
      <c r="I533"/>
    </row>
    <row r="534" spans="1:9" x14ac:dyDescent="0.3">
      <c r="A534"/>
      <c r="B534"/>
      <c r="C534"/>
      <c r="D534"/>
      <c r="E534"/>
      <c r="F534"/>
      <c r="G534"/>
      <c r="H534"/>
      <c r="I534"/>
    </row>
    <row r="535" spans="1:9" x14ac:dyDescent="0.3">
      <c r="A535"/>
      <c r="B535"/>
      <c r="C535"/>
      <c r="D535"/>
      <c r="E535"/>
      <c r="F535"/>
      <c r="G535"/>
      <c r="H535"/>
      <c r="I535"/>
    </row>
    <row r="536" spans="1:9" x14ac:dyDescent="0.3">
      <c r="A536"/>
      <c r="B536"/>
      <c r="C536"/>
      <c r="D536"/>
      <c r="E536"/>
      <c r="F536"/>
      <c r="G536"/>
      <c r="H536"/>
      <c r="I536"/>
    </row>
    <row r="537" spans="1:9" x14ac:dyDescent="0.3">
      <c r="A537"/>
      <c r="B537"/>
      <c r="C537"/>
      <c r="D537"/>
      <c r="E537"/>
      <c r="F537"/>
      <c r="G537"/>
      <c r="H537"/>
      <c r="I537"/>
    </row>
    <row r="538" spans="1:9" x14ac:dyDescent="0.3">
      <c r="A538"/>
      <c r="B538"/>
      <c r="C538"/>
      <c r="D538"/>
      <c r="E538"/>
      <c r="F538"/>
      <c r="G538"/>
      <c r="H538"/>
      <c r="I538"/>
    </row>
    <row r="539" spans="1:9" x14ac:dyDescent="0.3">
      <c r="A539"/>
      <c r="B539"/>
      <c r="C539"/>
      <c r="D539"/>
      <c r="E539"/>
      <c r="F539"/>
      <c r="G539"/>
      <c r="H539"/>
      <c r="I539"/>
    </row>
    <row r="540" spans="1:9" x14ac:dyDescent="0.3">
      <c r="A540"/>
      <c r="B540"/>
      <c r="C540"/>
      <c r="D540"/>
      <c r="E540"/>
      <c r="F540"/>
      <c r="G540"/>
      <c r="H540"/>
      <c r="I540"/>
    </row>
    <row r="541" spans="1:9" x14ac:dyDescent="0.3">
      <c r="A541"/>
      <c r="B541"/>
      <c r="C541"/>
      <c r="D541"/>
      <c r="E541"/>
      <c r="F541"/>
      <c r="G541"/>
      <c r="H541"/>
      <c r="I541"/>
    </row>
    <row r="542" spans="1:9" x14ac:dyDescent="0.3">
      <c r="A542"/>
      <c r="B542"/>
      <c r="C542"/>
      <c r="D542"/>
      <c r="E542"/>
      <c r="F542"/>
      <c r="G542"/>
      <c r="H542"/>
      <c r="I542"/>
    </row>
    <row r="543" spans="1:9" x14ac:dyDescent="0.3">
      <c r="A543"/>
      <c r="B543"/>
      <c r="C543"/>
      <c r="D543"/>
      <c r="E543"/>
      <c r="F543"/>
      <c r="G543"/>
      <c r="H543"/>
      <c r="I543"/>
    </row>
    <row r="544" spans="1:9" x14ac:dyDescent="0.3">
      <c r="A544"/>
      <c r="B544"/>
      <c r="C544"/>
      <c r="D544"/>
      <c r="E544"/>
      <c r="F544"/>
      <c r="G544"/>
      <c r="H544"/>
      <c r="I544"/>
    </row>
    <row r="545" spans="1:9" x14ac:dyDescent="0.3">
      <c r="A545"/>
      <c r="B545"/>
      <c r="C545"/>
      <c r="D545"/>
      <c r="E545"/>
      <c r="F545"/>
      <c r="G545"/>
      <c r="H545"/>
      <c r="I545"/>
    </row>
    <row r="546" spans="1:9" x14ac:dyDescent="0.3">
      <c r="A546"/>
      <c r="B546"/>
      <c r="C546"/>
      <c r="D546"/>
      <c r="E546"/>
      <c r="F546"/>
      <c r="G546"/>
      <c r="H546"/>
      <c r="I546"/>
    </row>
    <row r="547" spans="1:9" x14ac:dyDescent="0.3">
      <c r="A547"/>
      <c r="B547"/>
      <c r="C547"/>
      <c r="D547"/>
      <c r="E547"/>
      <c r="F547"/>
      <c r="G547"/>
      <c r="H547"/>
      <c r="I547"/>
    </row>
    <row r="548" spans="1:9" x14ac:dyDescent="0.3">
      <c r="A548"/>
      <c r="B548"/>
      <c r="C548"/>
      <c r="D548"/>
      <c r="E548"/>
      <c r="F548"/>
      <c r="G548"/>
      <c r="H548"/>
      <c r="I548"/>
    </row>
    <row r="549" spans="1:9" x14ac:dyDescent="0.3">
      <c r="A549"/>
      <c r="B549"/>
      <c r="C549"/>
      <c r="D549"/>
      <c r="E549"/>
      <c r="F549"/>
      <c r="G549"/>
      <c r="H549"/>
      <c r="I549"/>
    </row>
    <row r="550" spans="1:9" x14ac:dyDescent="0.3">
      <c r="A550"/>
      <c r="B550"/>
      <c r="C550"/>
      <c r="D550"/>
      <c r="E550"/>
      <c r="F550"/>
      <c r="G550"/>
      <c r="H550"/>
      <c r="I550"/>
    </row>
    <row r="551" spans="1:9" x14ac:dyDescent="0.3">
      <c r="A551"/>
      <c r="B551"/>
      <c r="C551"/>
      <c r="D551"/>
      <c r="E551"/>
      <c r="F551"/>
      <c r="G551"/>
      <c r="H551"/>
      <c r="I551"/>
    </row>
    <row r="552" spans="1:9" x14ac:dyDescent="0.3">
      <c r="A552"/>
      <c r="B552"/>
      <c r="C552"/>
      <c r="D552"/>
      <c r="E552"/>
      <c r="F552"/>
      <c r="G552"/>
      <c r="H552"/>
      <c r="I552"/>
    </row>
    <row r="553" spans="1:9" x14ac:dyDescent="0.3">
      <c r="A553"/>
      <c r="B553"/>
      <c r="C553"/>
      <c r="D553"/>
      <c r="E553"/>
      <c r="F553"/>
      <c r="G553"/>
      <c r="H553"/>
      <c r="I553"/>
    </row>
    <row r="554" spans="1:9" x14ac:dyDescent="0.3">
      <c r="A554"/>
      <c r="B554"/>
      <c r="C554"/>
      <c r="D554"/>
      <c r="E554"/>
      <c r="F554"/>
      <c r="G554"/>
      <c r="H554"/>
      <c r="I554"/>
    </row>
    <row r="555" spans="1:9" x14ac:dyDescent="0.3">
      <c r="A555"/>
      <c r="B555"/>
      <c r="C555"/>
      <c r="D555"/>
      <c r="E555"/>
      <c r="F555"/>
      <c r="G555"/>
      <c r="H555"/>
      <c r="I555"/>
    </row>
    <row r="556" spans="1:9" x14ac:dyDescent="0.3">
      <c r="A556"/>
      <c r="B556"/>
      <c r="C556"/>
      <c r="D556"/>
      <c r="E556"/>
      <c r="F556"/>
      <c r="G556"/>
      <c r="H556"/>
      <c r="I556"/>
    </row>
    <row r="557" spans="1:9" x14ac:dyDescent="0.3">
      <c r="A557"/>
      <c r="B557"/>
      <c r="C557"/>
      <c r="D557"/>
      <c r="E557"/>
      <c r="F557"/>
      <c r="G557"/>
      <c r="H557"/>
      <c r="I557"/>
    </row>
    <row r="558" spans="1:9" x14ac:dyDescent="0.3">
      <c r="A558"/>
      <c r="B558"/>
      <c r="C558"/>
      <c r="D558"/>
      <c r="E558"/>
      <c r="F558"/>
      <c r="G558"/>
      <c r="H558"/>
      <c r="I558"/>
    </row>
    <row r="559" spans="1:9" x14ac:dyDescent="0.3">
      <c r="A559"/>
      <c r="B559"/>
      <c r="C559"/>
      <c r="D559"/>
      <c r="E559"/>
      <c r="F559"/>
      <c r="G559"/>
      <c r="H559"/>
      <c r="I559"/>
    </row>
    <row r="560" spans="1:9" x14ac:dyDescent="0.3">
      <c r="A560"/>
      <c r="B560"/>
      <c r="C560"/>
      <c r="D560"/>
      <c r="E560"/>
      <c r="F560"/>
      <c r="G560"/>
      <c r="H560"/>
      <c r="I560"/>
    </row>
    <row r="561" spans="1:9" x14ac:dyDescent="0.3">
      <c r="A561"/>
      <c r="B561"/>
      <c r="C561"/>
      <c r="D561"/>
      <c r="E561"/>
      <c r="F561"/>
      <c r="G561"/>
      <c r="H561"/>
      <c r="I561"/>
    </row>
    <row r="562" spans="1:9" x14ac:dyDescent="0.3">
      <c r="A562"/>
      <c r="B562"/>
      <c r="C562"/>
      <c r="D562"/>
      <c r="E562"/>
      <c r="F562"/>
      <c r="G562"/>
      <c r="H562"/>
      <c r="I562"/>
    </row>
    <row r="563" spans="1:9" x14ac:dyDescent="0.3">
      <c r="A563"/>
      <c r="B563"/>
      <c r="C563"/>
      <c r="D563"/>
      <c r="E563"/>
      <c r="F563"/>
      <c r="G563"/>
      <c r="H563"/>
      <c r="I563"/>
    </row>
    <row r="564" spans="1:9" x14ac:dyDescent="0.3">
      <c r="A564"/>
      <c r="B564"/>
      <c r="C564"/>
      <c r="D564"/>
      <c r="E564"/>
      <c r="F564"/>
      <c r="G564"/>
      <c r="H564"/>
      <c r="I564"/>
    </row>
    <row r="565" spans="1:9" x14ac:dyDescent="0.3">
      <c r="A565"/>
      <c r="B565"/>
      <c r="C565"/>
      <c r="D565"/>
      <c r="E565"/>
      <c r="F565"/>
      <c r="G565"/>
      <c r="H565"/>
      <c r="I565"/>
    </row>
    <row r="566" spans="1:9" x14ac:dyDescent="0.3">
      <c r="A566"/>
      <c r="B566"/>
      <c r="C566"/>
      <c r="D566"/>
      <c r="E566"/>
      <c r="F566"/>
      <c r="G566"/>
      <c r="H566"/>
      <c r="I566"/>
    </row>
    <row r="567" spans="1:9" x14ac:dyDescent="0.3">
      <c r="A567"/>
      <c r="B567"/>
      <c r="C567"/>
      <c r="D567"/>
      <c r="E567"/>
      <c r="F567"/>
      <c r="G567"/>
      <c r="H567"/>
      <c r="I567"/>
    </row>
    <row r="568" spans="1:9" x14ac:dyDescent="0.3">
      <c r="A568"/>
      <c r="B568"/>
      <c r="C568"/>
      <c r="D568"/>
      <c r="E568"/>
      <c r="F568"/>
      <c r="G568"/>
      <c r="H568"/>
      <c r="I568"/>
    </row>
    <row r="569" spans="1:9" x14ac:dyDescent="0.3">
      <c r="A569"/>
      <c r="B569"/>
      <c r="C569"/>
      <c r="D569"/>
      <c r="E569"/>
      <c r="F569"/>
      <c r="G569"/>
      <c r="H569"/>
      <c r="I569"/>
    </row>
    <row r="570" spans="1:9" x14ac:dyDescent="0.3">
      <c r="A570"/>
      <c r="B570"/>
      <c r="C570"/>
      <c r="D570"/>
      <c r="E570"/>
      <c r="F570"/>
      <c r="G570"/>
      <c r="H570"/>
      <c r="I570"/>
    </row>
    <row r="571" spans="1:9" x14ac:dyDescent="0.3">
      <c r="A571"/>
      <c r="B571"/>
      <c r="C571"/>
      <c r="D571"/>
      <c r="E571"/>
      <c r="F571"/>
      <c r="G571"/>
      <c r="H571"/>
      <c r="I571"/>
    </row>
    <row r="572" spans="1:9" x14ac:dyDescent="0.3">
      <c r="A572"/>
      <c r="B572"/>
      <c r="C572"/>
      <c r="D572"/>
      <c r="E572"/>
      <c r="F572"/>
      <c r="G572"/>
      <c r="H572"/>
      <c r="I572"/>
    </row>
    <row r="573" spans="1:9" x14ac:dyDescent="0.3">
      <c r="A573"/>
      <c r="B573"/>
      <c r="C573"/>
      <c r="D573"/>
      <c r="E573"/>
      <c r="F573"/>
      <c r="G573"/>
      <c r="H573"/>
      <c r="I573"/>
    </row>
    <row r="574" spans="1:9" x14ac:dyDescent="0.3">
      <c r="A574"/>
      <c r="B574"/>
      <c r="C574"/>
      <c r="D574"/>
      <c r="E574"/>
      <c r="F574"/>
      <c r="G574"/>
      <c r="H574"/>
      <c r="I574"/>
    </row>
    <row r="575" spans="1:9" x14ac:dyDescent="0.3">
      <c r="A575"/>
      <c r="B575"/>
      <c r="C575"/>
      <c r="D575"/>
      <c r="E575"/>
      <c r="F575"/>
      <c r="G575"/>
      <c r="H575"/>
      <c r="I575"/>
    </row>
    <row r="576" spans="1:9" x14ac:dyDescent="0.3">
      <c r="A576"/>
      <c r="B576"/>
      <c r="C576"/>
      <c r="D576"/>
      <c r="E576"/>
      <c r="F576"/>
      <c r="G576"/>
      <c r="H576"/>
      <c r="I576"/>
    </row>
    <row r="577" spans="1:9" x14ac:dyDescent="0.3">
      <c r="A577"/>
      <c r="B577"/>
      <c r="C577"/>
      <c r="D577"/>
      <c r="E577"/>
      <c r="F577"/>
      <c r="G577"/>
      <c r="H577"/>
      <c r="I577"/>
    </row>
    <row r="578" spans="1:9" x14ac:dyDescent="0.3">
      <c r="A578"/>
      <c r="B578"/>
      <c r="C578"/>
      <c r="D578"/>
      <c r="E578"/>
      <c r="F578"/>
      <c r="G578"/>
      <c r="H578"/>
      <c r="I578"/>
    </row>
    <row r="579" spans="1:9" x14ac:dyDescent="0.3">
      <c r="A579"/>
      <c r="B579"/>
      <c r="C579"/>
      <c r="D579"/>
      <c r="E579"/>
      <c r="F579"/>
      <c r="G579"/>
      <c r="H579"/>
      <c r="I579"/>
    </row>
    <row r="580" spans="1:9" x14ac:dyDescent="0.3">
      <c r="A580"/>
      <c r="B580"/>
      <c r="C580"/>
      <c r="D580"/>
      <c r="E580"/>
      <c r="F580"/>
      <c r="G580"/>
      <c r="H580"/>
      <c r="I580"/>
    </row>
    <row r="581" spans="1:9" x14ac:dyDescent="0.3">
      <c r="A581"/>
      <c r="B581"/>
      <c r="C581"/>
      <c r="D581"/>
      <c r="E581"/>
      <c r="F581"/>
      <c r="G581"/>
      <c r="H581"/>
      <c r="I581"/>
    </row>
    <row r="582" spans="1:9" x14ac:dyDescent="0.3">
      <c r="A582"/>
      <c r="B582"/>
      <c r="C582"/>
      <c r="D582"/>
      <c r="E582"/>
      <c r="F582"/>
      <c r="G582"/>
      <c r="H582"/>
      <c r="I582"/>
    </row>
    <row r="583" spans="1:9" x14ac:dyDescent="0.3">
      <c r="A583"/>
      <c r="B583"/>
      <c r="C583"/>
      <c r="D583"/>
      <c r="E583"/>
      <c r="F583"/>
      <c r="G583"/>
      <c r="H583"/>
      <c r="I583"/>
    </row>
    <row r="584" spans="1:9" x14ac:dyDescent="0.3">
      <c r="A584"/>
      <c r="B584"/>
      <c r="C584"/>
      <c r="D584"/>
      <c r="E584"/>
      <c r="F584"/>
      <c r="G584"/>
      <c r="H584"/>
      <c r="I584"/>
    </row>
    <row r="585" spans="1:9" x14ac:dyDescent="0.3">
      <c r="A585"/>
      <c r="B585"/>
      <c r="C585"/>
      <c r="D585"/>
      <c r="E585"/>
      <c r="F585"/>
      <c r="G585"/>
      <c r="H585"/>
      <c r="I585"/>
    </row>
    <row r="586" spans="1:9" x14ac:dyDescent="0.3">
      <c r="A586"/>
      <c r="B586"/>
      <c r="C586"/>
      <c r="D586"/>
      <c r="E586"/>
      <c r="F586"/>
      <c r="G586"/>
      <c r="H586"/>
      <c r="I586"/>
    </row>
    <row r="587" spans="1:9" x14ac:dyDescent="0.3">
      <c r="A587"/>
      <c r="B587"/>
      <c r="C587"/>
      <c r="D587"/>
      <c r="E587"/>
      <c r="F587"/>
      <c r="G587"/>
      <c r="H587"/>
      <c r="I587"/>
    </row>
    <row r="588" spans="1:9" x14ac:dyDescent="0.3">
      <c r="A588"/>
      <c r="B588"/>
      <c r="C588"/>
      <c r="D588"/>
      <c r="E588"/>
      <c r="F588"/>
      <c r="G588"/>
      <c r="H588"/>
      <c r="I588"/>
    </row>
    <row r="589" spans="1:9" x14ac:dyDescent="0.3">
      <c r="A589"/>
      <c r="B589"/>
      <c r="C589"/>
      <c r="D589"/>
      <c r="E589"/>
      <c r="F589"/>
      <c r="G589"/>
      <c r="H589"/>
      <c r="I589"/>
    </row>
    <row r="590" spans="1:9" x14ac:dyDescent="0.3">
      <c r="A590"/>
      <c r="B590"/>
      <c r="C590"/>
      <c r="D590"/>
      <c r="E590"/>
      <c r="F590"/>
      <c r="G590"/>
      <c r="H590"/>
      <c r="I590"/>
    </row>
    <row r="591" spans="1:9" x14ac:dyDescent="0.3">
      <c r="A591"/>
      <c r="B591"/>
      <c r="C591"/>
      <c r="D591"/>
      <c r="E591"/>
      <c r="F591"/>
      <c r="G591"/>
      <c r="H591"/>
      <c r="I591"/>
    </row>
    <row r="592" spans="1:9" x14ac:dyDescent="0.3">
      <c r="A592"/>
      <c r="B592"/>
      <c r="C592"/>
      <c r="D592"/>
      <c r="E592"/>
      <c r="F592"/>
      <c r="G592"/>
      <c r="H592"/>
      <c r="I592"/>
    </row>
    <row r="593" spans="1:9" x14ac:dyDescent="0.3">
      <c r="A593"/>
      <c r="B593"/>
      <c r="C593"/>
      <c r="D593"/>
      <c r="E593"/>
      <c r="F593"/>
      <c r="G593"/>
      <c r="H593"/>
      <c r="I593"/>
    </row>
    <row r="594" spans="1:9" x14ac:dyDescent="0.3">
      <c r="A594"/>
      <c r="B594"/>
      <c r="C594"/>
      <c r="D594"/>
      <c r="E594"/>
      <c r="F594"/>
      <c r="G594"/>
      <c r="H594"/>
      <c r="I594"/>
    </row>
    <row r="595" spans="1:9" x14ac:dyDescent="0.3">
      <c r="A595"/>
      <c r="B595"/>
      <c r="C595"/>
      <c r="D595"/>
      <c r="E595"/>
      <c r="F595"/>
      <c r="G595"/>
      <c r="H595"/>
      <c r="I595"/>
    </row>
    <row r="596" spans="1:9" x14ac:dyDescent="0.3">
      <c r="A596"/>
      <c r="B596"/>
      <c r="C596"/>
      <c r="D596"/>
      <c r="E596"/>
      <c r="F596"/>
      <c r="G596"/>
      <c r="H596"/>
      <c r="I596"/>
    </row>
    <row r="597" spans="1:9" x14ac:dyDescent="0.3">
      <c r="A597"/>
      <c r="B597"/>
      <c r="C597"/>
      <c r="D597"/>
      <c r="E597"/>
      <c r="F597"/>
      <c r="G597"/>
      <c r="H597"/>
      <c r="I597"/>
    </row>
    <row r="598" spans="1:9" x14ac:dyDescent="0.3">
      <c r="A598"/>
      <c r="B598"/>
      <c r="C598"/>
      <c r="D598"/>
      <c r="E598"/>
      <c r="F598"/>
      <c r="G598"/>
      <c r="H598"/>
      <c r="I598"/>
    </row>
    <row r="599" spans="1:9" x14ac:dyDescent="0.3">
      <c r="A599"/>
      <c r="B599"/>
      <c r="C599"/>
      <c r="D599"/>
      <c r="E599"/>
      <c r="F599"/>
      <c r="G599"/>
      <c r="H599"/>
      <c r="I599"/>
    </row>
    <row r="600" spans="1:9" x14ac:dyDescent="0.3">
      <c r="A600"/>
      <c r="B600"/>
      <c r="C600"/>
      <c r="D600"/>
      <c r="E600"/>
      <c r="F600"/>
      <c r="G600"/>
      <c r="H600"/>
      <c r="I600"/>
    </row>
    <row r="601" spans="1:9" x14ac:dyDescent="0.3">
      <c r="A601"/>
      <c r="B601"/>
      <c r="C601"/>
      <c r="D601"/>
      <c r="E601"/>
      <c r="F601"/>
      <c r="G601"/>
      <c r="H601"/>
      <c r="I601"/>
    </row>
    <row r="602" spans="1:9" x14ac:dyDescent="0.3">
      <c r="A602"/>
      <c r="B602"/>
      <c r="C602"/>
      <c r="D602"/>
      <c r="E602"/>
      <c r="F602"/>
      <c r="G602"/>
      <c r="H602"/>
      <c r="I602"/>
    </row>
    <row r="603" spans="1:9" x14ac:dyDescent="0.3">
      <c r="A603"/>
      <c r="B603"/>
      <c r="C603"/>
      <c r="D603"/>
      <c r="E603"/>
      <c r="F603"/>
      <c r="G603"/>
      <c r="H603"/>
      <c r="I603"/>
    </row>
    <row r="604" spans="1:9" x14ac:dyDescent="0.3">
      <c r="A604"/>
      <c r="B604"/>
      <c r="C604"/>
      <c r="D604"/>
      <c r="E604"/>
      <c r="F604"/>
      <c r="G604"/>
      <c r="H604"/>
      <c r="I604"/>
    </row>
    <row r="605" spans="1:9" x14ac:dyDescent="0.3">
      <c r="A605"/>
      <c r="B605"/>
      <c r="C605"/>
      <c r="D605"/>
      <c r="E605"/>
      <c r="F605"/>
      <c r="G605"/>
      <c r="H605"/>
      <c r="I605"/>
    </row>
    <row r="606" spans="1:9" x14ac:dyDescent="0.3">
      <c r="A606"/>
      <c r="B606"/>
      <c r="C606"/>
      <c r="D606"/>
      <c r="E606"/>
      <c r="F606"/>
      <c r="G606"/>
      <c r="H606"/>
      <c r="I606"/>
    </row>
    <row r="607" spans="1:9" x14ac:dyDescent="0.3">
      <c r="A607"/>
      <c r="B607"/>
      <c r="C607"/>
      <c r="D607"/>
      <c r="E607"/>
      <c r="F607"/>
      <c r="G607"/>
      <c r="H607"/>
      <c r="I607"/>
    </row>
    <row r="608" spans="1:9" x14ac:dyDescent="0.3">
      <c r="A608"/>
      <c r="B608"/>
      <c r="C608"/>
      <c r="D608"/>
      <c r="E608"/>
      <c r="F608"/>
      <c r="G608"/>
      <c r="H608"/>
      <c r="I608"/>
    </row>
    <row r="609" spans="1:9" x14ac:dyDescent="0.3">
      <c r="A609"/>
      <c r="B609"/>
      <c r="C609"/>
      <c r="D609"/>
      <c r="E609"/>
      <c r="F609"/>
      <c r="G609"/>
      <c r="H609"/>
      <c r="I609"/>
    </row>
    <row r="610" spans="1:9" x14ac:dyDescent="0.3">
      <c r="A610"/>
      <c r="B610"/>
      <c r="C610"/>
      <c r="D610"/>
      <c r="E610"/>
      <c r="F610"/>
      <c r="G610"/>
      <c r="H610"/>
      <c r="I610"/>
    </row>
    <row r="611" spans="1:9" x14ac:dyDescent="0.3">
      <c r="A611"/>
      <c r="B611"/>
      <c r="C611"/>
      <c r="D611"/>
      <c r="E611"/>
      <c r="F611"/>
      <c r="G611"/>
      <c r="H611"/>
      <c r="I611"/>
    </row>
    <row r="612" spans="1:9" x14ac:dyDescent="0.3">
      <c r="A612"/>
      <c r="B612"/>
      <c r="C612"/>
      <c r="D612"/>
      <c r="E612"/>
      <c r="F612"/>
      <c r="G612"/>
      <c r="H612"/>
      <c r="I612"/>
    </row>
    <row r="613" spans="1:9" x14ac:dyDescent="0.3">
      <c r="A613"/>
      <c r="B613"/>
      <c r="C613"/>
      <c r="D613"/>
      <c r="E613"/>
      <c r="F613"/>
      <c r="G613"/>
      <c r="H613"/>
      <c r="I613"/>
    </row>
    <row r="614" spans="1:9" x14ac:dyDescent="0.3">
      <c r="A614"/>
      <c r="B614"/>
      <c r="C614"/>
      <c r="D614"/>
      <c r="E614"/>
      <c r="F614"/>
      <c r="G614"/>
      <c r="H614"/>
      <c r="I614"/>
    </row>
    <row r="615" spans="1:9" x14ac:dyDescent="0.3">
      <c r="A615"/>
      <c r="B615"/>
      <c r="C615"/>
      <c r="D615"/>
      <c r="E615"/>
      <c r="F615"/>
      <c r="G615"/>
      <c r="H615"/>
      <c r="I615"/>
    </row>
    <row r="616" spans="1:9" x14ac:dyDescent="0.3">
      <c r="A616"/>
      <c r="B616"/>
      <c r="C616"/>
      <c r="D616"/>
      <c r="E616"/>
      <c r="F616"/>
      <c r="G616"/>
      <c r="H616"/>
      <c r="I616"/>
    </row>
    <row r="617" spans="1:9" x14ac:dyDescent="0.3">
      <c r="A617"/>
      <c r="B617"/>
      <c r="C617"/>
      <c r="D617"/>
      <c r="E617"/>
      <c r="F617"/>
      <c r="G617"/>
      <c r="H617"/>
      <c r="I617"/>
    </row>
    <row r="618" spans="1:9" x14ac:dyDescent="0.3">
      <c r="A618"/>
      <c r="B618"/>
      <c r="C618"/>
      <c r="D618"/>
      <c r="E618"/>
      <c r="F618"/>
      <c r="G618"/>
      <c r="H618"/>
      <c r="I618"/>
    </row>
    <row r="619" spans="1:9" x14ac:dyDescent="0.3">
      <c r="A619"/>
      <c r="B619"/>
      <c r="C619"/>
      <c r="D619"/>
      <c r="E619"/>
      <c r="F619"/>
      <c r="G619"/>
      <c r="H619"/>
      <c r="I619"/>
    </row>
    <row r="620" spans="1:9" x14ac:dyDescent="0.3">
      <c r="A620"/>
      <c r="B620"/>
      <c r="C620"/>
      <c r="D620"/>
      <c r="E620"/>
      <c r="F620"/>
      <c r="G620"/>
      <c r="H620"/>
      <c r="I620"/>
    </row>
    <row r="621" spans="1:9" x14ac:dyDescent="0.3">
      <c r="A621"/>
      <c r="B621"/>
      <c r="C621"/>
      <c r="D621"/>
      <c r="E621"/>
      <c r="F621"/>
      <c r="G621"/>
      <c r="H621"/>
      <c r="I621"/>
    </row>
    <row r="622" spans="1:9" x14ac:dyDescent="0.3">
      <c r="A622"/>
      <c r="B622"/>
      <c r="C622"/>
      <c r="D622"/>
      <c r="E622"/>
      <c r="F622"/>
      <c r="G622"/>
      <c r="H622"/>
      <c r="I622"/>
    </row>
    <row r="623" spans="1:9" x14ac:dyDescent="0.3">
      <c r="A623"/>
      <c r="B623"/>
      <c r="C623"/>
      <c r="D623"/>
      <c r="E623"/>
      <c r="F623"/>
      <c r="G623"/>
      <c r="H623"/>
      <c r="I623"/>
    </row>
    <row r="624" spans="1:9" x14ac:dyDescent="0.3">
      <c r="A624"/>
      <c r="B624"/>
      <c r="C624"/>
      <c r="D624"/>
      <c r="E624"/>
      <c r="F624"/>
      <c r="G624"/>
      <c r="H624"/>
      <c r="I624"/>
    </row>
    <row r="625" spans="1:9" x14ac:dyDescent="0.3">
      <c r="A625"/>
      <c r="B625"/>
      <c r="C625"/>
      <c r="D625"/>
      <c r="E625"/>
      <c r="F625"/>
      <c r="G625"/>
      <c r="H625"/>
      <c r="I625"/>
    </row>
    <row r="626" spans="1:9" x14ac:dyDescent="0.3">
      <c r="A626"/>
      <c r="B626"/>
      <c r="C626"/>
      <c r="D626"/>
      <c r="E626"/>
      <c r="F626"/>
      <c r="G626"/>
      <c r="H626"/>
      <c r="I626"/>
    </row>
    <row r="627" spans="1:9" x14ac:dyDescent="0.3">
      <c r="A627"/>
      <c r="B627"/>
      <c r="C627"/>
      <c r="D627"/>
      <c r="E627"/>
      <c r="F627"/>
      <c r="G627"/>
      <c r="H627"/>
      <c r="I627"/>
    </row>
    <row r="628" spans="1:9" x14ac:dyDescent="0.3">
      <c r="A628"/>
      <c r="B628"/>
      <c r="C628"/>
      <c r="D628"/>
      <c r="E628"/>
      <c r="F628"/>
      <c r="G628"/>
      <c r="H628"/>
      <c r="I628"/>
    </row>
    <row r="629" spans="1:9" x14ac:dyDescent="0.3">
      <c r="A629"/>
      <c r="B629"/>
      <c r="C629"/>
      <c r="D629"/>
      <c r="E629"/>
      <c r="F629"/>
      <c r="G629"/>
      <c r="H629"/>
      <c r="I629"/>
    </row>
    <row r="630" spans="1:9" x14ac:dyDescent="0.3">
      <c r="A630"/>
      <c r="B630"/>
      <c r="C630"/>
      <c r="D630"/>
      <c r="E630"/>
      <c r="F630"/>
      <c r="G630"/>
      <c r="H630"/>
      <c r="I630"/>
    </row>
    <row r="631" spans="1:9" x14ac:dyDescent="0.3">
      <c r="A631"/>
      <c r="B631"/>
      <c r="C631"/>
      <c r="D631"/>
      <c r="E631"/>
      <c r="F631"/>
      <c r="G631"/>
      <c r="H631"/>
      <c r="I631"/>
    </row>
    <row r="632" spans="1:9" x14ac:dyDescent="0.3">
      <c r="A632"/>
      <c r="B632"/>
      <c r="C632"/>
      <c r="D632"/>
      <c r="E632"/>
      <c r="F632"/>
      <c r="G632"/>
      <c r="H632"/>
      <c r="I632"/>
    </row>
    <row r="633" spans="1:9" x14ac:dyDescent="0.3">
      <c r="A633"/>
      <c r="B633"/>
      <c r="C633"/>
      <c r="D633"/>
      <c r="E633"/>
      <c r="F633"/>
      <c r="G633"/>
      <c r="H633"/>
      <c r="I633"/>
    </row>
    <row r="634" spans="1:9" x14ac:dyDescent="0.3">
      <c r="A634"/>
      <c r="B634"/>
      <c r="C634"/>
      <c r="D634"/>
      <c r="E634"/>
      <c r="F634"/>
      <c r="G634"/>
      <c r="H634"/>
      <c r="I634"/>
    </row>
    <row r="635" spans="1:9" x14ac:dyDescent="0.3">
      <c r="A635"/>
      <c r="B635"/>
      <c r="C635"/>
      <c r="D635"/>
      <c r="E635"/>
      <c r="F635"/>
      <c r="G635"/>
      <c r="H635"/>
      <c r="I635"/>
    </row>
    <row r="636" spans="1:9" x14ac:dyDescent="0.3">
      <c r="A636"/>
      <c r="B636"/>
      <c r="C636"/>
      <c r="D636"/>
      <c r="E636"/>
      <c r="F636"/>
      <c r="G636"/>
      <c r="H636"/>
      <c r="I636"/>
    </row>
    <row r="637" spans="1:9" x14ac:dyDescent="0.3">
      <c r="A637"/>
      <c r="B637"/>
      <c r="C637"/>
      <c r="D637"/>
      <c r="E637"/>
      <c r="F637"/>
      <c r="G637"/>
      <c r="H637"/>
      <c r="I637"/>
    </row>
    <row r="638" spans="1:9" x14ac:dyDescent="0.3">
      <c r="A638"/>
      <c r="B638"/>
      <c r="C638"/>
      <c r="D638"/>
      <c r="E638"/>
      <c r="F638"/>
      <c r="G638"/>
      <c r="H638"/>
      <c r="I638"/>
    </row>
    <row r="639" spans="1:9" x14ac:dyDescent="0.3">
      <c r="A639"/>
      <c r="B639"/>
      <c r="C639"/>
      <c r="D639"/>
      <c r="E639"/>
      <c r="F639"/>
      <c r="G639"/>
      <c r="H639"/>
      <c r="I639"/>
    </row>
    <row r="640" spans="1:9" x14ac:dyDescent="0.3">
      <c r="A640"/>
      <c r="B640"/>
      <c r="C640"/>
      <c r="D640"/>
      <c r="E640"/>
      <c r="F640"/>
      <c r="G640"/>
      <c r="H640"/>
      <c r="I640"/>
    </row>
    <row r="641" spans="1:9" x14ac:dyDescent="0.3">
      <c r="A641"/>
      <c r="B641"/>
      <c r="C641"/>
      <c r="D641"/>
      <c r="E641"/>
      <c r="F641"/>
      <c r="G641"/>
      <c r="H641"/>
      <c r="I641"/>
    </row>
    <row r="642" spans="1:9" x14ac:dyDescent="0.3">
      <c r="A642"/>
      <c r="B642"/>
      <c r="C642"/>
      <c r="D642"/>
      <c r="E642"/>
      <c r="F642"/>
      <c r="G642"/>
      <c r="H642"/>
      <c r="I642"/>
    </row>
    <row r="643" spans="1:9" x14ac:dyDescent="0.3">
      <c r="A643"/>
      <c r="B643"/>
      <c r="C643"/>
      <c r="D643"/>
      <c r="E643"/>
      <c r="F643"/>
      <c r="G643"/>
      <c r="H643"/>
      <c r="I643"/>
    </row>
    <row r="644" spans="1:9" x14ac:dyDescent="0.3">
      <c r="A644"/>
      <c r="B644"/>
      <c r="C644"/>
      <c r="D644"/>
      <c r="E644"/>
      <c r="F644"/>
      <c r="G644"/>
      <c r="H644"/>
      <c r="I644"/>
    </row>
    <row r="645" spans="1:9" x14ac:dyDescent="0.3">
      <c r="A645"/>
      <c r="B645"/>
      <c r="C645"/>
      <c r="D645"/>
      <c r="E645"/>
      <c r="F645"/>
      <c r="G645"/>
      <c r="H645"/>
      <c r="I645"/>
    </row>
    <row r="646" spans="1:9" x14ac:dyDescent="0.3">
      <c r="A646"/>
      <c r="B646"/>
      <c r="C646"/>
      <c r="D646"/>
      <c r="E646"/>
      <c r="F646"/>
      <c r="G646"/>
      <c r="H646"/>
      <c r="I646"/>
    </row>
    <row r="647" spans="1:9" x14ac:dyDescent="0.3">
      <c r="A647"/>
      <c r="B647"/>
      <c r="C647"/>
      <c r="D647"/>
      <c r="E647"/>
      <c r="F647"/>
      <c r="G647"/>
      <c r="H647"/>
      <c r="I647"/>
    </row>
    <row r="648" spans="1:9" x14ac:dyDescent="0.3">
      <c r="A648"/>
      <c r="B648"/>
      <c r="C648"/>
      <c r="D648"/>
      <c r="E648"/>
      <c r="F648"/>
      <c r="G648"/>
      <c r="H648"/>
      <c r="I648"/>
    </row>
    <row r="649" spans="1:9" x14ac:dyDescent="0.3">
      <c r="A649"/>
      <c r="B649"/>
      <c r="C649"/>
      <c r="D649"/>
      <c r="E649"/>
      <c r="F649"/>
      <c r="G649"/>
      <c r="H649"/>
      <c r="I649"/>
    </row>
    <row r="650" spans="1:9" x14ac:dyDescent="0.3">
      <c r="A650"/>
      <c r="B650"/>
      <c r="C650"/>
      <c r="D650"/>
      <c r="E650"/>
      <c r="F650"/>
      <c r="G650"/>
      <c r="H650"/>
      <c r="I650"/>
    </row>
    <row r="651" spans="1:9" x14ac:dyDescent="0.3">
      <c r="A651"/>
      <c r="B651"/>
      <c r="C651"/>
      <c r="D651"/>
      <c r="E651"/>
      <c r="F651"/>
      <c r="G651"/>
      <c r="H651"/>
      <c r="I651"/>
    </row>
    <row r="652" spans="1:9" x14ac:dyDescent="0.3">
      <c r="A652"/>
      <c r="B652"/>
      <c r="C652"/>
      <c r="D652"/>
      <c r="E652"/>
      <c r="F652"/>
      <c r="G652"/>
      <c r="H652"/>
      <c r="I652"/>
    </row>
    <row r="653" spans="1:9" x14ac:dyDescent="0.3">
      <c r="A653"/>
      <c r="B653"/>
      <c r="C653"/>
      <c r="D653"/>
      <c r="E653"/>
      <c r="F653"/>
      <c r="G653"/>
      <c r="H653"/>
      <c r="I653"/>
    </row>
  </sheetData>
  <conditionalFormatting sqref="A1:XFD1 A284:XFD1048576 I2:XFD283">
    <cfRule type="expression" dxfId="1109" priority="48">
      <formula>LEN(TRIM(A1))=0</formula>
    </cfRule>
    <cfRule type="expression" dxfId="1108" priority="49">
      <formula>LEN(TRIM(A1))=0</formula>
    </cfRule>
    <cfRule type="expression" dxfId="1107" priority="50">
      <formula>LEN(TRIM(A1))=0</formula>
    </cfRule>
    <cfRule type="expression" dxfId="1106" priority="51">
      <formula>LEN(TRIM(A1))=0</formula>
    </cfRule>
    <cfRule type="expression" dxfId="1105" priority="52">
      <formula>LEN(TRIM(A1))=0</formula>
    </cfRule>
    <cfRule type="expression" dxfId="1104" priority="53">
      <formula>LEN(TRIM(A1))=0</formula>
    </cfRule>
    <cfRule type="expression" dxfId="1103" priority="54">
      <formula>LEN(TRIM(A1))=0</formula>
    </cfRule>
    <cfRule type="expression" dxfId="1102" priority="55">
      <formula>LEN(TRIM(A1))=0</formula>
    </cfRule>
    <cfRule type="expression" dxfId="1101" priority="56">
      <formula>LEN(TRIM(A1))=0</formula>
    </cfRule>
    <cfRule type="expression" dxfId="1100" priority="57">
      <formula>LEN(TRIM(A1))=0</formula>
    </cfRule>
    <cfRule type="expression" dxfId="1099" priority="58">
      <formula>LEN(TRIM(A1))=0</formula>
    </cfRule>
    <cfRule type="expression" dxfId="1098" priority="59">
      <formula>LEN(TRIM(A1))=0</formula>
    </cfRule>
  </conditionalFormatting>
  <conditionalFormatting sqref="A2:H2 A4:B44 E13:E44 A3 A45:E173 G3:G173 A174:G283">
    <cfRule type="expression" dxfId="1097" priority="13">
      <formula>LEN(TRIM(A2))=0</formula>
    </cfRule>
    <cfRule type="expression" dxfId="1096" priority="14">
      <formula>LEN(TRIM(A2))=0</formula>
    </cfRule>
    <cfRule type="expression" dxfId="1095" priority="15">
      <formula>LEN(TRIM(A2))=0</formula>
    </cfRule>
    <cfRule type="expression" dxfId="1094" priority="16">
      <formula>LEN(TRIM(A2))=0</formula>
    </cfRule>
    <cfRule type="expression" dxfId="1093" priority="17">
      <formula>LEN(TRIM(A2))=0</formula>
    </cfRule>
    <cfRule type="expression" dxfId="1092" priority="18">
      <formula>LEN(TRIM(A2))=0</formula>
    </cfRule>
    <cfRule type="expression" dxfId="1091" priority="19">
      <formula>LEN(TRIM(A2))=0</formula>
    </cfRule>
    <cfRule type="expression" dxfId="1090" priority="20">
      <formula>LEN(TRIM(A2))=0</formula>
    </cfRule>
    <cfRule type="expression" dxfId="1089" priority="21">
      <formula>LEN(TRIM(A2))=0</formula>
    </cfRule>
    <cfRule type="expression" dxfId="1088" priority="22">
      <formula>LEN(TRIM(A2))=0</formula>
    </cfRule>
    <cfRule type="expression" dxfId="1087" priority="23">
      <formula>LEN(TRIM(A2))=0</formula>
    </cfRule>
    <cfRule type="expression" dxfId="1086" priority="24">
      <formula>LEN(TRIM(A2))=0</formula>
    </cfRule>
    <cfRule type="expression" dxfId="1085" priority="25">
      <formula>LEN(TRIM(A2))=0</formula>
    </cfRule>
    <cfRule type="expression" dxfId="1084" priority="26">
      <formula>LEN(TRIM(A2))=0</formula>
    </cfRule>
    <cfRule type="expression" dxfId="1083" priority="27">
      <formula>LEN(TRIM(A2))=0</formula>
    </cfRule>
    <cfRule type="expression" dxfId="1082" priority="28">
      <formula>LEN(TRIM(A2))=0</formula>
    </cfRule>
    <cfRule type="expression" dxfId="1081" priority="29">
      <formula>LEN(TRIM(A2))=0</formula>
    </cfRule>
    <cfRule type="expression" dxfId="1080" priority="30">
      <formula>LEN(TRIM(A2))=0</formula>
    </cfRule>
    <cfRule type="expression" dxfId="1079" priority="31">
      <formula>LEN(TRIM(A2))=0</formula>
    </cfRule>
    <cfRule type="expression" dxfId="1078" priority="32">
      <formula>LEN(TRIM(A2))=0</formula>
    </cfRule>
    <cfRule type="expression" dxfId="1077" priority="33">
      <formula>LEN(TRIM(A2))=0</formula>
    </cfRule>
    <cfRule type="expression" dxfId="1076" priority="34">
      <formula>LEN(TRIM(A2))=0</formula>
    </cfRule>
    <cfRule type="expression" dxfId="1075" priority="35">
      <formula>LEN(TRIM(A2))=0</formula>
    </cfRule>
    <cfRule type="expression" dxfId="1074" priority="36">
      <formula>LEN(TRIM(A2))=0</formula>
    </cfRule>
    <cfRule type="expression" dxfId="1073" priority="37">
      <formula>LEN(TRIM(A2))=0</formula>
    </cfRule>
    <cfRule type="expression" dxfId="1072" priority="38">
      <formula>LEN(TRIM(A2))=0</formula>
    </cfRule>
    <cfRule type="expression" dxfId="1071" priority="39">
      <formula>LEN(TRIM(A2))=0</formula>
    </cfRule>
    <cfRule type="expression" dxfId="1070" priority="40">
      <formula>LEN(TRIM(A2))=0</formula>
    </cfRule>
    <cfRule type="expression" dxfId="1069" priority="41">
      <formula>LEN(TRIM(A2))=0</formula>
    </cfRule>
    <cfRule type="expression" dxfId="1068" priority="42">
      <formula>LEN(TRIM(A2))=0</formula>
    </cfRule>
    <cfRule type="expression" dxfId="1067" priority="43">
      <formula>LEN(TRIM(A2))=0</formula>
    </cfRule>
    <cfRule type="expression" dxfId="1066" priority="44">
      <formula>LEN(TRIM(A2))=0</formula>
    </cfRule>
    <cfRule type="expression" dxfId="1065" priority="45">
      <formula>LEN(TRIM(A2))=0</formula>
    </cfRule>
    <cfRule type="expression" dxfId="1064" priority="46">
      <formula>LEN(TRIM(A2))=0</formula>
    </cfRule>
    <cfRule type="expression" dxfId="1063" priority="47">
      <formula>LEN(TRIM(A2))=0</formula>
    </cfRule>
  </conditionalFormatting>
  <conditionalFormatting sqref="A1:XFD1048576">
    <cfRule type="expression" dxfId="1062" priority="1">
      <formula>LEN(TRIM(A1))=0</formula>
    </cfRule>
    <cfRule type="expression" dxfId="1061" priority="2">
      <formula>LEN(TRIM(A1))=0</formula>
    </cfRule>
    <cfRule type="expression" dxfId="1060" priority="3">
      <formula>LEN(TRIM(A1))=0</formula>
    </cfRule>
    <cfRule type="expression" dxfId="1059" priority="4">
      <formula>LEN(TRIM(A1))=0</formula>
    </cfRule>
    <cfRule type="expression" dxfId="1058" priority="5">
      <formula>LEN(TRIM(A1))=0</formula>
    </cfRule>
    <cfRule type="expression" dxfId="1057" priority="6">
      <formula>LEN(TRIM(A1))=0</formula>
    </cfRule>
    <cfRule type="expression" dxfId="1056" priority="7">
      <formula>LEN(TRIM(A1))=0</formula>
    </cfRule>
    <cfRule type="expression" dxfId="1055" priority="8">
      <formula>LEN(TRIM(A1))=0</formula>
    </cfRule>
    <cfRule type="expression" dxfId="1054" priority="9">
      <formula>LEN(TRIM(A1))=0</formula>
    </cfRule>
    <cfRule type="expression" dxfId="1053" priority="10">
      <formula>LEN(TRIM(A1))=0</formula>
    </cfRule>
    <cfRule type="expression" dxfId="1052" priority="11">
      <formula>LEN(TRIM(A1))=0</formula>
    </cfRule>
    <cfRule type="expression" dxfId="1051" priority="12">
      <formula>LEN(TRIM(A1))=0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12"/>
  <sheetViews>
    <sheetView tabSelected="1" zoomScale="85" zoomScaleNormal="85" workbookViewId="0">
      <selection activeCell="C1" sqref="C1:H3"/>
    </sheetView>
  </sheetViews>
  <sheetFormatPr defaultColWidth="9.109375" defaultRowHeight="14.4" x14ac:dyDescent="0.3"/>
  <cols>
    <col min="1" max="1" width="9.109375" style="394"/>
    <col min="2" max="2" width="13.109375" style="394" customWidth="1"/>
    <col min="3" max="5" width="10.6640625" style="394" customWidth="1"/>
    <col min="6" max="6" width="3.33203125" style="394" customWidth="1"/>
    <col min="7" max="7" width="9.109375" style="394"/>
    <col min="8" max="8" width="10.109375" style="394" customWidth="1"/>
    <col min="9" max="9" width="9.109375" style="394"/>
    <col min="10" max="10" width="10.6640625" style="394" customWidth="1"/>
    <col min="11" max="11" width="9.109375" style="394"/>
    <col min="12" max="12" width="3.33203125" style="394" customWidth="1"/>
    <col min="13" max="13" width="9.109375" style="394"/>
    <col min="14" max="14" width="11.33203125" style="394" customWidth="1"/>
    <col min="15" max="18" width="10.6640625" style="394" customWidth="1"/>
    <col min="19" max="16384" width="9.109375" style="394"/>
  </cols>
  <sheetData>
    <row r="1" spans="1:19" ht="15" thickBot="1" x14ac:dyDescent="0.35">
      <c r="A1" s="460"/>
      <c r="B1" s="460"/>
      <c r="C1" s="542" t="s">
        <v>34</v>
      </c>
      <c r="D1" s="543"/>
      <c r="E1" s="543"/>
      <c r="F1" s="543"/>
      <c r="G1" s="543"/>
      <c r="H1" s="544"/>
      <c r="I1" s="374" t="s">
        <v>110</v>
      </c>
      <c r="J1" s="375"/>
      <c r="K1" s="375"/>
      <c r="L1" s="376"/>
      <c r="M1" s="376"/>
      <c r="N1" s="376"/>
      <c r="O1" s="376"/>
      <c r="P1" s="376"/>
      <c r="Q1" s="376"/>
      <c r="R1" s="377"/>
      <c r="S1" s="396"/>
    </row>
    <row r="2" spans="1:19" ht="15" thickBot="1" x14ac:dyDescent="0.35">
      <c r="A2" s="460"/>
      <c r="B2" s="460"/>
      <c r="C2" s="545"/>
      <c r="D2" s="546"/>
      <c r="E2" s="546"/>
      <c r="F2" s="546"/>
      <c r="G2" s="546"/>
      <c r="H2" s="547"/>
      <c r="I2" s="529"/>
      <c r="J2" s="530"/>
      <c r="K2" s="530"/>
      <c r="L2" s="530"/>
      <c r="M2" s="530"/>
      <c r="N2" s="530"/>
      <c r="O2" s="530"/>
      <c r="P2" s="530"/>
      <c r="Q2" s="530"/>
      <c r="R2" s="379"/>
      <c r="S2" s="396"/>
    </row>
    <row r="3" spans="1:19" ht="15" thickBot="1" x14ac:dyDescent="0.35">
      <c r="A3" s="460"/>
      <c r="B3" s="460"/>
      <c r="C3" s="548"/>
      <c r="D3" s="549"/>
      <c r="E3" s="549"/>
      <c r="F3" s="549"/>
      <c r="G3" s="549"/>
      <c r="H3" s="550"/>
      <c r="I3" s="529"/>
      <c r="J3" s="530"/>
      <c r="K3" s="530"/>
      <c r="L3" s="530"/>
      <c r="M3" s="530"/>
      <c r="N3" s="530"/>
      <c r="O3" s="530"/>
      <c r="P3" s="530"/>
      <c r="Q3" s="530"/>
      <c r="R3" s="379"/>
      <c r="S3" s="396"/>
    </row>
    <row r="4" spans="1:19" x14ac:dyDescent="0.3">
      <c r="A4" s="383"/>
      <c r="B4" s="333"/>
      <c r="C4" s="333"/>
      <c r="D4" s="333"/>
      <c r="E4" s="333"/>
      <c r="F4" s="333"/>
      <c r="G4" s="333"/>
      <c r="H4" s="373"/>
      <c r="I4" s="530"/>
      <c r="J4" s="530"/>
      <c r="K4" s="530"/>
      <c r="L4" s="530"/>
      <c r="M4" s="530"/>
      <c r="N4" s="530"/>
      <c r="O4" s="530"/>
      <c r="P4" s="530"/>
      <c r="Q4" s="530"/>
      <c r="R4" s="379"/>
      <c r="S4" s="396"/>
    </row>
    <row r="5" spans="1:19" x14ac:dyDescent="0.3">
      <c r="A5" s="380"/>
      <c r="B5" s="337"/>
      <c r="C5" s="337"/>
      <c r="D5" s="337"/>
      <c r="E5" s="337"/>
      <c r="F5" s="337"/>
      <c r="G5" s="292"/>
      <c r="H5" s="330"/>
      <c r="I5" s="530"/>
      <c r="J5" s="530"/>
      <c r="K5" s="530"/>
      <c r="L5" s="530"/>
      <c r="M5" s="530"/>
      <c r="N5" s="530"/>
      <c r="O5" s="530"/>
      <c r="P5" s="530"/>
      <c r="Q5" s="530"/>
      <c r="R5" s="379"/>
      <c r="S5" s="396"/>
    </row>
    <row r="6" spans="1:19" x14ac:dyDescent="0.3">
      <c r="A6" s="539" t="s">
        <v>36</v>
      </c>
      <c r="B6" s="540"/>
      <c r="C6" s="541" t="str">
        <f>IF(Reporting!UJ5=0,A6,Reporting!UJ5)</f>
        <v>UNC Carrington Hall Phase 2</v>
      </c>
      <c r="D6" s="541"/>
      <c r="E6" s="541"/>
      <c r="F6" s="541"/>
      <c r="G6" s="331"/>
      <c r="H6" s="330"/>
      <c r="I6" s="530"/>
      <c r="J6" s="530"/>
      <c r="K6" s="530"/>
      <c r="L6" s="530"/>
      <c r="M6" s="530"/>
      <c r="N6" s="530"/>
      <c r="O6" s="530"/>
      <c r="P6" s="530"/>
      <c r="Q6" s="530"/>
      <c r="R6" s="379"/>
      <c r="S6" s="396"/>
    </row>
    <row r="7" spans="1:19" x14ac:dyDescent="0.3">
      <c r="A7" s="539" t="s">
        <v>37</v>
      </c>
      <c r="B7" s="540"/>
      <c r="C7" s="541" t="str">
        <f>IF(Reporting!UJ6=0,A7,Reporting!UJ6)</f>
        <v>87400403</v>
      </c>
      <c r="D7" s="541"/>
      <c r="E7" s="541"/>
      <c r="F7" s="541"/>
      <c r="G7" s="331"/>
      <c r="H7" s="330"/>
      <c r="I7" s="530"/>
      <c r="J7" s="530"/>
      <c r="K7" s="530"/>
      <c r="L7" s="530"/>
      <c r="M7" s="530"/>
      <c r="N7" s="530"/>
      <c r="O7" s="530"/>
      <c r="P7" s="530"/>
      <c r="Q7" s="530"/>
      <c r="R7" s="379"/>
      <c r="S7" s="396"/>
    </row>
    <row r="8" spans="1:19" x14ac:dyDescent="0.3">
      <c r="A8" s="539" t="s">
        <v>38</v>
      </c>
      <c r="B8" s="540"/>
      <c r="C8" s="541" t="str">
        <f>IF(Reporting!UJ7=0,A8,Reporting!UJ7)</f>
        <v>12981</v>
      </c>
      <c r="D8" s="541"/>
      <c r="E8" s="541"/>
      <c r="F8" s="541"/>
      <c r="G8" s="331"/>
      <c r="H8" s="330"/>
      <c r="I8" s="530"/>
      <c r="J8" s="530"/>
      <c r="K8" s="530"/>
      <c r="L8" s="530"/>
      <c r="M8" s="530"/>
      <c r="N8" s="530"/>
      <c r="O8" s="530"/>
      <c r="P8" s="530"/>
      <c r="Q8" s="530"/>
      <c r="R8" s="379"/>
      <c r="S8" s="396"/>
    </row>
    <row r="9" spans="1:19" x14ac:dyDescent="0.3">
      <c r="A9" s="539" t="s">
        <v>39</v>
      </c>
      <c r="B9" s="540"/>
      <c r="C9" s="553" t="str">
        <f>IF(Reporting!UJ8=0,A9,Reporting!UJ8)</f>
        <v>(blank)</v>
      </c>
      <c r="D9" s="553"/>
      <c r="E9" s="553"/>
      <c r="F9" s="553"/>
      <c r="G9" s="331"/>
      <c r="H9" s="330"/>
      <c r="I9" s="530"/>
      <c r="J9" s="530"/>
      <c r="K9" s="530"/>
      <c r="L9" s="530"/>
      <c r="M9" s="530"/>
      <c r="N9" s="530"/>
      <c r="O9" s="530"/>
      <c r="P9" s="530"/>
      <c r="Q9" s="530"/>
      <c r="R9" s="379"/>
      <c r="S9" s="396"/>
    </row>
    <row r="10" spans="1:19" x14ac:dyDescent="0.3">
      <c r="A10" s="539" t="s">
        <v>40</v>
      </c>
      <c r="B10" s="540"/>
      <c r="C10" s="541" t="str">
        <f>IF(Reporting!UJ9=0,A10,Reporting!UJ9)</f>
        <v>AGM: Condensate Drain (CD)</v>
      </c>
      <c r="D10" s="541"/>
      <c r="E10" s="541"/>
      <c r="F10" s="541"/>
      <c r="G10" s="331"/>
      <c r="H10" s="330"/>
      <c r="I10" s="530"/>
      <c r="J10" s="530"/>
      <c r="K10" s="530"/>
      <c r="L10" s="530"/>
      <c r="M10" s="530"/>
      <c r="N10" s="530"/>
      <c r="O10" s="530"/>
      <c r="P10" s="530"/>
      <c r="Q10" s="530"/>
      <c r="R10" s="379"/>
      <c r="S10" s="396"/>
    </row>
    <row r="11" spans="1:19" x14ac:dyDescent="0.3">
      <c r="A11" s="539" t="s">
        <v>349</v>
      </c>
      <c r="B11" s="540"/>
      <c r="C11" s="540">
        <f>SUM(O71:O80)</f>
        <v>0</v>
      </c>
      <c r="D11" s="540"/>
      <c r="E11" s="540"/>
      <c r="F11" s="540"/>
      <c r="G11" s="331"/>
      <c r="H11" s="292"/>
      <c r="I11" s="338"/>
      <c r="J11" s="338"/>
      <c r="K11" s="338"/>
      <c r="L11" s="338"/>
      <c r="M11" s="338"/>
      <c r="N11" s="338"/>
      <c r="O11" s="338"/>
      <c r="P11" s="338"/>
      <c r="Q11" s="338"/>
      <c r="R11" s="381"/>
      <c r="S11" s="396"/>
    </row>
    <row r="12" spans="1:19" ht="16.5" customHeight="1" x14ac:dyDescent="0.3">
      <c r="A12" s="382"/>
      <c r="B12" s="340"/>
      <c r="C12" s="340"/>
      <c r="D12" s="340"/>
      <c r="E12" s="340"/>
      <c r="F12" s="340"/>
      <c r="G12" s="292"/>
      <c r="H12" s="330"/>
      <c r="I12" s="533" t="s">
        <v>290</v>
      </c>
      <c r="J12" s="533"/>
      <c r="K12" s="533"/>
      <c r="L12" s="533"/>
      <c r="M12" s="533"/>
      <c r="N12" s="533"/>
      <c r="O12" s="533"/>
      <c r="P12" s="533"/>
      <c r="Q12" s="533"/>
      <c r="R12" s="379"/>
      <c r="S12" s="396"/>
    </row>
    <row r="13" spans="1:19" ht="15" customHeight="1" x14ac:dyDescent="0.3">
      <c r="A13" s="595" t="s">
        <v>299</v>
      </c>
      <c r="B13" s="596"/>
      <c r="C13" s="596"/>
      <c r="D13" s="596"/>
      <c r="E13" s="596"/>
      <c r="F13" s="596"/>
      <c r="G13" s="292"/>
      <c r="H13" s="330"/>
      <c r="I13" s="531" t="s">
        <v>135</v>
      </c>
      <c r="J13" s="531"/>
      <c r="K13" s="531"/>
      <c r="L13" s="531"/>
      <c r="M13" s="531"/>
      <c r="N13" s="281" t="s">
        <v>291</v>
      </c>
      <c r="O13" s="281" t="s">
        <v>292</v>
      </c>
      <c r="P13" s="281" t="s">
        <v>293</v>
      </c>
      <c r="Q13" s="334" t="s">
        <v>294</v>
      </c>
      <c r="R13" s="379"/>
      <c r="S13" s="396"/>
    </row>
    <row r="14" spans="1:19" x14ac:dyDescent="0.3">
      <c r="A14" s="551" t="s">
        <v>53</v>
      </c>
      <c r="B14" s="552"/>
      <c r="C14" s="282" t="s">
        <v>23</v>
      </c>
      <c r="D14" s="343"/>
      <c r="E14" s="349"/>
      <c r="F14" s="344"/>
      <c r="G14" s="331"/>
      <c r="H14" s="330"/>
      <c r="I14" s="532" t="s">
        <v>135</v>
      </c>
      <c r="J14" s="532"/>
      <c r="K14" s="532"/>
      <c r="L14" s="532"/>
      <c r="M14" s="532"/>
      <c r="N14" s="172">
        <v>0</v>
      </c>
      <c r="O14" s="173">
        <v>0</v>
      </c>
      <c r="P14" s="171">
        <f>N14*O14</f>
        <v>0</v>
      </c>
      <c r="Q14" s="171">
        <f>P14/8</f>
        <v>0</v>
      </c>
      <c r="R14" s="379"/>
      <c r="S14" s="396"/>
    </row>
    <row r="15" spans="1:19" x14ac:dyDescent="0.3">
      <c r="A15" s="563" t="s">
        <v>15</v>
      </c>
      <c r="B15" s="564"/>
      <c r="C15" s="7">
        <f>'Material Handling'!$U$3+('Material Joining'!G47*0.02)</f>
        <v>1.3347562500000001</v>
      </c>
      <c r="D15" s="572" t="s">
        <v>300</v>
      </c>
      <c r="E15" s="573"/>
      <c r="F15" s="346"/>
      <c r="G15" s="331"/>
      <c r="H15" s="330"/>
      <c r="I15" s="532" t="s">
        <v>135</v>
      </c>
      <c r="J15" s="532"/>
      <c r="K15" s="532"/>
      <c r="L15" s="532"/>
      <c r="M15" s="532"/>
      <c r="N15" s="172">
        <v>0</v>
      </c>
      <c r="O15" s="173">
        <v>0</v>
      </c>
      <c r="P15" s="171">
        <f t="shared" ref="P15:P22" si="0">N15*O15</f>
        <v>0</v>
      </c>
      <c r="Q15" s="171">
        <f t="shared" ref="Q15:Q22" si="1">P15/8</f>
        <v>0</v>
      </c>
      <c r="R15" s="379"/>
      <c r="S15" s="396"/>
    </row>
    <row r="16" spans="1:19" x14ac:dyDescent="0.3">
      <c r="A16" s="563" t="s">
        <v>24</v>
      </c>
      <c r="B16" s="564"/>
      <c r="C16" s="7">
        <f>'Material Cutting'!$S$3+('Material Joining'!G47*0.08)</f>
        <v>0.21731249999999996</v>
      </c>
      <c r="D16" s="572"/>
      <c r="E16" s="573"/>
      <c r="F16" s="346"/>
      <c r="G16" s="331"/>
      <c r="H16" s="330"/>
      <c r="I16" s="532" t="s">
        <v>135</v>
      </c>
      <c r="J16" s="532"/>
      <c r="K16" s="532"/>
      <c r="L16" s="532"/>
      <c r="M16" s="532"/>
      <c r="N16" s="172">
        <v>0</v>
      </c>
      <c r="O16" s="173">
        <v>0</v>
      </c>
      <c r="P16" s="171">
        <f t="shared" si="0"/>
        <v>0</v>
      </c>
      <c r="Q16" s="171">
        <f t="shared" si="1"/>
        <v>0</v>
      </c>
      <c r="R16" s="379"/>
      <c r="S16" s="396"/>
    </row>
    <row r="17" spans="1:19" x14ac:dyDescent="0.3">
      <c r="A17" s="563" t="s">
        <v>237</v>
      </c>
      <c r="B17" s="564"/>
      <c r="C17" s="7">
        <f>'Pipe End Prep'!$S$3</f>
        <v>0</v>
      </c>
      <c r="D17" s="572" t="s">
        <v>301</v>
      </c>
      <c r="E17" s="573"/>
      <c r="F17" s="346"/>
      <c r="G17" s="331"/>
      <c r="H17" s="330"/>
      <c r="I17" s="532" t="s">
        <v>135</v>
      </c>
      <c r="J17" s="532"/>
      <c r="K17" s="532"/>
      <c r="L17" s="532"/>
      <c r="M17" s="532"/>
      <c r="N17" s="172">
        <v>0</v>
      </c>
      <c r="O17" s="173">
        <v>0</v>
      </c>
      <c r="P17" s="171">
        <f t="shared" si="0"/>
        <v>0</v>
      </c>
      <c r="Q17" s="171">
        <f t="shared" si="1"/>
        <v>0</v>
      </c>
      <c r="R17" s="379"/>
      <c r="S17" s="396"/>
    </row>
    <row r="18" spans="1:19" x14ac:dyDescent="0.3">
      <c r="A18" s="563" t="s">
        <v>28</v>
      </c>
      <c r="B18" s="564"/>
      <c r="C18" s="7">
        <f ca="1">'Material Joining'!$S$3-('Material Joining'!G47*0.1)</f>
        <v>1.9337</v>
      </c>
      <c r="D18" s="572"/>
      <c r="E18" s="573"/>
      <c r="F18" s="346"/>
      <c r="G18" s="331"/>
      <c r="H18" s="330"/>
      <c r="I18" s="532" t="s">
        <v>135</v>
      </c>
      <c r="J18" s="532"/>
      <c r="K18" s="532"/>
      <c r="L18" s="532"/>
      <c r="M18" s="532"/>
      <c r="N18" s="172">
        <v>0</v>
      </c>
      <c r="O18" s="173">
        <v>0</v>
      </c>
      <c r="P18" s="171">
        <f t="shared" si="0"/>
        <v>0</v>
      </c>
      <c r="Q18" s="171">
        <f t="shared" si="1"/>
        <v>0</v>
      </c>
      <c r="R18" s="379"/>
      <c r="S18" s="396"/>
    </row>
    <row r="19" spans="1:19" x14ac:dyDescent="0.3">
      <c r="A19" s="563" t="s">
        <v>52</v>
      </c>
      <c r="B19" s="564"/>
      <c r="C19" s="7">
        <f>Assemblies!$S$3</f>
        <v>0</v>
      </c>
      <c r="D19" s="572" t="s">
        <v>302</v>
      </c>
      <c r="E19" s="573"/>
      <c r="F19" s="346"/>
      <c r="G19" s="331"/>
      <c r="H19" s="330"/>
      <c r="I19" s="532" t="s">
        <v>135</v>
      </c>
      <c r="J19" s="532"/>
      <c r="K19" s="532"/>
      <c r="L19" s="532"/>
      <c r="M19" s="532"/>
      <c r="N19" s="172">
        <v>0</v>
      </c>
      <c r="O19" s="173">
        <v>0</v>
      </c>
      <c r="P19" s="171">
        <f t="shared" si="0"/>
        <v>0</v>
      </c>
      <c r="Q19" s="171">
        <f t="shared" si="1"/>
        <v>0</v>
      </c>
      <c r="R19" s="379"/>
      <c r="S19" s="396"/>
    </row>
    <row r="20" spans="1:19" x14ac:dyDescent="0.3">
      <c r="A20" s="563" t="s">
        <v>140</v>
      </c>
      <c r="B20" s="564"/>
      <c r="C20" s="7">
        <f>'Hangers &amp; Supports'!$S$3</f>
        <v>0</v>
      </c>
      <c r="D20" s="572"/>
      <c r="E20" s="573"/>
      <c r="F20" s="346"/>
      <c r="G20" s="331"/>
      <c r="H20" s="330"/>
      <c r="I20" s="532" t="s">
        <v>135</v>
      </c>
      <c r="J20" s="532"/>
      <c r="K20" s="532"/>
      <c r="L20" s="532"/>
      <c r="M20" s="532"/>
      <c r="N20" s="172">
        <v>0</v>
      </c>
      <c r="O20" s="173">
        <v>0</v>
      </c>
      <c r="P20" s="171">
        <f t="shared" si="0"/>
        <v>0</v>
      </c>
      <c r="Q20" s="171">
        <f t="shared" si="1"/>
        <v>0</v>
      </c>
      <c r="R20" s="379"/>
      <c r="S20" s="396"/>
    </row>
    <row r="21" spans="1:19" x14ac:dyDescent="0.3">
      <c r="A21" s="563" t="s">
        <v>295</v>
      </c>
      <c r="B21" s="564"/>
      <c r="C21" s="7">
        <f>Q23*1.1</f>
        <v>0</v>
      </c>
      <c r="D21" s="345"/>
      <c r="E21" s="292"/>
      <c r="F21" s="346"/>
      <c r="G21" s="331"/>
      <c r="H21" s="330"/>
      <c r="I21" s="532" t="s">
        <v>135</v>
      </c>
      <c r="J21" s="532"/>
      <c r="K21" s="532"/>
      <c r="L21" s="532"/>
      <c r="M21" s="532"/>
      <c r="N21" s="172">
        <v>0</v>
      </c>
      <c r="O21" s="173">
        <v>0</v>
      </c>
      <c r="P21" s="171">
        <f t="shared" si="0"/>
        <v>0</v>
      </c>
      <c r="Q21" s="171">
        <f t="shared" si="1"/>
        <v>0</v>
      </c>
      <c r="R21" s="379"/>
      <c r="S21" s="396"/>
    </row>
    <row r="22" spans="1:19" x14ac:dyDescent="0.3">
      <c r="A22" s="534" t="s">
        <v>35</v>
      </c>
      <c r="B22" s="535"/>
      <c r="C22" s="341">
        <f ca="1">SUM(C15:C21)</f>
        <v>3.4857687500000001</v>
      </c>
      <c r="D22" s="347"/>
      <c r="E22" s="350"/>
      <c r="F22" s="348"/>
      <c r="G22" s="331"/>
      <c r="H22" s="330"/>
      <c r="I22" s="532" t="s">
        <v>135</v>
      </c>
      <c r="J22" s="532"/>
      <c r="K22" s="532"/>
      <c r="L22" s="532"/>
      <c r="M22" s="532"/>
      <c r="N22" s="172">
        <v>0</v>
      </c>
      <c r="O22" s="173">
        <v>0</v>
      </c>
      <c r="P22" s="171">
        <f t="shared" si="0"/>
        <v>0</v>
      </c>
      <c r="Q22" s="171">
        <f t="shared" si="1"/>
        <v>0</v>
      </c>
      <c r="R22" s="379"/>
      <c r="S22" s="396"/>
    </row>
    <row r="23" spans="1:19" x14ac:dyDescent="0.3">
      <c r="A23" s="383"/>
      <c r="B23" s="333"/>
      <c r="C23" s="333"/>
      <c r="D23" s="333"/>
      <c r="E23" s="333"/>
      <c r="F23" s="333"/>
      <c r="G23" s="292"/>
      <c r="H23" s="330"/>
      <c r="I23" s="538" t="s">
        <v>35</v>
      </c>
      <c r="J23" s="538"/>
      <c r="K23" s="538"/>
      <c r="L23" s="538"/>
      <c r="M23" s="538"/>
      <c r="N23" s="335"/>
      <c r="O23" s="336"/>
      <c r="P23" s="336">
        <f>SUM(P14:P22)</f>
        <v>0</v>
      </c>
      <c r="Q23" s="336">
        <f>SUM(Q14:Q22)</f>
        <v>0</v>
      </c>
      <c r="R23" s="379"/>
      <c r="S23" s="396"/>
    </row>
    <row r="24" spans="1:19" ht="15.6" x14ac:dyDescent="0.3">
      <c r="A24" s="384"/>
      <c r="B24" s="359"/>
      <c r="C24" s="359"/>
      <c r="D24" s="359"/>
      <c r="E24" s="359"/>
      <c r="F24" s="359"/>
      <c r="G24" s="293"/>
      <c r="H24" s="292"/>
      <c r="I24" s="332"/>
      <c r="J24" s="332"/>
      <c r="K24" s="332"/>
      <c r="L24" s="332"/>
      <c r="M24" s="332"/>
      <c r="N24" s="332"/>
      <c r="O24" s="332"/>
      <c r="P24" s="332"/>
      <c r="Q24" s="333"/>
      <c r="R24" s="381"/>
      <c r="S24" s="396"/>
    </row>
    <row r="25" spans="1:19" ht="15.6" x14ac:dyDescent="0.3">
      <c r="A25" s="578" t="s">
        <v>325</v>
      </c>
      <c r="B25" s="579"/>
      <c r="C25" s="579"/>
      <c r="D25" s="579"/>
      <c r="E25" s="580"/>
      <c r="F25" s="359"/>
      <c r="G25" s="293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381"/>
      <c r="S25" s="396"/>
    </row>
    <row r="26" spans="1:19" ht="15.6" x14ac:dyDescent="0.3">
      <c r="A26" s="585" t="s">
        <v>57</v>
      </c>
      <c r="B26" s="586"/>
      <c r="C26" s="360" t="s">
        <v>23</v>
      </c>
      <c r="D26" s="360" t="s">
        <v>54</v>
      </c>
      <c r="E26" s="342"/>
      <c r="F26" s="359"/>
      <c r="G26" s="295"/>
      <c r="H26" s="574"/>
      <c r="I26" s="574"/>
      <c r="J26" s="353"/>
      <c r="K26" s="292"/>
      <c r="L26" s="292"/>
      <c r="M26" s="292"/>
      <c r="N26" s="292"/>
      <c r="O26" s="292"/>
      <c r="P26" s="292"/>
      <c r="Q26" s="292"/>
      <c r="R26" s="381"/>
      <c r="S26" s="396"/>
    </row>
    <row r="27" spans="1:19" x14ac:dyDescent="0.3">
      <c r="A27" s="565" t="s">
        <v>15</v>
      </c>
      <c r="B27" s="566"/>
      <c r="C27" s="10">
        <f>'Material Handling'!$Y$3+(C42*0.02)+(C111*0.2)</f>
        <v>0.33368906250000002</v>
      </c>
      <c r="D27" s="10">
        <f>C27*8</f>
        <v>2.6695125000000002</v>
      </c>
      <c r="E27" s="354"/>
      <c r="F27" s="292"/>
      <c r="G27" s="292"/>
      <c r="H27" s="575"/>
      <c r="I27" s="576"/>
      <c r="J27" s="232" t="s">
        <v>54</v>
      </c>
      <c r="K27" s="331"/>
      <c r="L27" s="292"/>
      <c r="M27" s="292"/>
      <c r="N27" s="292"/>
      <c r="O27" s="292"/>
      <c r="P27" s="292"/>
      <c r="Q27" s="292"/>
      <c r="R27" s="381"/>
      <c r="S27" s="396"/>
    </row>
    <row r="28" spans="1:19" ht="15" customHeight="1" x14ac:dyDescent="0.3">
      <c r="A28" s="565" t="s">
        <v>24</v>
      </c>
      <c r="B28" s="566"/>
      <c r="C28" s="10">
        <f>'Material Cutting'!$W$3+(C42*0.08)</f>
        <v>0.21731249999999996</v>
      </c>
      <c r="D28" s="10">
        <f t="shared" ref="D28:D34" si="2">C28*8</f>
        <v>1.7384999999999997</v>
      </c>
      <c r="E28" s="358" t="s">
        <v>54</v>
      </c>
      <c r="F28" s="331"/>
      <c r="G28" s="330"/>
      <c r="H28" s="537" t="s">
        <v>297</v>
      </c>
      <c r="I28" s="537"/>
      <c r="J28" s="149">
        <f ca="1">D34</f>
        <v>19.877612499999998</v>
      </c>
      <c r="K28" s="354"/>
      <c r="L28" s="292"/>
      <c r="M28" s="292"/>
      <c r="N28" s="297"/>
      <c r="O28" s="298"/>
      <c r="P28" s="292"/>
      <c r="Q28" s="292"/>
      <c r="R28" s="381"/>
      <c r="S28" s="396"/>
    </row>
    <row r="29" spans="1:19" ht="15" customHeight="1" x14ac:dyDescent="0.3">
      <c r="A29" s="565" t="s">
        <v>237</v>
      </c>
      <c r="B29" s="566"/>
      <c r="C29" s="10">
        <f>'Pipe End Prep'!$W$3</f>
        <v>0</v>
      </c>
      <c r="D29" s="10">
        <f t="shared" si="2"/>
        <v>0</v>
      </c>
      <c r="E29" s="577">
        <f ca="1">SUM(D28:D33)</f>
        <v>17.208099999999998</v>
      </c>
      <c r="F29" s="331"/>
      <c r="G29" s="330"/>
      <c r="H29" s="537" t="s">
        <v>303</v>
      </c>
      <c r="I29" s="537"/>
      <c r="J29" s="149">
        <f ca="1">J28*K29</f>
        <v>2.9816418749999998</v>
      </c>
      <c r="K29" s="355">
        <v>0.15</v>
      </c>
      <c r="L29" s="331"/>
      <c r="M29" s="292"/>
      <c r="N29" s="298"/>
      <c r="O29" s="298"/>
      <c r="P29" s="292"/>
      <c r="Q29" s="292"/>
      <c r="R29" s="381"/>
      <c r="S29" s="396"/>
    </row>
    <row r="30" spans="1:19" ht="15.75" customHeight="1" x14ac:dyDescent="0.3">
      <c r="A30" s="565" t="s">
        <v>28</v>
      </c>
      <c r="B30" s="566"/>
      <c r="C30" s="10">
        <f ca="1">'Material Joining'!$W$3-(C42*0.1)</f>
        <v>1.9337</v>
      </c>
      <c r="D30" s="10">
        <f t="shared" ca="1" si="2"/>
        <v>15.4696</v>
      </c>
      <c r="E30" s="577"/>
      <c r="F30" s="331"/>
      <c r="G30" s="330"/>
      <c r="H30" s="537" t="s">
        <v>304</v>
      </c>
      <c r="I30" s="537"/>
      <c r="J30" s="149">
        <f ca="1">J28*1.15</f>
        <v>22.859254374999995</v>
      </c>
      <c r="K30" s="356" t="s">
        <v>54</v>
      </c>
      <c r="L30" s="331"/>
      <c r="M30" s="292"/>
      <c r="N30" s="298"/>
      <c r="O30" s="298"/>
      <c r="P30" s="292"/>
      <c r="Q30" s="292"/>
      <c r="R30" s="381"/>
      <c r="S30" s="396"/>
    </row>
    <row r="31" spans="1:19" x14ac:dyDescent="0.3">
      <c r="A31" s="565" t="s">
        <v>52</v>
      </c>
      <c r="B31" s="566"/>
      <c r="C31" s="10">
        <f>Assemblies!$W$3-(C111*0.2)</f>
        <v>0</v>
      </c>
      <c r="D31" s="10">
        <f>C31*8</f>
        <v>0</v>
      </c>
      <c r="E31" s="577"/>
      <c r="F31" s="331"/>
      <c r="G31" s="295"/>
      <c r="H31" s="351"/>
      <c r="I31" s="352"/>
      <c r="J31" s="352"/>
      <c r="K31" s="333"/>
      <c r="L31" s="292"/>
      <c r="M31" s="292"/>
      <c r="N31" s="292"/>
      <c r="O31" s="292"/>
      <c r="P31" s="292"/>
      <c r="Q31" s="292"/>
      <c r="R31" s="381"/>
      <c r="S31" s="396"/>
    </row>
    <row r="32" spans="1:19" x14ac:dyDescent="0.3">
      <c r="A32" s="565" t="s">
        <v>140</v>
      </c>
      <c r="B32" s="566"/>
      <c r="C32" s="10">
        <f>'Hangers &amp; Supports'!$W$3</f>
        <v>0</v>
      </c>
      <c r="D32" s="10">
        <f>C32*8</f>
        <v>0</v>
      </c>
      <c r="E32" s="577"/>
      <c r="F32" s="331"/>
      <c r="G32" s="300"/>
      <c r="H32" s="300"/>
      <c r="I32" s="299"/>
      <c r="J32" s="299"/>
      <c r="K32" s="292"/>
      <c r="L32" s="292"/>
      <c r="M32" s="292"/>
      <c r="N32" s="292"/>
      <c r="O32" s="292"/>
      <c r="P32" s="292"/>
      <c r="Q32" s="292"/>
      <c r="R32" s="381"/>
      <c r="S32" s="396"/>
    </row>
    <row r="33" spans="1:19" x14ac:dyDescent="0.3">
      <c r="A33" s="565" t="s">
        <v>295</v>
      </c>
      <c r="B33" s="566"/>
      <c r="C33" s="10">
        <f>Q23*1.1</f>
        <v>0</v>
      </c>
      <c r="D33" s="10">
        <f t="shared" si="2"/>
        <v>0</v>
      </c>
      <c r="E33" s="577"/>
      <c r="F33" s="331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381"/>
      <c r="S33" s="396"/>
    </row>
    <row r="34" spans="1:19" x14ac:dyDescent="0.3">
      <c r="A34" s="536" t="s">
        <v>297</v>
      </c>
      <c r="B34" s="537"/>
      <c r="C34" s="149">
        <f ca="1">SUM(C27:C33)</f>
        <v>2.4847015624999997</v>
      </c>
      <c r="D34" s="149">
        <f t="shared" ca="1" si="2"/>
        <v>19.877612499999998</v>
      </c>
      <c r="E34" s="34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381"/>
      <c r="S34" s="396"/>
    </row>
    <row r="35" spans="1:19" ht="15.6" x14ac:dyDescent="0.3">
      <c r="A35" s="385"/>
      <c r="B35" s="357"/>
      <c r="C35" s="357"/>
      <c r="D35" s="357"/>
      <c r="E35" s="301"/>
      <c r="F35" s="301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381"/>
      <c r="S35" s="396"/>
    </row>
    <row r="36" spans="1:19" ht="15.6" hidden="1" x14ac:dyDescent="0.3">
      <c r="A36" s="561" t="s">
        <v>298</v>
      </c>
      <c r="B36" s="562"/>
      <c r="C36" s="562"/>
      <c r="D36" s="562"/>
      <c r="E36" s="562"/>
      <c r="F36" s="562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381"/>
      <c r="S36" s="396"/>
    </row>
    <row r="37" spans="1:19" hidden="1" x14ac:dyDescent="0.3">
      <c r="A37" s="588" t="s">
        <v>138</v>
      </c>
      <c r="B37" s="570"/>
      <c r="C37" s="302" t="s">
        <v>23</v>
      </c>
      <c r="D37" s="302" t="s">
        <v>54</v>
      </c>
      <c r="E37" s="292"/>
      <c r="F37" s="292"/>
      <c r="G37" s="570" t="s">
        <v>139</v>
      </c>
      <c r="H37" s="570"/>
      <c r="I37" s="302" t="s">
        <v>23</v>
      </c>
      <c r="J37" s="302" t="s">
        <v>54</v>
      </c>
      <c r="K37" s="292"/>
      <c r="L37" s="292"/>
      <c r="M37" s="571" t="s">
        <v>136</v>
      </c>
      <c r="N37" s="571"/>
      <c r="O37" s="303" t="s">
        <v>23</v>
      </c>
      <c r="P37" s="303" t="s">
        <v>54</v>
      </c>
      <c r="Q37" s="292"/>
      <c r="R37" s="381"/>
      <c r="S37" s="396"/>
    </row>
    <row r="38" spans="1:19" hidden="1" x14ac:dyDescent="0.3">
      <c r="A38" s="526" t="s">
        <v>15</v>
      </c>
      <c r="B38" s="527"/>
      <c r="C38" s="304">
        <f>'Material Handling'!$N$27+(C42*0.02)</f>
        <v>0</v>
      </c>
      <c r="D38" s="304">
        <f t="shared" ref="D38:D43" si="3">C38*8</f>
        <v>0</v>
      </c>
      <c r="E38" s="292"/>
      <c r="F38" s="292"/>
      <c r="G38" s="527" t="s">
        <v>15</v>
      </c>
      <c r="H38" s="527"/>
      <c r="I38" s="304">
        <f>'Material Handling'!$N$44</f>
        <v>0</v>
      </c>
      <c r="J38" s="304">
        <f>I38*8</f>
        <v>0</v>
      </c>
      <c r="K38" s="292"/>
      <c r="L38" s="292"/>
      <c r="M38" s="560" t="s">
        <v>15</v>
      </c>
      <c r="N38" s="560"/>
      <c r="O38" s="305">
        <f>'Material Handling'!$Y$87</f>
        <v>0</v>
      </c>
      <c r="P38" s="305">
        <f>O38*8</f>
        <v>0</v>
      </c>
      <c r="Q38" s="292"/>
      <c r="R38" s="381"/>
      <c r="S38" s="396"/>
    </row>
    <row r="39" spans="1:19" hidden="1" x14ac:dyDescent="0.3">
      <c r="A39" s="526" t="s">
        <v>24</v>
      </c>
      <c r="B39" s="527"/>
      <c r="C39" s="304">
        <f>'Material Cutting'!$L$27+(C42*0.08)</f>
        <v>0</v>
      </c>
      <c r="D39" s="304">
        <f t="shared" si="3"/>
        <v>0</v>
      </c>
      <c r="E39" s="306" t="s">
        <v>54</v>
      </c>
      <c r="F39" s="292"/>
      <c r="G39" s="527" t="s">
        <v>24</v>
      </c>
      <c r="H39" s="527"/>
      <c r="I39" s="304">
        <f>'Material Cutting'!$L$44</f>
        <v>0</v>
      </c>
      <c r="J39" s="304">
        <f>I39*8</f>
        <v>0</v>
      </c>
      <c r="K39" s="306" t="s">
        <v>54</v>
      </c>
      <c r="L39" s="292"/>
      <c r="M39" s="560" t="s">
        <v>24</v>
      </c>
      <c r="N39" s="560"/>
      <c r="O39" s="305">
        <f>'Material Cutting'!$W$88</f>
        <v>0</v>
      </c>
      <c r="P39" s="305">
        <f>O39*8</f>
        <v>0</v>
      </c>
      <c r="Q39" s="307" t="s">
        <v>54</v>
      </c>
      <c r="R39" s="381"/>
      <c r="S39" s="396"/>
    </row>
    <row r="40" spans="1:19" ht="15" hidden="1" customHeight="1" x14ac:dyDescent="0.3">
      <c r="A40" s="526" t="s">
        <v>237</v>
      </c>
      <c r="B40" s="527"/>
      <c r="C40" s="304">
        <f>'Pipe End Prep'!$W$24</f>
        <v>0</v>
      </c>
      <c r="D40" s="304">
        <f t="shared" si="3"/>
        <v>0</v>
      </c>
      <c r="E40" s="306">
        <f>D39+D40</f>
        <v>0</v>
      </c>
      <c r="F40" s="292"/>
      <c r="G40" s="527" t="s">
        <v>237</v>
      </c>
      <c r="H40" s="527"/>
      <c r="I40" s="304">
        <f>'Pipe End Prep'!$W$52</f>
        <v>0</v>
      </c>
      <c r="J40" s="304">
        <f>I40*8</f>
        <v>0</v>
      </c>
      <c r="K40" s="306">
        <f>J39+J40</f>
        <v>0</v>
      </c>
      <c r="L40" s="292"/>
      <c r="M40" s="560" t="s">
        <v>237</v>
      </c>
      <c r="N40" s="560"/>
      <c r="O40" s="305">
        <v>0</v>
      </c>
      <c r="P40" s="305">
        <f>O40*8</f>
        <v>0</v>
      </c>
      <c r="Q40" s="307">
        <f>P39+P40</f>
        <v>0</v>
      </c>
      <c r="R40" s="381"/>
      <c r="S40" s="396"/>
    </row>
    <row r="41" spans="1:19" ht="15" hidden="1" customHeight="1" x14ac:dyDescent="0.3">
      <c r="A41" s="526" t="s">
        <v>28</v>
      </c>
      <c r="B41" s="527"/>
      <c r="C41" s="304">
        <f>'Material Joining'!$W$62+(C42*0.9)</f>
        <v>2.1350000000000001E-2</v>
      </c>
      <c r="D41" s="304">
        <f t="shared" si="3"/>
        <v>0.17080000000000001</v>
      </c>
      <c r="E41" s="292"/>
      <c r="F41" s="292"/>
      <c r="G41" s="527" t="s">
        <v>28</v>
      </c>
      <c r="H41" s="527"/>
      <c r="I41" s="304">
        <f>'Material Joining'!$W$151</f>
        <v>2.5925E-2</v>
      </c>
      <c r="J41" s="304">
        <f>I41*8</f>
        <v>0.2074</v>
      </c>
      <c r="K41" s="292"/>
      <c r="L41" s="292"/>
      <c r="M41" s="560" t="s">
        <v>28</v>
      </c>
      <c r="N41" s="560"/>
      <c r="O41" s="305">
        <f ca="1">'Material Joining'!$W$318</f>
        <v>0</v>
      </c>
      <c r="P41" s="305">
        <f ca="1">O41*8</f>
        <v>0</v>
      </c>
      <c r="Q41" s="292"/>
      <c r="R41" s="381"/>
      <c r="S41" s="396"/>
    </row>
    <row r="42" spans="1:19" hidden="1" x14ac:dyDescent="0.3">
      <c r="A42" s="589" t="s">
        <v>348</v>
      </c>
      <c r="B42" s="590"/>
      <c r="C42" s="308">
        <f>'Material Joining'!$W$38</f>
        <v>0</v>
      </c>
      <c r="D42" s="308">
        <f t="shared" si="3"/>
        <v>0</v>
      </c>
      <c r="E42" s="292"/>
      <c r="F42" s="292"/>
      <c r="G42" s="568" t="s">
        <v>35</v>
      </c>
      <c r="H42" s="568"/>
      <c r="I42" s="309">
        <f>SUM(I38:I41)</f>
        <v>2.5925E-2</v>
      </c>
      <c r="J42" s="309">
        <f>I42*8</f>
        <v>0.2074</v>
      </c>
      <c r="K42" s="292"/>
      <c r="L42" s="292"/>
      <c r="M42" s="569" t="s">
        <v>35</v>
      </c>
      <c r="N42" s="569"/>
      <c r="O42" s="310">
        <f ca="1">SUM(O38:O41)</f>
        <v>0</v>
      </c>
      <c r="P42" s="310">
        <f ca="1">O42*8</f>
        <v>0</v>
      </c>
      <c r="Q42" s="292"/>
      <c r="R42" s="381"/>
      <c r="S42" s="396"/>
    </row>
    <row r="43" spans="1:19" hidden="1" x14ac:dyDescent="0.3">
      <c r="A43" s="567" t="s">
        <v>35</v>
      </c>
      <c r="B43" s="568"/>
      <c r="C43" s="309">
        <f>SUM(C38:C41)</f>
        <v>2.1350000000000001E-2</v>
      </c>
      <c r="D43" s="309">
        <f t="shared" si="3"/>
        <v>0.17080000000000001</v>
      </c>
      <c r="E43" s="292"/>
      <c r="F43" s="292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381"/>
      <c r="S43" s="396"/>
    </row>
    <row r="44" spans="1:19" hidden="1" x14ac:dyDescent="0.3">
      <c r="A44" s="378"/>
      <c r="B44" s="292"/>
      <c r="C44" s="292"/>
      <c r="D44" s="292"/>
      <c r="E44" s="292"/>
      <c r="F44" s="292"/>
      <c r="G44" s="558" t="s">
        <v>161</v>
      </c>
      <c r="H44" s="558"/>
      <c r="I44" s="311" t="s">
        <v>23</v>
      </c>
      <c r="J44" s="311" t="s">
        <v>54</v>
      </c>
      <c r="K44" s="292"/>
      <c r="L44" s="292"/>
      <c r="M44" s="559" t="s">
        <v>162</v>
      </c>
      <c r="N44" s="559"/>
      <c r="O44" s="312" t="s">
        <v>23</v>
      </c>
      <c r="P44" s="312" t="s">
        <v>54</v>
      </c>
      <c r="Q44" s="292"/>
      <c r="R44" s="381"/>
      <c r="S44" s="396"/>
    </row>
    <row r="45" spans="1:19" hidden="1" x14ac:dyDescent="0.3">
      <c r="A45" s="557" t="s">
        <v>160</v>
      </c>
      <c r="B45" s="558"/>
      <c r="C45" s="311" t="s">
        <v>23</v>
      </c>
      <c r="D45" s="311" t="s">
        <v>54</v>
      </c>
      <c r="E45" s="292"/>
      <c r="F45" s="292"/>
      <c r="G45" s="555" t="s">
        <v>15</v>
      </c>
      <c r="H45" s="555"/>
      <c r="I45" s="313">
        <f>'Material Handling'!$N$73</f>
        <v>0</v>
      </c>
      <c r="J45" s="313">
        <f>I45*8</f>
        <v>0</v>
      </c>
      <c r="K45" s="292"/>
      <c r="L45" s="292"/>
      <c r="M45" s="556" t="s">
        <v>15</v>
      </c>
      <c r="N45" s="556"/>
      <c r="O45" s="314">
        <f>'Material Handling'!$N$113</f>
        <v>0</v>
      </c>
      <c r="P45" s="314">
        <f>O45*8</f>
        <v>0</v>
      </c>
      <c r="Q45" s="292"/>
      <c r="R45" s="381"/>
      <c r="S45" s="396"/>
    </row>
    <row r="46" spans="1:19" hidden="1" x14ac:dyDescent="0.3">
      <c r="A46" s="554" t="s">
        <v>15</v>
      </c>
      <c r="B46" s="555"/>
      <c r="C46" s="313">
        <f>'Material Handling'!$N$60</f>
        <v>0.33368906250000002</v>
      </c>
      <c r="D46" s="313">
        <f>C46*8</f>
        <v>2.6695125000000002</v>
      </c>
      <c r="E46" s="315" t="s">
        <v>54</v>
      </c>
      <c r="F46" s="292"/>
      <c r="G46" s="555" t="s">
        <v>24</v>
      </c>
      <c r="H46" s="555"/>
      <c r="I46" s="313">
        <f>'Material Cutting'!$L$73</f>
        <v>0</v>
      </c>
      <c r="J46" s="313">
        <f>I46*8</f>
        <v>0</v>
      </c>
      <c r="K46" s="315" t="s">
        <v>54</v>
      </c>
      <c r="L46" s="292"/>
      <c r="M46" s="556" t="s">
        <v>24</v>
      </c>
      <c r="N46" s="556"/>
      <c r="O46" s="314">
        <f>'Material Cutting'!$L$113</f>
        <v>0</v>
      </c>
      <c r="P46" s="314">
        <f>O46*8</f>
        <v>0</v>
      </c>
      <c r="Q46" s="316" t="s">
        <v>54</v>
      </c>
      <c r="R46" s="381"/>
      <c r="S46" s="396"/>
    </row>
    <row r="47" spans="1:19" hidden="1" x14ac:dyDescent="0.3">
      <c r="A47" s="554" t="s">
        <v>24</v>
      </c>
      <c r="B47" s="555"/>
      <c r="C47" s="313">
        <f>'Material Cutting'!$L$60</f>
        <v>0.21731249999999996</v>
      </c>
      <c r="D47" s="313">
        <f>C47*8</f>
        <v>1.7384999999999997</v>
      </c>
      <c r="E47" s="315">
        <f>D47+D48</f>
        <v>1.7384999999999997</v>
      </c>
      <c r="F47" s="292"/>
      <c r="G47" s="555" t="s">
        <v>237</v>
      </c>
      <c r="H47" s="555"/>
      <c r="I47" s="313">
        <v>0</v>
      </c>
      <c r="J47" s="313">
        <f>I47*8</f>
        <v>0</v>
      </c>
      <c r="K47" s="315">
        <f>J46+J47</f>
        <v>0</v>
      </c>
      <c r="L47" s="292"/>
      <c r="M47" s="556" t="s">
        <v>237</v>
      </c>
      <c r="N47" s="556"/>
      <c r="O47" s="314">
        <v>0</v>
      </c>
      <c r="P47" s="314">
        <f>O47*8</f>
        <v>0</v>
      </c>
      <c r="Q47" s="316">
        <f>P46+P47</f>
        <v>0</v>
      </c>
      <c r="R47" s="381"/>
      <c r="S47" s="396"/>
    </row>
    <row r="48" spans="1:19" hidden="1" x14ac:dyDescent="0.3">
      <c r="A48" s="554" t="s">
        <v>237</v>
      </c>
      <c r="B48" s="555"/>
      <c r="C48" s="313">
        <f>'Pipe End Prep'!$W$79</f>
        <v>0</v>
      </c>
      <c r="D48" s="313">
        <f>C48*8</f>
        <v>0</v>
      </c>
      <c r="E48" s="292"/>
      <c r="F48" s="292"/>
      <c r="G48" s="555" t="s">
        <v>28</v>
      </c>
      <c r="H48" s="555"/>
      <c r="I48" s="313">
        <f>'Material Joining'!$W$278</f>
        <v>0</v>
      </c>
      <c r="J48" s="313">
        <f>I48*8</f>
        <v>0</v>
      </c>
      <c r="K48" s="292"/>
      <c r="L48" s="292"/>
      <c r="M48" s="556" t="s">
        <v>28</v>
      </c>
      <c r="N48" s="556"/>
      <c r="O48" s="314">
        <f>'Material Joining'!$L$344</f>
        <v>0</v>
      </c>
      <c r="P48" s="314">
        <f>O48*8</f>
        <v>0</v>
      </c>
      <c r="Q48" s="292"/>
      <c r="R48" s="381"/>
      <c r="S48" s="396"/>
    </row>
    <row r="49" spans="1:19" hidden="1" x14ac:dyDescent="0.3">
      <c r="A49" s="554" t="s">
        <v>28</v>
      </c>
      <c r="B49" s="555"/>
      <c r="C49" s="313">
        <f>'Material Joining'!$W$208</f>
        <v>1.886425</v>
      </c>
      <c r="D49" s="313">
        <f>C49*8</f>
        <v>15.0914</v>
      </c>
      <c r="E49" s="292"/>
      <c r="F49" s="292"/>
      <c r="G49" s="631" t="s">
        <v>35</v>
      </c>
      <c r="H49" s="631"/>
      <c r="I49" s="317">
        <f>SUM(I45:I48)</f>
        <v>0</v>
      </c>
      <c r="J49" s="317">
        <f>I49*8</f>
        <v>0</v>
      </c>
      <c r="K49" s="292"/>
      <c r="L49" s="292"/>
      <c r="M49" s="632" t="s">
        <v>35</v>
      </c>
      <c r="N49" s="632"/>
      <c r="O49" s="318">
        <f>SUM(O45:O48)</f>
        <v>0</v>
      </c>
      <c r="P49" s="318">
        <f>O49*8</f>
        <v>0</v>
      </c>
      <c r="Q49" s="292"/>
      <c r="R49" s="381"/>
      <c r="S49" s="396"/>
    </row>
    <row r="50" spans="1:19" hidden="1" x14ac:dyDescent="0.3">
      <c r="A50" s="630" t="s">
        <v>35</v>
      </c>
      <c r="B50" s="631"/>
      <c r="C50" s="317">
        <f>SUM(C46:C49)</f>
        <v>2.4374265624999998</v>
      </c>
      <c r="D50" s="317">
        <f>C50*8</f>
        <v>19.499412499999998</v>
      </c>
      <c r="E50" s="292"/>
      <c r="F50" s="292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381"/>
      <c r="S50" s="396"/>
    </row>
    <row r="51" spans="1:19" hidden="1" x14ac:dyDescent="0.3">
      <c r="A51" s="378"/>
      <c r="B51" s="292"/>
      <c r="C51" s="292"/>
      <c r="D51" s="292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381"/>
      <c r="S51" s="396"/>
    </row>
    <row r="52" spans="1:19" hidden="1" x14ac:dyDescent="0.3">
      <c r="A52" s="591" t="s">
        <v>21</v>
      </c>
      <c r="B52" s="592"/>
      <c r="C52" s="319" t="s">
        <v>23</v>
      </c>
      <c r="D52" s="319" t="s">
        <v>54</v>
      </c>
      <c r="E52" s="292"/>
      <c r="F52" s="292"/>
      <c r="G52" s="615" t="s">
        <v>19</v>
      </c>
      <c r="H52" s="615"/>
      <c r="I52" s="320" t="s">
        <v>23</v>
      </c>
      <c r="J52" s="320" t="s">
        <v>54</v>
      </c>
      <c r="K52" s="292"/>
      <c r="L52" s="292"/>
      <c r="M52" s="615" t="s">
        <v>140</v>
      </c>
      <c r="N52" s="615"/>
      <c r="O52" s="320" t="s">
        <v>23</v>
      </c>
      <c r="P52" s="320" t="s">
        <v>54</v>
      </c>
      <c r="Q52" s="292"/>
      <c r="R52" s="381"/>
      <c r="S52" s="396"/>
    </row>
    <row r="53" spans="1:19" hidden="1" x14ac:dyDescent="0.3">
      <c r="A53" s="628" t="s">
        <v>15</v>
      </c>
      <c r="B53" s="629"/>
      <c r="C53" s="321">
        <f>'Material Handling'!$N$132</f>
        <v>0</v>
      </c>
      <c r="D53" s="321">
        <f>C53*8</f>
        <v>0</v>
      </c>
      <c r="E53" s="292"/>
      <c r="F53" s="292"/>
      <c r="G53" s="626" t="s">
        <v>15</v>
      </c>
      <c r="H53" s="626"/>
      <c r="I53" s="322">
        <f>'Material Handling'!$N$146</f>
        <v>0</v>
      </c>
      <c r="J53" s="322">
        <f>I53*8</f>
        <v>0</v>
      </c>
      <c r="K53" s="292"/>
      <c r="L53" s="292"/>
      <c r="M53" s="626" t="s">
        <v>212</v>
      </c>
      <c r="N53" s="626"/>
      <c r="O53" s="322">
        <f>'Hangers &amp; Supports'!$L$12</f>
        <v>0</v>
      </c>
      <c r="P53" s="322">
        <f>O53*8</f>
        <v>0</v>
      </c>
      <c r="Q53" s="292"/>
      <c r="R53" s="381"/>
      <c r="S53" s="396"/>
    </row>
    <row r="54" spans="1:19" hidden="1" x14ac:dyDescent="0.3">
      <c r="A54" s="628" t="s">
        <v>24</v>
      </c>
      <c r="B54" s="629"/>
      <c r="C54" s="321">
        <f>'Material Cutting'!$L$132</f>
        <v>0</v>
      </c>
      <c r="D54" s="321">
        <f>C54*8</f>
        <v>0</v>
      </c>
      <c r="E54" s="323" t="s">
        <v>54</v>
      </c>
      <c r="F54" s="292"/>
      <c r="G54" s="626" t="s">
        <v>24</v>
      </c>
      <c r="H54" s="626"/>
      <c r="I54" s="322">
        <f>'Material Cutting'!$L$146</f>
        <v>0</v>
      </c>
      <c r="J54" s="322">
        <f>I54*8</f>
        <v>0</v>
      </c>
      <c r="K54" s="324" t="s">
        <v>54</v>
      </c>
      <c r="L54" s="292"/>
      <c r="M54" s="626" t="s">
        <v>253</v>
      </c>
      <c r="N54" s="626"/>
      <c r="O54" s="322">
        <f>'Hangers &amp; Supports'!$W$23</f>
        <v>0</v>
      </c>
      <c r="P54" s="322">
        <f>O54*8</f>
        <v>0</v>
      </c>
      <c r="Q54" s="325"/>
      <c r="R54" s="381"/>
      <c r="S54" s="396"/>
    </row>
    <row r="55" spans="1:19" hidden="1" x14ac:dyDescent="0.3">
      <c r="A55" s="628" t="s">
        <v>237</v>
      </c>
      <c r="B55" s="629"/>
      <c r="C55" s="321">
        <v>0</v>
      </c>
      <c r="D55" s="321">
        <f>C55*8</f>
        <v>0</v>
      </c>
      <c r="E55" s="323">
        <f>D54+D55</f>
        <v>0</v>
      </c>
      <c r="F55" s="292"/>
      <c r="G55" s="626" t="s">
        <v>237</v>
      </c>
      <c r="H55" s="626"/>
      <c r="I55" s="322">
        <f>'Pipe End Prep'!$L$117</f>
        <v>0</v>
      </c>
      <c r="J55" s="322">
        <f>I55*8</f>
        <v>0</v>
      </c>
      <c r="K55" s="324">
        <f>J54+J55</f>
        <v>0</v>
      </c>
      <c r="L55" s="292"/>
      <c r="M55" s="626" t="s">
        <v>247</v>
      </c>
      <c r="N55" s="626"/>
      <c r="O55" s="322">
        <f>'Hangers &amp; Supports'!$L$62</f>
        <v>0</v>
      </c>
      <c r="P55" s="322">
        <f>O55*8</f>
        <v>0</v>
      </c>
      <c r="Q55" s="325"/>
      <c r="R55" s="381"/>
      <c r="S55" s="396"/>
    </row>
    <row r="56" spans="1:19" hidden="1" x14ac:dyDescent="0.3">
      <c r="A56" s="628" t="s">
        <v>28</v>
      </c>
      <c r="B56" s="629"/>
      <c r="C56" s="321">
        <f>'Material Joining'!$L$363</f>
        <v>0</v>
      </c>
      <c r="D56" s="321">
        <f>C56*8</f>
        <v>0</v>
      </c>
      <c r="E56" s="292"/>
      <c r="F56" s="292"/>
      <c r="G56" s="626" t="s">
        <v>28</v>
      </c>
      <c r="H56" s="626"/>
      <c r="I56" s="322">
        <f>'Material Joining'!$L$377</f>
        <v>0</v>
      </c>
      <c r="J56" s="322">
        <f>I56*8</f>
        <v>0</v>
      </c>
      <c r="K56" s="292"/>
      <c r="L56" s="292"/>
      <c r="M56" s="626" t="s">
        <v>242</v>
      </c>
      <c r="N56" s="626"/>
      <c r="O56" s="322">
        <f>'Hangers &amp; Supports'!$L$69</f>
        <v>0</v>
      </c>
      <c r="P56" s="322">
        <f>O56*8</f>
        <v>0</v>
      </c>
      <c r="Q56" s="292"/>
      <c r="R56" s="381"/>
      <c r="S56" s="396"/>
    </row>
    <row r="57" spans="1:19" hidden="1" x14ac:dyDescent="0.3">
      <c r="A57" s="593" t="s">
        <v>35</v>
      </c>
      <c r="B57" s="594"/>
      <c r="C57" s="326">
        <f>SUM(C53:C56)</f>
        <v>0</v>
      </c>
      <c r="D57" s="326">
        <f>C57*8</f>
        <v>0</v>
      </c>
      <c r="E57" s="292"/>
      <c r="F57" s="292"/>
      <c r="G57" s="627" t="s">
        <v>35</v>
      </c>
      <c r="H57" s="627"/>
      <c r="I57" s="327">
        <f>SUM(I53:I56)</f>
        <v>0</v>
      </c>
      <c r="J57" s="327">
        <f>I57*8</f>
        <v>0</v>
      </c>
      <c r="K57" s="292"/>
      <c r="L57" s="292"/>
      <c r="M57" s="627" t="s">
        <v>35</v>
      </c>
      <c r="N57" s="627"/>
      <c r="O57" s="327">
        <f>SUM(O53:O56)</f>
        <v>0</v>
      </c>
      <c r="P57" s="327">
        <f>O57*8</f>
        <v>0</v>
      </c>
      <c r="Q57" s="292"/>
      <c r="R57" s="381"/>
      <c r="S57" s="396"/>
    </row>
    <row r="58" spans="1:19" hidden="1" x14ac:dyDescent="0.3">
      <c r="A58" s="378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381"/>
      <c r="S58" s="396"/>
    </row>
    <row r="59" spans="1:19" hidden="1" x14ac:dyDescent="0.3">
      <c r="A59" s="588" t="s">
        <v>58</v>
      </c>
      <c r="B59" s="570"/>
      <c r="C59" s="302" t="s">
        <v>23</v>
      </c>
      <c r="D59" s="302" t="s">
        <v>54</v>
      </c>
      <c r="E59" s="292"/>
      <c r="F59" s="292"/>
      <c r="G59" s="570" t="s">
        <v>153</v>
      </c>
      <c r="H59" s="570"/>
      <c r="I59" s="302" t="s">
        <v>23</v>
      </c>
      <c r="J59" s="302" t="s">
        <v>54</v>
      </c>
      <c r="K59" s="292"/>
      <c r="L59" s="292"/>
      <c r="M59" s="570" t="s">
        <v>155</v>
      </c>
      <c r="N59" s="570"/>
      <c r="O59" s="302" t="s">
        <v>23</v>
      </c>
      <c r="P59" s="302" t="s">
        <v>54</v>
      </c>
      <c r="Q59" s="292"/>
      <c r="R59" s="381"/>
      <c r="S59" s="396"/>
    </row>
    <row r="60" spans="1:19" hidden="1" x14ac:dyDescent="0.3">
      <c r="A60" s="526" t="s">
        <v>80</v>
      </c>
      <c r="B60" s="527"/>
      <c r="C60" s="304">
        <f>Assemblies!$W$20</f>
        <v>0</v>
      </c>
      <c r="D60" s="304">
        <f>C60*8</f>
        <v>0</v>
      </c>
      <c r="E60" s="292"/>
      <c r="F60" s="292"/>
      <c r="G60" s="527" t="s">
        <v>192</v>
      </c>
      <c r="H60" s="527"/>
      <c r="I60" s="304">
        <f>Assemblies!$L$44</f>
        <v>0</v>
      </c>
      <c r="J60" s="304">
        <f t="shared" ref="J60:J65" si="4">I60*8</f>
        <v>0</v>
      </c>
      <c r="K60" s="292"/>
      <c r="L60" s="292"/>
      <c r="M60" s="527" t="s">
        <v>192</v>
      </c>
      <c r="N60" s="527"/>
      <c r="O60" s="304">
        <f>Assemblies!$W$264</f>
        <v>0</v>
      </c>
      <c r="P60" s="304">
        <f>O60*8</f>
        <v>0</v>
      </c>
      <c r="Q60" s="292"/>
      <c r="R60" s="381"/>
      <c r="S60" s="396"/>
    </row>
    <row r="61" spans="1:19" hidden="1" x14ac:dyDescent="0.3">
      <c r="A61" s="526" t="s">
        <v>75</v>
      </c>
      <c r="B61" s="527"/>
      <c r="C61" s="304">
        <f>Assemblies!$L$93</f>
        <v>0</v>
      </c>
      <c r="D61" s="304">
        <f>C61*8</f>
        <v>0</v>
      </c>
      <c r="E61" s="325"/>
      <c r="F61" s="292"/>
      <c r="G61" s="527" t="s">
        <v>193</v>
      </c>
      <c r="H61" s="527"/>
      <c r="I61" s="304">
        <f>Assemblies!$L$55</f>
        <v>0</v>
      </c>
      <c r="J61" s="304">
        <f t="shared" si="4"/>
        <v>0</v>
      </c>
      <c r="K61" s="325"/>
      <c r="L61" s="292"/>
      <c r="M61" s="527" t="s">
        <v>138</v>
      </c>
      <c r="N61" s="527"/>
      <c r="O61" s="304">
        <f>Assemblies!$W$127</f>
        <v>0</v>
      </c>
      <c r="P61" s="304">
        <f>O61*8</f>
        <v>0</v>
      </c>
      <c r="Q61" s="325"/>
      <c r="R61" s="381"/>
      <c r="S61" s="396"/>
    </row>
    <row r="62" spans="1:19" ht="15" hidden="1" customHeight="1" x14ac:dyDescent="0.3">
      <c r="A62" s="526" t="s">
        <v>289</v>
      </c>
      <c r="B62" s="527"/>
      <c r="C62" s="304">
        <f>Assemblies!$L$321</f>
        <v>0</v>
      </c>
      <c r="D62" s="304">
        <f>C62*8</f>
        <v>0</v>
      </c>
      <c r="E62" s="325"/>
      <c r="F62" s="292"/>
      <c r="G62" s="527" t="s">
        <v>138</v>
      </c>
      <c r="H62" s="527"/>
      <c r="I62" s="304">
        <f>Assemblies!$L$66</f>
        <v>0</v>
      </c>
      <c r="J62" s="304">
        <f t="shared" si="4"/>
        <v>0</v>
      </c>
      <c r="K62" s="325"/>
      <c r="L62" s="292"/>
      <c r="M62" s="527" t="s">
        <v>139</v>
      </c>
      <c r="N62" s="527"/>
      <c r="O62" s="304">
        <f>Assemblies!$W$205</f>
        <v>0</v>
      </c>
      <c r="P62" s="304">
        <f>O62*8</f>
        <v>0</v>
      </c>
      <c r="Q62" s="325"/>
      <c r="R62" s="381"/>
      <c r="S62" s="396"/>
    </row>
    <row r="63" spans="1:19" ht="15" hidden="1" customHeight="1" x14ac:dyDescent="0.3">
      <c r="A63" s="386"/>
      <c r="B63" s="328"/>
      <c r="C63" s="304"/>
      <c r="D63" s="304"/>
      <c r="E63" s="325"/>
      <c r="F63" s="292"/>
      <c r="G63" s="328" t="s">
        <v>139</v>
      </c>
      <c r="H63" s="328"/>
      <c r="I63" s="304">
        <f>Assemblies!$L$77</f>
        <v>0</v>
      </c>
      <c r="J63" s="304">
        <f t="shared" si="4"/>
        <v>0</v>
      </c>
      <c r="K63" s="325"/>
      <c r="L63" s="292"/>
      <c r="M63" s="328"/>
      <c r="N63" s="328"/>
      <c r="O63" s="304"/>
      <c r="P63" s="304"/>
      <c r="Q63" s="325"/>
      <c r="R63" s="381"/>
      <c r="S63" s="396"/>
    </row>
    <row r="64" spans="1:19" ht="15" hidden="1" customHeight="1" x14ac:dyDescent="0.3">
      <c r="A64" s="526"/>
      <c r="B64" s="527"/>
      <c r="C64" s="304"/>
      <c r="D64" s="304"/>
      <c r="E64" s="292"/>
      <c r="F64" s="292"/>
      <c r="G64" s="328" t="s">
        <v>154</v>
      </c>
      <c r="H64" s="328"/>
      <c r="I64" s="304">
        <f>Assemblies!$L$84</f>
        <v>0</v>
      </c>
      <c r="J64" s="304">
        <f t="shared" si="4"/>
        <v>0</v>
      </c>
      <c r="K64" s="292"/>
      <c r="L64" s="292"/>
      <c r="M64" s="527"/>
      <c r="N64" s="527"/>
      <c r="O64" s="304"/>
      <c r="P64" s="304"/>
      <c r="Q64" s="292"/>
      <c r="R64" s="381"/>
      <c r="S64" s="396"/>
    </row>
    <row r="65" spans="1:21" hidden="1" x14ac:dyDescent="0.3">
      <c r="A65" s="567" t="s">
        <v>35</v>
      </c>
      <c r="B65" s="568"/>
      <c r="C65" s="309">
        <f>SUM(C60:C64)</f>
        <v>0</v>
      </c>
      <c r="D65" s="309">
        <f>C65*8</f>
        <v>0</v>
      </c>
      <c r="E65" s="292"/>
      <c r="F65" s="292"/>
      <c r="G65" s="568" t="s">
        <v>35</v>
      </c>
      <c r="H65" s="568"/>
      <c r="I65" s="309">
        <f>SUM(I60:I64)</f>
        <v>0</v>
      </c>
      <c r="J65" s="309">
        <f t="shared" si="4"/>
        <v>0</v>
      </c>
      <c r="K65" s="292"/>
      <c r="L65" s="292"/>
      <c r="M65" s="568" t="s">
        <v>35</v>
      </c>
      <c r="N65" s="568"/>
      <c r="O65" s="309">
        <f>SUM(O60:O64)</f>
        <v>0</v>
      </c>
      <c r="P65" s="309">
        <f>O65*8</f>
        <v>0</v>
      </c>
      <c r="Q65" s="292"/>
      <c r="R65" s="381"/>
      <c r="S65" s="396"/>
    </row>
    <row r="66" spans="1:21" hidden="1" x14ac:dyDescent="0.3">
      <c r="A66" s="378"/>
      <c r="B66" s="292"/>
      <c r="C66" s="329"/>
      <c r="D66" s="329"/>
      <c r="E66" s="292"/>
      <c r="F66" s="292"/>
      <c r="G66" s="292"/>
      <c r="H66" s="292"/>
      <c r="I66" s="329"/>
      <c r="J66" s="329"/>
      <c r="K66" s="292"/>
      <c r="L66" s="292"/>
      <c r="M66" s="292"/>
      <c r="N66" s="292"/>
      <c r="O66" s="329"/>
      <c r="P66" s="329"/>
      <c r="Q66" s="292"/>
      <c r="R66" s="381"/>
      <c r="S66" s="396"/>
    </row>
    <row r="67" spans="1:21" hidden="1" x14ac:dyDescent="0.3">
      <c r="A67" s="378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381"/>
      <c r="S67" s="396"/>
    </row>
    <row r="68" spans="1:21" x14ac:dyDescent="0.3">
      <c r="A68" s="380"/>
      <c r="B68" s="337"/>
      <c r="C68" s="337"/>
      <c r="D68" s="337"/>
      <c r="E68" s="292"/>
      <c r="F68" s="292"/>
      <c r="G68" s="292"/>
      <c r="H68" s="292"/>
      <c r="I68" s="292"/>
      <c r="J68" s="292"/>
      <c r="K68" s="292"/>
      <c r="L68" s="292"/>
      <c r="M68" s="337"/>
      <c r="N68" s="337"/>
      <c r="O68" s="337"/>
      <c r="P68" s="337"/>
      <c r="Q68" s="337"/>
      <c r="R68" s="387"/>
      <c r="S68" s="396"/>
    </row>
    <row r="69" spans="1:21" ht="15.6" x14ac:dyDescent="0.3">
      <c r="A69" s="388" t="s">
        <v>324</v>
      </c>
      <c r="B69" s="361"/>
      <c r="C69" s="361"/>
      <c r="D69" s="361"/>
      <c r="E69" s="331"/>
      <c r="F69" s="292"/>
      <c r="G69" s="292"/>
      <c r="H69" s="292"/>
      <c r="I69" s="292"/>
      <c r="J69" s="292"/>
      <c r="K69" s="292"/>
      <c r="L69" s="330"/>
      <c r="M69" s="515" t="s">
        <v>350</v>
      </c>
      <c r="N69" s="515"/>
      <c r="O69" s="515" t="s">
        <v>351</v>
      </c>
      <c r="P69" s="516" t="s">
        <v>353</v>
      </c>
      <c r="Q69" s="516" t="s">
        <v>354</v>
      </c>
      <c r="R69" s="517" t="s">
        <v>355</v>
      </c>
      <c r="S69" s="396"/>
    </row>
    <row r="70" spans="1:21" ht="21.75" customHeight="1" x14ac:dyDescent="0.3">
      <c r="A70" s="388"/>
      <c r="B70" s="361"/>
      <c r="C70" s="361"/>
      <c r="D70" s="361"/>
      <c r="E70" s="331"/>
      <c r="F70" s="292"/>
      <c r="G70" s="292"/>
      <c r="H70" s="292"/>
      <c r="I70" s="292"/>
      <c r="J70" s="292"/>
      <c r="K70" s="292"/>
      <c r="L70" s="330"/>
      <c r="M70" s="515"/>
      <c r="N70" s="515"/>
      <c r="O70" s="515"/>
      <c r="P70" s="516"/>
      <c r="Q70" s="516"/>
      <c r="R70" s="517"/>
      <c r="S70" s="396"/>
    </row>
    <row r="71" spans="1:21" x14ac:dyDescent="0.3">
      <c r="A71" s="597" t="s">
        <v>57</v>
      </c>
      <c r="B71" s="598"/>
      <c r="C71" s="290" t="s">
        <v>23</v>
      </c>
      <c r="D71" s="290" t="s">
        <v>54</v>
      </c>
      <c r="E71" s="331"/>
      <c r="F71" s="292"/>
      <c r="G71" s="295"/>
      <c r="H71" s="295"/>
      <c r="I71" s="296"/>
      <c r="J71" s="353"/>
      <c r="K71" s="292"/>
      <c r="L71" s="330"/>
      <c r="M71" s="518" t="s">
        <v>138</v>
      </c>
      <c r="N71" s="518"/>
      <c r="O71" s="130">
        <v>0</v>
      </c>
      <c r="P71" s="233">
        <f>IFERROR(D83/O71,0)</f>
        <v>0</v>
      </c>
      <c r="Q71" s="233">
        <f>IFERROR(SUM(D88+P107)*0.15/O71,0)</f>
        <v>0</v>
      </c>
      <c r="R71" s="234">
        <f>IFERROR(SUM(E85+P107)/O71,0)</f>
        <v>0</v>
      </c>
      <c r="S71" s="396"/>
    </row>
    <row r="72" spans="1:21" x14ac:dyDescent="0.3">
      <c r="A72" s="587" t="s">
        <v>15</v>
      </c>
      <c r="B72" s="518"/>
      <c r="C72" s="13">
        <f>'Material Handling'!$AC$3+(C87*0.02)+(C111*0.2)</f>
        <v>0.30086718750000002</v>
      </c>
      <c r="D72" s="13">
        <f>C72*8</f>
        <v>2.4069375000000002</v>
      </c>
      <c r="E72" s="354"/>
      <c r="F72" s="292"/>
      <c r="G72" s="292"/>
      <c r="H72" s="337"/>
      <c r="I72" s="363"/>
      <c r="J72" s="230" t="s">
        <v>54</v>
      </c>
      <c r="K72" s="331"/>
      <c r="L72" s="330"/>
      <c r="M72" s="518" t="s">
        <v>139</v>
      </c>
      <c r="N72" s="518"/>
      <c r="O72" s="130">
        <v>0</v>
      </c>
      <c r="P72" s="233">
        <f>IFERROR(J83/O72,0)</f>
        <v>0</v>
      </c>
      <c r="Q72" s="233">
        <f>IFERROR(SUM(J87+P108)*0.15/O72,0)</f>
        <v>0</v>
      </c>
      <c r="R72" s="234">
        <f>IFERROR(SUM(K85+P108)/O72,0)</f>
        <v>0</v>
      </c>
      <c r="S72" s="396"/>
    </row>
    <row r="73" spans="1:21" ht="15" customHeight="1" x14ac:dyDescent="0.3">
      <c r="A73" s="587" t="s">
        <v>24</v>
      </c>
      <c r="B73" s="518"/>
      <c r="C73" s="13">
        <f>'Material Cutting'!$AA$3+(C87*0.08)</f>
        <v>0.19593750000000004</v>
      </c>
      <c r="D73" s="13">
        <f t="shared" ref="D73:D79" si="5">C73*8</f>
        <v>1.5675000000000003</v>
      </c>
      <c r="E73" s="362" t="s">
        <v>54</v>
      </c>
      <c r="F73" s="331"/>
      <c r="G73" s="330"/>
      <c r="H73" s="528" t="s">
        <v>297</v>
      </c>
      <c r="I73" s="528"/>
      <c r="J73" s="82">
        <f ca="1">D79</f>
        <v>17.922437500000001</v>
      </c>
      <c r="K73" s="354"/>
      <c r="L73" s="330"/>
      <c r="M73" s="518" t="s">
        <v>136</v>
      </c>
      <c r="N73" s="518"/>
      <c r="O73" s="130">
        <v>0</v>
      </c>
      <c r="P73" s="233">
        <f>IFERROR(P83/O73,0)</f>
        <v>0</v>
      </c>
      <c r="Q73" s="233">
        <f ca="1">IFERROR(P87*0.15/O73,0)</f>
        <v>0</v>
      </c>
      <c r="R73" s="234">
        <f ca="1">IFERROR(Q85/O73,0)</f>
        <v>0</v>
      </c>
      <c r="S73" s="396"/>
    </row>
    <row r="74" spans="1:21" ht="15" customHeight="1" x14ac:dyDescent="0.3">
      <c r="A74" s="587" t="s">
        <v>237</v>
      </c>
      <c r="B74" s="518"/>
      <c r="C74" s="13">
        <f>'Pipe End Prep'!$AA$3</f>
        <v>0</v>
      </c>
      <c r="D74" s="13">
        <f t="shared" si="5"/>
        <v>0</v>
      </c>
      <c r="E74" s="519">
        <f ca="1">SUM(D73:D78)</f>
        <v>15.515500000000001</v>
      </c>
      <c r="F74" s="331"/>
      <c r="G74" s="330"/>
      <c r="H74" s="528" t="s">
        <v>303</v>
      </c>
      <c r="I74" s="528"/>
      <c r="J74" s="82">
        <f ca="1">J73*K74</f>
        <v>2.6883656249999999</v>
      </c>
      <c r="K74" s="231">
        <v>0.15</v>
      </c>
      <c r="L74" s="339"/>
      <c r="M74" s="518" t="s">
        <v>160</v>
      </c>
      <c r="N74" s="518"/>
      <c r="O74" s="130">
        <v>0</v>
      </c>
      <c r="P74" s="233">
        <f>IFERROR(D91/O74,0)</f>
        <v>0</v>
      </c>
      <c r="Q74" s="233">
        <f>IFERROR(SUM(D95+P106)*0.15/O74,0)</f>
        <v>0</v>
      </c>
      <c r="R74" s="234">
        <f>IFERROR(SUM(E93+P106)/O74,0)</f>
        <v>0</v>
      </c>
      <c r="S74" s="396"/>
    </row>
    <row r="75" spans="1:21" ht="15" customHeight="1" x14ac:dyDescent="0.3">
      <c r="A75" s="587" t="s">
        <v>28</v>
      </c>
      <c r="B75" s="518"/>
      <c r="C75" s="13">
        <f ca="1">'Material Joining'!$AA$3-(C87*0.1)</f>
        <v>1.7435</v>
      </c>
      <c r="D75" s="13">
        <f t="shared" ca="1" si="5"/>
        <v>13.948</v>
      </c>
      <c r="E75" s="519"/>
      <c r="F75" s="331"/>
      <c r="G75" s="330"/>
      <c r="H75" s="528" t="s">
        <v>304</v>
      </c>
      <c r="I75" s="528"/>
      <c r="J75" s="82">
        <f ca="1">J73*1.15</f>
        <v>20.610803125</v>
      </c>
      <c r="K75" s="364"/>
      <c r="L75" s="330"/>
      <c r="M75" s="518" t="s">
        <v>161</v>
      </c>
      <c r="N75" s="518"/>
      <c r="O75" s="130">
        <v>0</v>
      </c>
      <c r="P75" s="233">
        <f>IFERROR(J91/O75,0)</f>
        <v>0</v>
      </c>
      <c r="Q75" s="233">
        <f>IFERROR(J95*0.15/O75,0)</f>
        <v>0</v>
      </c>
      <c r="R75" s="234">
        <f>IFERROR(K93/O75,0)</f>
        <v>0</v>
      </c>
      <c r="S75" s="396"/>
      <c r="U75" s="395"/>
    </row>
    <row r="76" spans="1:21" x14ac:dyDescent="0.3">
      <c r="A76" s="587" t="s">
        <v>52</v>
      </c>
      <c r="B76" s="518"/>
      <c r="C76" s="13">
        <f>Assemblies!$AA$3-(C111*0.2)</f>
        <v>0</v>
      </c>
      <c r="D76" s="13">
        <f t="shared" si="5"/>
        <v>0</v>
      </c>
      <c r="E76" s="519"/>
      <c r="F76" s="331"/>
      <c r="G76" s="295"/>
      <c r="H76" s="351"/>
      <c r="I76" s="352"/>
      <c r="J76" s="352"/>
      <c r="K76" s="292"/>
      <c r="L76" s="330"/>
      <c r="M76" s="518" t="s">
        <v>162</v>
      </c>
      <c r="N76" s="518"/>
      <c r="O76" s="130">
        <v>0</v>
      </c>
      <c r="P76" s="233">
        <f>IFERROR(P91/O76,0)</f>
        <v>0</v>
      </c>
      <c r="Q76" s="233">
        <f>IFERROR(P95*0.15/O76,0)</f>
        <v>0</v>
      </c>
      <c r="R76" s="234">
        <f>IFERROR(Q93/O76,0)</f>
        <v>0</v>
      </c>
      <c r="S76" s="396"/>
    </row>
    <row r="77" spans="1:21" x14ac:dyDescent="0.3">
      <c r="A77" s="587" t="s">
        <v>140</v>
      </c>
      <c r="B77" s="518"/>
      <c r="C77" s="13">
        <f>'Hangers &amp; Supports'!$AA$3</f>
        <v>0</v>
      </c>
      <c r="D77" s="13">
        <f>C77*8</f>
        <v>0</v>
      </c>
      <c r="E77" s="519"/>
      <c r="F77" s="331"/>
      <c r="G77" s="295"/>
      <c r="H77" s="295"/>
      <c r="I77" s="299"/>
      <c r="J77" s="299"/>
      <c r="K77" s="292"/>
      <c r="L77" s="330"/>
      <c r="M77" s="518" t="s">
        <v>21</v>
      </c>
      <c r="N77" s="518"/>
      <c r="O77" s="130">
        <v>0</v>
      </c>
      <c r="P77" s="233">
        <f>IFERROR(D99/O77,0)</f>
        <v>0</v>
      </c>
      <c r="Q77" s="233">
        <f>IFERROR(D103*0.15/O77,0)</f>
        <v>0</v>
      </c>
      <c r="R77" s="234">
        <f>IFERROR(E101/O77,0)</f>
        <v>0</v>
      </c>
      <c r="S77" s="396"/>
    </row>
    <row r="78" spans="1:21" x14ac:dyDescent="0.3">
      <c r="A78" s="587" t="s">
        <v>295</v>
      </c>
      <c r="B78" s="518"/>
      <c r="C78" s="13">
        <f>Q23</f>
        <v>0</v>
      </c>
      <c r="D78" s="13">
        <f t="shared" si="5"/>
        <v>0</v>
      </c>
      <c r="E78" s="519"/>
      <c r="F78" s="331"/>
      <c r="G78" s="292"/>
      <c r="H78" s="292"/>
      <c r="I78" s="292"/>
      <c r="J78" s="292"/>
      <c r="K78" s="292"/>
      <c r="L78" s="330"/>
      <c r="M78" s="518" t="s">
        <v>19</v>
      </c>
      <c r="N78" s="518"/>
      <c r="O78" s="130">
        <v>0</v>
      </c>
      <c r="P78" s="233">
        <f>IFERROR(J99/O78,0)</f>
        <v>0</v>
      </c>
      <c r="Q78" s="233">
        <f>IFERROR(J103*0.15/O78,0)</f>
        <v>0</v>
      </c>
      <c r="R78" s="234">
        <f>IFERROR(K101/O78,0)</f>
        <v>0</v>
      </c>
      <c r="S78" s="396"/>
    </row>
    <row r="79" spans="1:21" x14ac:dyDescent="0.3">
      <c r="A79" s="623" t="s">
        <v>297</v>
      </c>
      <c r="B79" s="528"/>
      <c r="C79" s="82">
        <f ca="1">SUM(C72:C78)</f>
        <v>2.2403046875000001</v>
      </c>
      <c r="D79" s="82">
        <f t="shared" ca="1" si="5"/>
        <v>17.922437500000001</v>
      </c>
      <c r="E79" s="342"/>
      <c r="F79" s="292"/>
      <c r="G79" s="292"/>
      <c r="H79" s="292"/>
      <c r="I79" s="292"/>
      <c r="J79" s="292"/>
      <c r="K79" s="292"/>
      <c r="L79" s="330"/>
      <c r="M79" s="518" t="s">
        <v>352</v>
      </c>
      <c r="N79" s="518"/>
      <c r="O79" s="130">
        <v>0</v>
      </c>
      <c r="P79" s="233">
        <v>0</v>
      </c>
      <c r="Q79" s="233">
        <f>IFERROR(J111*0.15/O79,0)</f>
        <v>0</v>
      </c>
      <c r="R79" s="234">
        <f>IFERROR(J111/O79,0)</f>
        <v>0</v>
      </c>
      <c r="S79" s="396"/>
    </row>
    <row r="80" spans="1:21" ht="15.6" x14ac:dyDescent="0.3">
      <c r="A80" s="389"/>
      <c r="B80" s="366"/>
      <c r="C80" s="366"/>
      <c r="D80" s="366"/>
      <c r="E80" s="367"/>
      <c r="F80" s="301"/>
      <c r="G80" s="292"/>
      <c r="H80" s="292"/>
      <c r="I80" s="292"/>
      <c r="J80" s="292"/>
      <c r="K80" s="292"/>
      <c r="L80" s="330"/>
      <c r="M80" s="518" t="s">
        <v>360</v>
      </c>
      <c r="N80" s="518"/>
      <c r="O80" s="130">
        <v>0</v>
      </c>
      <c r="P80" s="233">
        <f>IFERROR(SUM(D111+P23+P103)*0.2/O80,0)</f>
        <v>0</v>
      </c>
      <c r="Q80" s="233">
        <f>IFERROR(SUM(D111+P23+P103)*0.15/O80,0)</f>
        <v>0</v>
      </c>
      <c r="R80" s="234">
        <f>IFERROR(SUM(D111+P23+P103)*0.8/O80,0)</f>
        <v>0</v>
      </c>
      <c r="S80" s="396"/>
      <c r="T80" s="395"/>
    </row>
    <row r="81" spans="1:29" ht="15.6" x14ac:dyDescent="0.3">
      <c r="A81" s="510" t="s">
        <v>296</v>
      </c>
      <c r="B81" s="511"/>
      <c r="C81" s="511"/>
      <c r="D81" s="511"/>
      <c r="E81" s="512"/>
      <c r="F81" s="365"/>
      <c r="G81" s="367"/>
      <c r="H81" s="367"/>
      <c r="I81" s="367"/>
      <c r="J81" s="367"/>
      <c r="K81" s="301"/>
      <c r="L81" s="301"/>
      <c r="M81" s="367"/>
      <c r="N81" s="367"/>
      <c r="O81" s="367"/>
      <c r="P81" s="367"/>
      <c r="Q81" s="301"/>
      <c r="R81" s="390"/>
      <c r="S81" s="396"/>
      <c r="V81" s="399"/>
      <c r="W81" s="399"/>
      <c r="X81" s="399"/>
      <c r="Y81" s="399"/>
      <c r="Z81" s="399"/>
      <c r="AA81" s="399"/>
      <c r="AB81" s="399"/>
    </row>
    <row r="82" spans="1:29" x14ac:dyDescent="0.3">
      <c r="A82" s="584" t="s">
        <v>138</v>
      </c>
      <c r="B82" s="582"/>
      <c r="C82" s="288" t="s">
        <v>23</v>
      </c>
      <c r="D82" s="288" t="s">
        <v>54</v>
      </c>
      <c r="E82" s="342"/>
      <c r="F82" s="330"/>
      <c r="G82" s="582" t="s">
        <v>139</v>
      </c>
      <c r="H82" s="582"/>
      <c r="I82" s="288" t="s">
        <v>23</v>
      </c>
      <c r="J82" s="288" t="s">
        <v>54</v>
      </c>
      <c r="K82" s="331"/>
      <c r="L82" s="330"/>
      <c r="M82" s="624" t="s">
        <v>136</v>
      </c>
      <c r="N82" s="624"/>
      <c r="O82" s="287" t="s">
        <v>23</v>
      </c>
      <c r="P82" s="287" t="s">
        <v>54</v>
      </c>
      <c r="Q82" s="331"/>
      <c r="R82" s="381"/>
      <c r="S82" s="396"/>
      <c r="U82" s="398"/>
      <c r="V82" s="401" t="s">
        <v>356</v>
      </c>
      <c r="W82" s="400"/>
      <c r="X82" s="400"/>
      <c r="Y82" s="400"/>
      <c r="Z82" s="400"/>
      <c r="AA82" s="400"/>
      <c r="AB82" s="402"/>
      <c r="AC82" s="396"/>
    </row>
    <row r="83" spans="1:29" x14ac:dyDescent="0.3">
      <c r="A83" s="524" t="s">
        <v>15</v>
      </c>
      <c r="B83" s="525"/>
      <c r="C83" s="84">
        <f>'Material Handling'!$S$27+(C87*0.02)</f>
        <v>0</v>
      </c>
      <c r="D83" s="84">
        <f t="shared" ref="D83:D88" si="6">C83*8</f>
        <v>0</v>
      </c>
      <c r="E83" s="354"/>
      <c r="F83" s="330"/>
      <c r="G83" s="525" t="s">
        <v>15</v>
      </c>
      <c r="H83" s="525"/>
      <c r="I83" s="84">
        <f>'Material Handling'!$S$44</f>
        <v>0</v>
      </c>
      <c r="J83" s="84">
        <f>I83*8</f>
        <v>0</v>
      </c>
      <c r="K83" s="354"/>
      <c r="L83" s="330"/>
      <c r="M83" s="604" t="s">
        <v>15</v>
      </c>
      <c r="N83" s="604"/>
      <c r="O83" s="88">
        <f>'Material Handling'!$U$87</f>
        <v>0</v>
      </c>
      <c r="P83" s="88">
        <f>O83*8</f>
        <v>0</v>
      </c>
      <c r="Q83" s="354"/>
      <c r="R83" s="381"/>
      <c r="S83" s="396"/>
      <c r="U83" s="398"/>
      <c r="V83" s="403" t="s">
        <v>357</v>
      </c>
      <c r="W83" s="400"/>
      <c r="X83" s="400"/>
      <c r="Y83" s="400"/>
      <c r="Z83" s="400"/>
      <c r="AA83" s="400"/>
      <c r="AB83" s="402"/>
      <c r="AC83" s="396"/>
    </row>
    <row r="84" spans="1:29" x14ac:dyDescent="0.3">
      <c r="A84" s="524" t="s">
        <v>24</v>
      </c>
      <c r="B84" s="525"/>
      <c r="C84" s="84">
        <f>'Material Cutting'!$Q$27+(C87*0.08)</f>
        <v>0</v>
      </c>
      <c r="D84" s="84">
        <f t="shared" si="6"/>
        <v>0</v>
      </c>
      <c r="E84" s="368" t="s">
        <v>54</v>
      </c>
      <c r="F84" s="339"/>
      <c r="G84" s="525" t="s">
        <v>24</v>
      </c>
      <c r="H84" s="525"/>
      <c r="I84" s="84">
        <f>'Material Cutting'!$Q$44</f>
        <v>0</v>
      </c>
      <c r="J84" s="84">
        <f>I84*8</f>
        <v>0</v>
      </c>
      <c r="K84" s="368" t="s">
        <v>54</v>
      </c>
      <c r="L84" s="339"/>
      <c r="M84" s="604" t="s">
        <v>24</v>
      </c>
      <c r="N84" s="604"/>
      <c r="O84" s="88">
        <f>'Material Cutting'!$S$88</f>
        <v>0</v>
      </c>
      <c r="P84" s="88">
        <f>O84*8</f>
        <v>0</v>
      </c>
      <c r="Q84" s="198" t="s">
        <v>54</v>
      </c>
      <c r="R84" s="379"/>
      <c r="S84" s="396"/>
      <c r="U84" s="398"/>
      <c r="V84" s="403" t="s">
        <v>358</v>
      </c>
      <c r="W84" s="400"/>
      <c r="X84" s="400"/>
      <c r="Y84" s="400"/>
      <c r="Z84" s="400"/>
      <c r="AA84" s="400"/>
      <c r="AB84" s="402"/>
      <c r="AC84" s="396"/>
    </row>
    <row r="85" spans="1:29" ht="15" customHeight="1" x14ac:dyDescent="0.3">
      <c r="A85" s="524" t="s">
        <v>237</v>
      </c>
      <c r="B85" s="525"/>
      <c r="C85" s="84">
        <f>'Pipe End Prep'!$S$24</f>
        <v>0</v>
      </c>
      <c r="D85" s="84">
        <f t="shared" si="6"/>
        <v>0</v>
      </c>
      <c r="E85" s="520">
        <f>SUM(D84:D86)</f>
        <v>0.15400000000000003</v>
      </c>
      <c r="F85" s="339"/>
      <c r="G85" s="525" t="s">
        <v>237</v>
      </c>
      <c r="H85" s="525"/>
      <c r="I85" s="84">
        <f>'Pipe End Prep'!$S$52</f>
        <v>0</v>
      </c>
      <c r="J85" s="84">
        <f>I85*8</f>
        <v>0</v>
      </c>
      <c r="K85" s="520">
        <f>SUM(J84:J86)</f>
        <v>0.18700000000000003</v>
      </c>
      <c r="L85" s="339"/>
      <c r="M85" s="604" t="s">
        <v>237</v>
      </c>
      <c r="N85" s="604"/>
      <c r="O85" s="88">
        <v>0</v>
      </c>
      <c r="P85" s="88">
        <f>O85*8</f>
        <v>0</v>
      </c>
      <c r="Q85" s="521">
        <f ca="1">SUM(P84:P86)</f>
        <v>0</v>
      </c>
      <c r="R85" s="379"/>
      <c r="S85" s="396"/>
      <c r="U85" s="398"/>
      <c r="V85" s="404" t="s">
        <v>359</v>
      </c>
      <c r="W85" s="405"/>
      <c r="X85" s="405"/>
      <c r="Y85" s="405"/>
      <c r="Z85" s="405"/>
      <c r="AA85" s="405"/>
      <c r="AB85" s="406"/>
      <c r="AC85" s="396"/>
    </row>
    <row r="86" spans="1:29" ht="15" customHeight="1" x14ac:dyDescent="0.3">
      <c r="A86" s="524" t="s">
        <v>28</v>
      </c>
      <c r="B86" s="525"/>
      <c r="C86" s="84">
        <f>'Material Joining'!$S$62+(C87*0.9)</f>
        <v>1.9250000000000003E-2</v>
      </c>
      <c r="D86" s="84">
        <f t="shared" si="6"/>
        <v>0.15400000000000003</v>
      </c>
      <c r="E86" s="520"/>
      <c r="F86" s="339"/>
      <c r="G86" s="525" t="s">
        <v>28</v>
      </c>
      <c r="H86" s="525"/>
      <c r="I86" s="84">
        <f>'Material Joining'!$S$151</f>
        <v>2.3375000000000003E-2</v>
      </c>
      <c r="J86" s="84">
        <f>I86*8</f>
        <v>0.18700000000000003</v>
      </c>
      <c r="K86" s="520"/>
      <c r="L86" s="339"/>
      <c r="M86" s="604" t="s">
        <v>28</v>
      </c>
      <c r="N86" s="604"/>
      <c r="O86" s="88">
        <f ca="1">'Material Joining'!$S$318</f>
        <v>0</v>
      </c>
      <c r="P86" s="88">
        <f ca="1">O86*8</f>
        <v>0</v>
      </c>
      <c r="Q86" s="521"/>
      <c r="R86" s="379"/>
      <c r="S86" s="396"/>
      <c r="V86" s="397"/>
      <c r="W86" s="397"/>
      <c r="X86" s="397"/>
      <c r="Y86" s="397"/>
      <c r="Z86" s="397"/>
      <c r="AA86" s="397"/>
      <c r="AB86" s="397"/>
    </row>
    <row r="87" spans="1:29" x14ac:dyDescent="0.3">
      <c r="A87" s="605" t="s">
        <v>348</v>
      </c>
      <c r="B87" s="606"/>
      <c r="C87" s="228">
        <f>'Material Joining'!$S$38</f>
        <v>0</v>
      </c>
      <c r="D87" s="228">
        <f t="shared" si="6"/>
        <v>0</v>
      </c>
      <c r="E87" s="342"/>
      <c r="F87" s="330"/>
      <c r="G87" s="603" t="s">
        <v>35</v>
      </c>
      <c r="H87" s="603"/>
      <c r="I87" s="85">
        <f>SUM(I83:I86)</f>
        <v>2.3375000000000003E-2</v>
      </c>
      <c r="J87" s="85">
        <f>I87*8</f>
        <v>0.18700000000000003</v>
      </c>
      <c r="K87" s="342"/>
      <c r="L87" s="330"/>
      <c r="M87" s="625" t="s">
        <v>35</v>
      </c>
      <c r="N87" s="625"/>
      <c r="O87" s="89">
        <f ca="1">SUM(O83:O86)</f>
        <v>0</v>
      </c>
      <c r="P87" s="89">
        <f ca="1">O87*8</f>
        <v>0</v>
      </c>
      <c r="Q87" s="342"/>
      <c r="R87" s="381"/>
      <c r="S87" s="396"/>
    </row>
    <row r="88" spans="1:29" x14ac:dyDescent="0.3">
      <c r="A88" s="602" t="s">
        <v>35</v>
      </c>
      <c r="B88" s="603"/>
      <c r="C88" s="85">
        <f>SUM(C83:C86)</f>
        <v>1.9250000000000003E-2</v>
      </c>
      <c r="D88" s="85">
        <f t="shared" si="6"/>
        <v>0.15400000000000003</v>
      </c>
      <c r="E88" s="331"/>
      <c r="F88" s="292"/>
      <c r="G88" s="333"/>
      <c r="H88" s="333"/>
      <c r="I88" s="333"/>
      <c r="J88" s="333"/>
      <c r="K88" s="292"/>
      <c r="L88" s="292"/>
      <c r="M88" s="333"/>
      <c r="N88" s="333"/>
      <c r="O88" s="333"/>
      <c r="P88" s="333"/>
      <c r="Q88" s="292"/>
      <c r="R88" s="381"/>
      <c r="S88" s="396"/>
    </row>
    <row r="89" spans="1:29" x14ac:dyDescent="0.3">
      <c r="A89" s="382"/>
      <c r="B89" s="340"/>
      <c r="C89" s="340"/>
      <c r="D89" s="340"/>
      <c r="E89" s="292"/>
      <c r="F89" s="292"/>
      <c r="G89" s="337"/>
      <c r="H89" s="337"/>
      <c r="I89" s="337"/>
      <c r="J89" s="337"/>
      <c r="K89" s="292"/>
      <c r="L89" s="292"/>
      <c r="M89" s="337"/>
      <c r="N89" s="337"/>
      <c r="O89" s="337"/>
      <c r="P89" s="337"/>
      <c r="Q89" s="292"/>
      <c r="R89" s="381"/>
      <c r="S89" s="396"/>
    </row>
    <row r="90" spans="1:29" x14ac:dyDescent="0.3">
      <c r="A90" s="620" t="s">
        <v>160</v>
      </c>
      <c r="B90" s="611"/>
      <c r="C90" s="283" t="s">
        <v>23</v>
      </c>
      <c r="D90" s="283" t="s">
        <v>54</v>
      </c>
      <c r="E90" s="331"/>
      <c r="F90" s="330"/>
      <c r="G90" s="611" t="s">
        <v>161</v>
      </c>
      <c r="H90" s="611"/>
      <c r="I90" s="283" t="s">
        <v>23</v>
      </c>
      <c r="J90" s="283" t="s">
        <v>54</v>
      </c>
      <c r="K90" s="331"/>
      <c r="L90" s="330"/>
      <c r="M90" s="614" t="s">
        <v>162</v>
      </c>
      <c r="N90" s="614"/>
      <c r="O90" s="284" t="s">
        <v>23</v>
      </c>
      <c r="P90" s="284" t="s">
        <v>54</v>
      </c>
      <c r="Q90" s="331"/>
      <c r="R90" s="381"/>
      <c r="S90" s="396"/>
    </row>
    <row r="91" spans="1:29" x14ac:dyDescent="0.3">
      <c r="A91" s="621" t="s">
        <v>15</v>
      </c>
      <c r="B91" s="612"/>
      <c r="C91" s="86">
        <f>'Material Handling'!$S$60</f>
        <v>0.30086718750000002</v>
      </c>
      <c r="D91" s="86">
        <f>C91*8</f>
        <v>2.4069375000000002</v>
      </c>
      <c r="E91" s="354"/>
      <c r="F91" s="330"/>
      <c r="G91" s="612" t="s">
        <v>15</v>
      </c>
      <c r="H91" s="612"/>
      <c r="I91" s="86">
        <f>'Material Handling'!$S$73</f>
        <v>0</v>
      </c>
      <c r="J91" s="86">
        <f>I91*8</f>
        <v>0</v>
      </c>
      <c r="K91" s="354"/>
      <c r="L91" s="330"/>
      <c r="M91" s="607" t="s">
        <v>15</v>
      </c>
      <c r="N91" s="607"/>
      <c r="O91" s="90">
        <f>'Material Handling'!$S$113</f>
        <v>0</v>
      </c>
      <c r="P91" s="90">
        <f>O91*8</f>
        <v>0</v>
      </c>
      <c r="Q91" s="354"/>
      <c r="R91" s="381"/>
      <c r="S91" s="396"/>
    </row>
    <row r="92" spans="1:29" x14ac:dyDescent="0.3">
      <c r="A92" s="621" t="s">
        <v>24</v>
      </c>
      <c r="B92" s="612"/>
      <c r="C92" s="86">
        <f>'Material Cutting'!$Q$60</f>
        <v>0.19593750000000004</v>
      </c>
      <c r="D92" s="86">
        <f>C92*8</f>
        <v>1.5675000000000003</v>
      </c>
      <c r="E92" s="199" t="s">
        <v>54</v>
      </c>
      <c r="F92" s="339"/>
      <c r="G92" s="612" t="s">
        <v>24</v>
      </c>
      <c r="H92" s="612"/>
      <c r="I92" s="86">
        <f>'Material Cutting'!$Q$73</f>
        <v>0</v>
      </c>
      <c r="J92" s="86">
        <f>I92*8</f>
        <v>0</v>
      </c>
      <c r="K92" s="199" t="s">
        <v>54</v>
      </c>
      <c r="L92" s="339"/>
      <c r="M92" s="607" t="s">
        <v>24</v>
      </c>
      <c r="N92" s="607"/>
      <c r="O92" s="90">
        <f>'Material Cutting'!$Q$113</f>
        <v>0</v>
      </c>
      <c r="P92" s="90">
        <f>O92*8</f>
        <v>0</v>
      </c>
      <c r="Q92" s="370" t="s">
        <v>54</v>
      </c>
      <c r="R92" s="379"/>
      <c r="S92" s="396"/>
    </row>
    <row r="93" spans="1:29" x14ac:dyDescent="0.3">
      <c r="A93" s="621" t="s">
        <v>237</v>
      </c>
      <c r="B93" s="612"/>
      <c r="C93" s="86">
        <f>'Pipe End Prep'!$S$79</f>
        <v>0</v>
      </c>
      <c r="D93" s="86">
        <f>C93*8</f>
        <v>0</v>
      </c>
      <c r="E93" s="522">
        <f>SUM(D92:D94)</f>
        <v>15.174500000000002</v>
      </c>
      <c r="F93" s="339"/>
      <c r="G93" s="612" t="s">
        <v>237</v>
      </c>
      <c r="H93" s="612"/>
      <c r="I93" s="86"/>
      <c r="J93" s="86">
        <f>I93*8</f>
        <v>0</v>
      </c>
      <c r="K93" s="522">
        <f>SUM(J92:J94)</f>
        <v>0</v>
      </c>
      <c r="L93" s="339"/>
      <c r="M93" s="607" t="s">
        <v>237</v>
      </c>
      <c r="N93" s="607"/>
      <c r="O93" s="90">
        <v>0</v>
      </c>
      <c r="P93" s="90">
        <f>O93*8</f>
        <v>0</v>
      </c>
      <c r="Q93" s="523">
        <f>SUM(P92:P94)</f>
        <v>0</v>
      </c>
      <c r="R93" s="379"/>
      <c r="S93" s="396"/>
    </row>
    <row r="94" spans="1:29" x14ac:dyDescent="0.3">
      <c r="A94" s="621" t="s">
        <v>28</v>
      </c>
      <c r="B94" s="612"/>
      <c r="C94" s="86">
        <f>'Material Joining'!$S$208</f>
        <v>1.7008750000000001</v>
      </c>
      <c r="D94" s="86">
        <f>C94*8</f>
        <v>13.607000000000001</v>
      </c>
      <c r="E94" s="522"/>
      <c r="F94" s="339"/>
      <c r="G94" s="612" t="s">
        <v>28</v>
      </c>
      <c r="H94" s="612"/>
      <c r="I94" s="86">
        <f>'Material Joining'!$S$278</f>
        <v>0</v>
      </c>
      <c r="J94" s="86">
        <f>I94*8</f>
        <v>0</v>
      </c>
      <c r="K94" s="522"/>
      <c r="L94" s="339"/>
      <c r="M94" s="607" t="s">
        <v>28</v>
      </c>
      <c r="N94" s="607"/>
      <c r="O94" s="90">
        <f>'Material Joining'!$Q$344</f>
        <v>0</v>
      </c>
      <c r="P94" s="90">
        <f>O94*8</f>
        <v>0</v>
      </c>
      <c r="Q94" s="523"/>
      <c r="R94" s="379"/>
      <c r="S94" s="396"/>
    </row>
    <row r="95" spans="1:29" x14ac:dyDescent="0.3">
      <c r="A95" s="622" t="s">
        <v>35</v>
      </c>
      <c r="B95" s="613"/>
      <c r="C95" s="87">
        <f>SUM(C91:C94)</f>
        <v>2.1976796875</v>
      </c>
      <c r="D95" s="87">
        <f>C95*8</f>
        <v>17.5814375</v>
      </c>
      <c r="E95" s="342"/>
      <c r="F95" s="330"/>
      <c r="G95" s="613" t="s">
        <v>35</v>
      </c>
      <c r="H95" s="613"/>
      <c r="I95" s="87">
        <f>SUM(I91:I94)</f>
        <v>0</v>
      </c>
      <c r="J95" s="87">
        <f>I95*8</f>
        <v>0</v>
      </c>
      <c r="K95" s="342"/>
      <c r="L95" s="330"/>
      <c r="M95" s="608" t="s">
        <v>35</v>
      </c>
      <c r="N95" s="608"/>
      <c r="O95" s="91">
        <f>SUM(O91:O94)</f>
        <v>0</v>
      </c>
      <c r="P95" s="91">
        <f>O95*8</f>
        <v>0</v>
      </c>
      <c r="Q95" s="342"/>
      <c r="R95" s="381"/>
      <c r="S95" s="396"/>
    </row>
    <row r="96" spans="1:29" x14ac:dyDescent="0.3">
      <c r="A96" s="383"/>
      <c r="B96" s="333"/>
      <c r="C96" s="333"/>
      <c r="D96" s="333"/>
      <c r="E96" s="292"/>
      <c r="F96" s="292"/>
      <c r="G96" s="333"/>
      <c r="H96" s="333"/>
      <c r="I96" s="333"/>
      <c r="J96" s="333"/>
      <c r="K96" s="292"/>
      <c r="L96" s="292"/>
      <c r="M96" s="333"/>
      <c r="N96" s="333"/>
      <c r="O96" s="333"/>
      <c r="P96" s="333"/>
      <c r="Q96" s="292"/>
      <c r="R96" s="381"/>
      <c r="S96" s="396"/>
    </row>
    <row r="97" spans="1:19" x14ac:dyDescent="0.3">
      <c r="A97" s="380"/>
      <c r="B97" s="337"/>
      <c r="C97" s="337"/>
      <c r="D97" s="337"/>
      <c r="E97" s="292"/>
      <c r="F97" s="292"/>
      <c r="G97" s="337"/>
      <c r="H97" s="337"/>
      <c r="I97" s="337"/>
      <c r="J97" s="337"/>
      <c r="K97" s="292"/>
      <c r="L97" s="292"/>
      <c r="M97" s="337"/>
      <c r="N97" s="337"/>
      <c r="O97" s="337"/>
      <c r="P97" s="337"/>
      <c r="Q97" s="292"/>
      <c r="R97" s="381"/>
      <c r="S97" s="396"/>
    </row>
    <row r="98" spans="1:19" x14ac:dyDescent="0.3">
      <c r="A98" s="599" t="s">
        <v>21</v>
      </c>
      <c r="B98" s="600"/>
      <c r="C98" s="289" t="s">
        <v>23</v>
      </c>
      <c r="D98" s="289" t="s">
        <v>54</v>
      </c>
      <c r="E98" s="331"/>
      <c r="F98" s="330"/>
      <c r="G98" s="601" t="s">
        <v>19</v>
      </c>
      <c r="H98" s="601"/>
      <c r="I98" s="291" t="s">
        <v>23</v>
      </c>
      <c r="J98" s="291" t="s">
        <v>54</v>
      </c>
      <c r="K98" s="331"/>
      <c r="L98" s="330"/>
      <c r="M98" s="601" t="s">
        <v>140</v>
      </c>
      <c r="N98" s="601"/>
      <c r="O98" s="291" t="s">
        <v>23</v>
      </c>
      <c r="P98" s="291" t="s">
        <v>54</v>
      </c>
      <c r="Q98" s="331"/>
      <c r="R98" s="381"/>
      <c r="S98" s="396"/>
    </row>
    <row r="99" spans="1:19" x14ac:dyDescent="0.3">
      <c r="A99" s="616" t="s">
        <v>15</v>
      </c>
      <c r="B99" s="617"/>
      <c r="C99" s="92">
        <f>'Material Handling'!$S$132</f>
        <v>0</v>
      </c>
      <c r="D99" s="92">
        <f>C99*8</f>
        <v>0</v>
      </c>
      <c r="E99" s="354"/>
      <c r="F99" s="330"/>
      <c r="G99" s="609" t="s">
        <v>15</v>
      </c>
      <c r="H99" s="609"/>
      <c r="I99" s="94">
        <f>'Material Handling'!$S$146</f>
        <v>0</v>
      </c>
      <c r="J99" s="94">
        <f>I99*8</f>
        <v>0</v>
      </c>
      <c r="K99" s="354"/>
      <c r="L99" s="330"/>
      <c r="M99" s="609" t="s">
        <v>212</v>
      </c>
      <c r="N99" s="609"/>
      <c r="O99" s="94">
        <f>'Hangers &amp; Supports'!$Q$12</f>
        <v>0</v>
      </c>
      <c r="P99" s="94">
        <f>O99*8</f>
        <v>0</v>
      </c>
      <c r="Q99" s="331"/>
      <c r="R99" s="381"/>
      <c r="S99" s="396"/>
    </row>
    <row r="100" spans="1:19" x14ac:dyDescent="0.3">
      <c r="A100" s="616" t="s">
        <v>24</v>
      </c>
      <c r="B100" s="617"/>
      <c r="C100" s="92">
        <f>'Material Cutting'!$Q$132</f>
        <v>0</v>
      </c>
      <c r="D100" s="92">
        <f>C100*8</f>
        <v>0</v>
      </c>
      <c r="E100" s="372" t="s">
        <v>54</v>
      </c>
      <c r="F100" s="339"/>
      <c r="G100" s="609" t="s">
        <v>24</v>
      </c>
      <c r="H100" s="609"/>
      <c r="I100" s="94">
        <f>'Material Cutting'!$Q$146</f>
        <v>0</v>
      </c>
      <c r="J100" s="94">
        <f>I100*8</f>
        <v>0</v>
      </c>
      <c r="K100" s="371" t="s">
        <v>54</v>
      </c>
      <c r="L100" s="339"/>
      <c r="M100" s="609" t="s">
        <v>253</v>
      </c>
      <c r="N100" s="609"/>
      <c r="O100" s="94">
        <f>'Hangers &amp; Supports'!$S$23</f>
        <v>0</v>
      </c>
      <c r="P100" s="94">
        <f>O100*8</f>
        <v>0</v>
      </c>
      <c r="Q100" s="369"/>
      <c r="R100" s="381"/>
      <c r="S100" s="396"/>
    </row>
    <row r="101" spans="1:19" x14ac:dyDescent="0.3">
      <c r="A101" s="616" t="s">
        <v>237</v>
      </c>
      <c r="B101" s="617"/>
      <c r="C101" s="92">
        <v>0</v>
      </c>
      <c r="D101" s="92">
        <f>C101*8</f>
        <v>0</v>
      </c>
      <c r="E101" s="513">
        <f>SUM(D100:D102)</f>
        <v>0</v>
      </c>
      <c r="F101" s="339"/>
      <c r="G101" s="609" t="s">
        <v>237</v>
      </c>
      <c r="H101" s="609"/>
      <c r="I101" s="94">
        <f>'Pipe End Prep'!$Q$117</f>
        <v>0</v>
      </c>
      <c r="J101" s="94">
        <f>I101*8</f>
        <v>0</v>
      </c>
      <c r="K101" s="514">
        <f>SUM(J100:J102)</f>
        <v>0</v>
      </c>
      <c r="L101" s="339"/>
      <c r="M101" s="609" t="s">
        <v>247</v>
      </c>
      <c r="N101" s="609"/>
      <c r="O101" s="94">
        <f>'Hangers &amp; Supports'!$Q$62</f>
        <v>0</v>
      </c>
      <c r="P101" s="94">
        <f>O101*8</f>
        <v>0</v>
      </c>
      <c r="Q101" s="369"/>
      <c r="R101" s="381"/>
      <c r="S101" s="396"/>
    </row>
    <row r="102" spans="1:19" x14ac:dyDescent="0.3">
      <c r="A102" s="616" t="s">
        <v>28</v>
      </c>
      <c r="B102" s="617"/>
      <c r="C102" s="92">
        <f>'Material Joining'!$Q$363</f>
        <v>0</v>
      </c>
      <c r="D102" s="92">
        <f>C102*8</f>
        <v>0</v>
      </c>
      <c r="E102" s="513"/>
      <c r="F102" s="339"/>
      <c r="G102" s="609" t="s">
        <v>28</v>
      </c>
      <c r="H102" s="609"/>
      <c r="I102" s="94">
        <f>'Material Joining'!$Q$377</f>
        <v>0</v>
      </c>
      <c r="J102" s="94">
        <f>I102*8</f>
        <v>0</v>
      </c>
      <c r="K102" s="514"/>
      <c r="L102" s="339"/>
      <c r="M102" s="609" t="s">
        <v>242</v>
      </c>
      <c r="N102" s="609"/>
      <c r="O102" s="94">
        <f>'Hangers &amp; Supports'!$Q$69</f>
        <v>0</v>
      </c>
      <c r="P102" s="94">
        <f>O102*8</f>
        <v>0</v>
      </c>
      <c r="Q102" s="331"/>
      <c r="R102" s="381"/>
      <c r="S102" s="396"/>
    </row>
    <row r="103" spans="1:19" x14ac:dyDescent="0.3">
      <c r="A103" s="618" t="s">
        <v>35</v>
      </c>
      <c r="B103" s="619"/>
      <c r="C103" s="93">
        <f>SUM(C99:C102)</f>
        <v>0</v>
      </c>
      <c r="D103" s="93">
        <f>C103*8</f>
        <v>0</v>
      </c>
      <c r="E103" s="342"/>
      <c r="F103" s="330"/>
      <c r="G103" s="610" t="s">
        <v>35</v>
      </c>
      <c r="H103" s="610"/>
      <c r="I103" s="95">
        <f>SUM(I99:I102)</f>
        <v>0</v>
      </c>
      <c r="J103" s="95">
        <f>I103*8</f>
        <v>0</v>
      </c>
      <c r="K103" s="342"/>
      <c r="L103" s="330"/>
      <c r="M103" s="610" t="s">
        <v>35</v>
      </c>
      <c r="N103" s="610"/>
      <c r="O103" s="95">
        <f>SUM(O99:O102)</f>
        <v>0</v>
      </c>
      <c r="P103" s="95">
        <f>O103*8</f>
        <v>0</v>
      </c>
      <c r="Q103" s="331"/>
      <c r="R103" s="381"/>
      <c r="S103" s="396"/>
    </row>
    <row r="104" spans="1:19" x14ac:dyDescent="0.3">
      <c r="A104" s="382"/>
      <c r="B104" s="340"/>
      <c r="C104" s="340"/>
      <c r="D104" s="340"/>
      <c r="E104" s="292"/>
      <c r="F104" s="292"/>
      <c r="G104" s="340"/>
      <c r="H104" s="340"/>
      <c r="I104" s="340"/>
      <c r="J104" s="340"/>
      <c r="K104" s="292"/>
      <c r="L104" s="292"/>
      <c r="M104" s="340"/>
      <c r="N104" s="340"/>
      <c r="O104" s="340"/>
      <c r="P104" s="340"/>
      <c r="Q104" s="292"/>
      <c r="R104" s="381"/>
      <c r="S104" s="396"/>
    </row>
    <row r="105" spans="1:19" x14ac:dyDescent="0.3">
      <c r="A105" s="584" t="s">
        <v>58</v>
      </c>
      <c r="B105" s="582"/>
      <c r="C105" s="288" t="s">
        <v>23</v>
      </c>
      <c r="D105" s="288" t="s">
        <v>54</v>
      </c>
      <c r="E105" s="331"/>
      <c r="F105" s="330"/>
      <c r="G105" s="582" t="s">
        <v>153</v>
      </c>
      <c r="H105" s="582"/>
      <c r="I105" s="288" t="s">
        <v>23</v>
      </c>
      <c r="J105" s="288" t="s">
        <v>54</v>
      </c>
      <c r="K105" s="331"/>
      <c r="L105" s="330"/>
      <c r="M105" s="582" t="s">
        <v>155</v>
      </c>
      <c r="N105" s="582"/>
      <c r="O105" s="288" t="s">
        <v>23</v>
      </c>
      <c r="P105" s="288" t="s">
        <v>54</v>
      </c>
      <c r="Q105" s="331"/>
      <c r="R105" s="381"/>
      <c r="S105" s="396"/>
    </row>
    <row r="106" spans="1:19" x14ac:dyDescent="0.3">
      <c r="A106" s="524" t="s">
        <v>80</v>
      </c>
      <c r="B106" s="525"/>
      <c r="C106" s="84">
        <f>Assemblies!$T$20</f>
        <v>0</v>
      </c>
      <c r="D106" s="84">
        <f>C106*8</f>
        <v>0</v>
      </c>
      <c r="E106" s="331"/>
      <c r="F106" s="330"/>
      <c r="G106" s="525" t="s">
        <v>192</v>
      </c>
      <c r="H106" s="525"/>
      <c r="I106" s="84">
        <f>Assemblies!$Q$44</f>
        <v>0</v>
      </c>
      <c r="J106" s="84">
        <f t="shared" ref="J106:J111" si="7">I106*8</f>
        <v>0</v>
      </c>
      <c r="K106" s="331"/>
      <c r="L106" s="330"/>
      <c r="M106" s="525" t="s">
        <v>192</v>
      </c>
      <c r="N106" s="525"/>
      <c r="O106" s="84">
        <f>Assemblies!$T$264</f>
        <v>0</v>
      </c>
      <c r="P106" s="84">
        <f>O106*8</f>
        <v>0</v>
      </c>
      <c r="Q106" s="331"/>
      <c r="R106" s="381"/>
      <c r="S106" s="396"/>
    </row>
    <row r="107" spans="1:19" x14ac:dyDescent="0.3">
      <c r="A107" s="524" t="s">
        <v>75</v>
      </c>
      <c r="B107" s="525"/>
      <c r="C107" s="84">
        <f>Assemblies!$Q$93</f>
        <v>0</v>
      </c>
      <c r="D107" s="84">
        <f>C107*8</f>
        <v>0</v>
      </c>
      <c r="E107" s="369"/>
      <c r="F107" s="330"/>
      <c r="G107" s="525" t="s">
        <v>193</v>
      </c>
      <c r="H107" s="525"/>
      <c r="I107" s="84">
        <f>Assemblies!$Q$55</f>
        <v>0</v>
      </c>
      <c r="J107" s="84">
        <f t="shared" si="7"/>
        <v>0</v>
      </c>
      <c r="K107" s="369"/>
      <c r="L107" s="330"/>
      <c r="M107" s="525" t="s">
        <v>138</v>
      </c>
      <c r="N107" s="525"/>
      <c r="O107" s="84">
        <f>Assemblies!$T$127</f>
        <v>0</v>
      </c>
      <c r="P107" s="84">
        <f>O107*8</f>
        <v>0</v>
      </c>
      <c r="Q107" s="369"/>
      <c r="R107" s="381"/>
      <c r="S107" s="396"/>
    </row>
    <row r="108" spans="1:19" ht="15" customHeight="1" x14ac:dyDescent="0.3">
      <c r="A108" s="524" t="s">
        <v>289</v>
      </c>
      <c r="B108" s="525"/>
      <c r="C108" s="84">
        <f>Assemblies!$Q$321</f>
        <v>0</v>
      </c>
      <c r="D108" s="84">
        <f>C108*8</f>
        <v>0</v>
      </c>
      <c r="E108" s="369"/>
      <c r="F108" s="330"/>
      <c r="G108" s="525" t="s">
        <v>138</v>
      </c>
      <c r="H108" s="525"/>
      <c r="I108" s="84">
        <f>Assemblies!$Q$66</f>
        <v>0</v>
      </c>
      <c r="J108" s="84">
        <f t="shared" si="7"/>
        <v>0</v>
      </c>
      <c r="K108" s="369"/>
      <c r="L108" s="330"/>
      <c r="M108" s="525" t="s">
        <v>139</v>
      </c>
      <c r="N108" s="525"/>
      <c r="O108" s="84">
        <f>Assemblies!$T$205</f>
        <v>0</v>
      </c>
      <c r="P108" s="84">
        <f>O108*8</f>
        <v>0</v>
      </c>
      <c r="Q108" s="369"/>
      <c r="R108" s="381"/>
      <c r="S108" s="396"/>
    </row>
    <row r="109" spans="1:19" ht="15" customHeight="1" x14ac:dyDescent="0.3">
      <c r="A109" s="285"/>
      <c r="B109" s="286"/>
      <c r="C109" s="84"/>
      <c r="D109" s="84"/>
      <c r="E109" s="369"/>
      <c r="F109" s="330"/>
      <c r="G109" s="286" t="s">
        <v>139</v>
      </c>
      <c r="H109" s="286"/>
      <c r="I109" s="84">
        <f>Assemblies!$Q$77</f>
        <v>0</v>
      </c>
      <c r="J109" s="84">
        <f t="shared" si="7"/>
        <v>0</v>
      </c>
      <c r="K109" s="369"/>
      <c r="L109" s="330"/>
      <c r="M109" s="286"/>
      <c r="N109" s="286"/>
      <c r="O109" s="84"/>
      <c r="P109" s="84"/>
      <c r="Q109" s="369"/>
      <c r="R109" s="381"/>
      <c r="S109" s="396"/>
    </row>
    <row r="110" spans="1:19" ht="15" customHeight="1" x14ac:dyDescent="0.3">
      <c r="A110" s="524"/>
      <c r="B110" s="525"/>
      <c r="C110" s="84"/>
      <c r="D110" s="84"/>
      <c r="E110" s="331"/>
      <c r="F110" s="330"/>
      <c r="G110" s="286" t="s">
        <v>154</v>
      </c>
      <c r="H110" s="286"/>
      <c r="I110" s="84">
        <f>Assemblies!$Q$84</f>
        <v>0</v>
      </c>
      <c r="J110" s="84">
        <f t="shared" si="7"/>
        <v>0</v>
      </c>
      <c r="K110" s="331"/>
      <c r="L110" s="330"/>
      <c r="M110" s="525"/>
      <c r="N110" s="525"/>
      <c r="O110" s="84"/>
      <c r="P110" s="84"/>
      <c r="Q110" s="331"/>
      <c r="R110" s="381"/>
      <c r="S110" s="396"/>
    </row>
    <row r="111" spans="1:19" ht="15" thickBot="1" x14ac:dyDescent="0.35">
      <c r="A111" s="583" t="s">
        <v>35</v>
      </c>
      <c r="B111" s="581"/>
      <c r="C111" s="121">
        <f>SUM(C106:C110)</f>
        <v>0</v>
      </c>
      <c r="D111" s="121">
        <f>C111*8</f>
        <v>0</v>
      </c>
      <c r="E111" s="391"/>
      <c r="F111" s="392"/>
      <c r="G111" s="581" t="s">
        <v>35</v>
      </c>
      <c r="H111" s="581"/>
      <c r="I111" s="121">
        <f>SUM(I106:I110)</f>
        <v>0</v>
      </c>
      <c r="J111" s="121">
        <f t="shared" si="7"/>
        <v>0</v>
      </c>
      <c r="K111" s="391"/>
      <c r="L111" s="392"/>
      <c r="M111" s="581" t="s">
        <v>35</v>
      </c>
      <c r="N111" s="581"/>
      <c r="O111" s="121">
        <f>SUM(O106:O110)</f>
        <v>0</v>
      </c>
      <c r="P111" s="121">
        <f>O111*8</f>
        <v>0</v>
      </c>
      <c r="Q111" s="391"/>
      <c r="R111" s="393"/>
      <c r="S111" s="396"/>
    </row>
    <row r="112" spans="1:19" x14ac:dyDescent="0.3">
      <c r="A112" s="397"/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7"/>
      <c r="M112" s="397"/>
      <c r="N112" s="397"/>
      <c r="O112" s="397"/>
      <c r="P112" s="397"/>
      <c r="Q112" s="397"/>
      <c r="R112" s="397"/>
    </row>
  </sheetData>
  <mergeCells count="237">
    <mergeCell ref="A11:B11"/>
    <mergeCell ref="C11:F11"/>
    <mergeCell ref="A62:B62"/>
    <mergeCell ref="G62:H62"/>
    <mergeCell ref="M62:N62"/>
    <mergeCell ref="A64:B64"/>
    <mergeCell ref="M64:N64"/>
    <mergeCell ref="A65:B65"/>
    <mergeCell ref="G65:H65"/>
    <mergeCell ref="M65:N65"/>
    <mergeCell ref="A59:B59"/>
    <mergeCell ref="G59:H59"/>
    <mergeCell ref="M59:N59"/>
    <mergeCell ref="A60:B60"/>
    <mergeCell ref="G60:H60"/>
    <mergeCell ref="M60:N60"/>
    <mergeCell ref="A61:B61"/>
    <mergeCell ref="G61:H61"/>
    <mergeCell ref="M61:N61"/>
    <mergeCell ref="A50:B50"/>
    <mergeCell ref="G49:H49"/>
    <mergeCell ref="M49:N49"/>
    <mergeCell ref="A56:B56"/>
    <mergeCell ref="G56:H56"/>
    <mergeCell ref="G57:H57"/>
    <mergeCell ref="M57:N57"/>
    <mergeCell ref="A55:B55"/>
    <mergeCell ref="G55:H55"/>
    <mergeCell ref="M55:N55"/>
    <mergeCell ref="A53:B53"/>
    <mergeCell ref="G53:H53"/>
    <mergeCell ref="M53:N53"/>
    <mergeCell ref="A54:B54"/>
    <mergeCell ref="G54:H54"/>
    <mergeCell ref="M54:N54"/>
    <mergeCell ref="G52:H52"/>
    <mergeCell ref="M52:N52"/>
    <mergeCell ref="M93:N93"/>
    <mergeCell ref="A99:B99"/>
    <mergeCell ref="A100:B100"/>
    <mergeCell ref="A103:B103"/>
    <mergeCell ref="A102:B102"/>
    <mergeCell ref="A101:B101"/>
    <mergeCell ref="A90:B90"/>
    <mergeCell ref="A91:B91"/>
    <mergeCell ref="A92:B92"/>
    <mergeCell ref="A93:B93"/>
    <mergeCell ref="A94:B94"/>
    <mergeCell ref="A95:B95"/>
    <mergeCell ref="A79:B79"/>
    <mergeCell ref="G99:H99"/>
    <mergeCell ref="G100:H100"/>
    <mergeCell ref="G103:H103"/>
    <mergeCell ref="M82:N82"/>
    <mergeCell ref="M83:N83"/>
    <mergeCell ref="M84:N84"/>
    <mergeCell ref="M87:N87"/>
    <mergeCell ref="G102:H102"/>
    <mergeCell ref="M56:N56"/>
    <mergeCell ref="G101:H101"/>
    <mergeCell ref="M102:N102"/>
    <mergeCell ref="M101:N101"/>
    <mergeCell ref="M99:N99"/>
    <mergeCell ref="M100:N100"/>
    <mergeCell ref="M103:N103"/>
    <mergeCell ref="G90:H90"/>
    <mergeCell ref="G91:H91"/>
    <mergeCell ref="G92:H92"/>
    <mergeCell ref="G93:H93"/>
    <mergeCell ref="G94:H94"/>
    <mergeCell ref="G95:H95"/>
    <mergeCell ref="M90:N90"/>
    <mergeCell ref="M91:N91"/>
    <mergeCell ref="M92:N92"/>
    <mergeCell ref="C7:F7"/>
    <mergeCell ref="A8:B8"/>
    <mergeCell ref="A13:F13"/>
    <mergeCell ref="A71:B71"/>
    <mergeCell ref="A72:B72"/>
    <mergeCell ref="A98:B98"/>
    <mergeCell ref="M98:N98"/>
    <mergeCell ref="A88:B88"/>
    <mergeCell ref="A83:B83"/>
    <mergeCell ref="G82:H82"/>
    <mergeCell ref="G83:H83"/>
    <mergeCell ref="G84:H84"/>
    <mergeCell ref="G87:H87"/>
    <mergeCell ref="A82:B82"/>
    <mergeCell ref="M86:N86"/>
    <mergeCell ref="M85:N85"/>
    <mergeCell ref="G86:H86"/>
    <mergeCell ref="G85:H85"/>
    <mergeCell ref="A87:B87"/>
    <mergeCell ref="A85:B85"/>
    <mergeCell ref="G98:H98"/>
    <mergeCell ref="M94:N94"/>
    <mergeCell ref="M95:N95"/>
    <mergeCell ref="A77:B77"/>
    <mergeCell ref="A107:B107"/>
    <mergeCell ref="A111:B111"/>
    <mergeCell ref="A110:B110"/>
    <mergeCell ref="A108:B108"/>
    <mergeCell ref="A105:B105"/>
    <mergeCell ref="A106:B106"/>
    <mergeCell ref="A28:B28"/>
    <mergeCell ref="A19:B19"/>
    <mergeCell ref="A26:B26"/>
    <mergeCell ref="A27:B27"/>
    <mergeCell ref="A21:B21"/>
    <mergeCell ref="A84:B84"/>
    <mergeCell ref="A29:B29"/>
    <mergeCell ref="A30:B30"/>
    <mergeCell ref="A31:B31"/>
    <mergeCell ref="A76:B76"/>
    <mergeCell ref="A75:B75"/>
    <mergeCell ref="A74:B74"/>
    <mergeCell ref="A73:B73"/>
    <mergeCell ref="A78:B78"/>
    <mergeCell ref="A37:B37"/>
    <mergeCell ref="A42:B42"/>
    <mergeCell ref="A52:B52"/>
    <mergeCell ref="A57:B57"/>
    <mergeCell ref="G111:H111"/>
    <mergeCell ref="M105:N105"/>
    <mergeCell ref="M106:N106"/>
    <mergeCell ref="M107:N107"/>
    <mergeCell ref="M108:N108"/>
    <mergeCell ref="M110:N110"/>
    <mergeCell ref="M111:N111"/>
    <mergeCell ref="G105:H105"/>
    <mergeCell ref="G106:H106"/>
    <mergeCell ref="G107:H107"/>
    <mergeCell ref="G108:H108"/>
    <mergeCell ref="I15:M15"/>
    <mergeCell ref="D15:E16"/>
    <mergeCell ref="D17:E18"/>
    <mergeCell ref="D19:E20"/>
    <mergeCell ref="H26:I26"/>
    <mergeCell ref="H27:I27"/>
    <mergeCell ref="H28:I28"/>
    <mergeCell ref="H29:I29"/>
    <mergeCell ref="H30:I30"/>
    <mergeCell ref="E29:E33"/>
    <mergeCell ref="A25:E25"/>
    <mergeCell ref="A15:B15"/>
    <mergeCell ref="A16:B16"/>
    <mergeCell ref="A17:B17"/>
    <mergeCell ref="A18:B18"/>
    <mergeCell ref="A33:B33"/>
    <mergeCell ref="A36:F36"/>
    <mergeCell ref="A20:B20"/>
    <mergeCell ref="A32:B32"/>
    <mergeCell ref="G39:H39"/>
    <mergeCell ref="M39:N39"/>
    <mergeCell ref="A40:B40"/>
    <mergeCell ref="G40:H40"/>
    <mergeCell ref="M40:N40"/>
    <mergeCell ref="A43:B43"/>
    <mergeCell ref="G42:H42"/>
    <mergeCell ref="M42:N42"/>
    <mergeCell ref="G37:H37"/>
    <mergeCell ref="M37:N37"/>
    <mergeCell ref="A38:B38"/>
    <mergeCell ref="G38:H38"/>
    <mergeCell ref="M38:N38"/>
    <mergeCell ref="A14:B14"/>
    <mergeCell ref="C9:F9"/>
    <mergeCell ref="C10:F10"/>
    <mergeCell ref="A7:B7"/>
    <mergeCell ref="A6:B6"/>
    <mergeCell ref="C6:F6"/>
    <mergeCell ref="A49:B49"/>
    <mergeCell ref="G48:H48"/>
    <mergeCell ref="M48:N48"/>
    <mergeCell ref="A47:B47"/>
    <mergeCell ref="G46:H46"/>
    <mergeCell ref="M46:N46"/>
    <mergeCell ref="A48:B48"/>
    <mergeCell ref="G47:H47"/>
    <mergeCell ref="M47:N47"/>
    <mergeCell ref="A45:B45"/>
    <mergeCell ref="G44:H44"/>
    <mergeCell ref="M44:N44"/>
    <mergeCell ref="A46:B46"/>
    <mergeCell ref="G45:H45"/>
    <mergeCell ref="M45:N45"/>
    <mergeCell ref="G41:H41"/>
    <mergeCell ref="M41:N41"/>
    <mergeCell ref="A39:B39"/>
    <mergeCell ref="M78:N78"/>
    <mergeCell ref="A86:B86"/>
    <mergeCell ref="A41:B41"/>
    <mergeCell ref="H73:I73"/>
    <mergeCell ref="H74:I74"/>
    <mergeCell ref="H75:I75"/>
    <mergeCell ref="I2:Q10"/>
    <mergeCell ref="I13:M13"/>
    <mergeCell ref="I14:M14"/>
    <mergeCell ref="I12:Q12"/>
    <mergeCell ref="A22:B22"/>
    <mergeCell ref="A34:B34"/>
    <mergeCell ref="I23:M23"/>
    <mergeCell ref="I22:M22"/>
    <mergeCell ref="I21:M21"/>
    <mergeCell ref="I20:M20"/>
    <mergeCell ref="I19:M19"/>
    <mergeCell ref="I18:M18"/>
    <mergeCell ref="I17:M17"/>
    <mergeCell ref="I16:M16"/>
    <mergeCell ref="A9:B9"/>
    <mergeCell ref="A10:B10"/>
    <mergeCell ref="C8:F8"/>
    <mergeCell ref="C1:H3"/>
    <mergeCell ref="A81:E81"/>
    <mergeCell ref="E101:E102"/>
    <mergeCell ref="K101:K102"/>
    <mergeCell ref="M69:N70"/>
    <mergeCell ref="O69:O70"/>
    <mergeCell ref="P69:P70"/>
    <mergeCell ref="Q69:Q70"/>
    <mergeCell ref="R69:R70"/>
    <mergeCell ref="M79:N79"/>
    <mergeCell ref="M80:N80"/>
    <mergeCell ref="E74:E78"/>
    <mergeCell ref="E85:E86"/>
    <mergeCell ref="K85:K86"/>
    <mergeCell ref="Q85:Q86"/>
    <mergeCell ref="E93:E94"/>
    <mergeCell ref="K93:K94"/>
    <mergeCell ref="Q93:Q94"/>
    <mergeCell ref="M71:N71"/>
    <mergeCell ref="M72:N72"/>
    <mergeCell ref="M73:N73"/>
    <mergeCell ref="M74:N74"/>
    <mergeCell ref="M75:N75"/>
    <mergeCell ref="M76:N76"/>
    <mergeCell ref="M77:N77"/>
  </mergeCells>
  <conditionalFormatting sqref="L13">
    <cfRule type="expression" priority="2">
      <formula>$O$103&gt;0</formula>
    </cfRule>
  </conditionalFormatting>
  <printOptions horizontalCentered="1"/>
  <pageMargins left="0.25" right="0.25" top="0.4" bottom="0.3" header="0.3" footer="0.25"/>
  <pageSetup scale="51" fitToHeight="0" orientation="landscape" r:id="rId1"/>
  <headerFooter alignWithMargins="0">
    <oddFooter>&amp;F&amp;RPage &amp;P</oddFooter>
  </headerFooter>
  <rowBreaks count="1" manualBreakCount="1">
    <brk id="6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  <pageSetUpPr fitToPage="1"/>
  </sheetPr>
  <dimension ref="A1:AE146"/>
  <sheetViews>
    <sheetView zoomScaleNormal="100" workbookViewId="0">
      <pane ySplit="3" topLeftCell="A4" activePane="bottomLeft" state="frozen"/>
      <selection activeCell="A5" sqref="A5:E7"/>
      <selection pane="bottomLeft" sqref="A1:E2"/>
    </sheetView>
  </sheetViews>
  <sheetFormatPr defaultColWidth="9.109375" defaultRowHeight="14.4" x14ac:dyDescent="0.3"/>
  <cols>
    <col min="1" max="1" width="9.109375" style="252"/>
    <col min="3" max="3" width="9.5546875" style="216" bestFit="1" customWidth="1"/>
    <col min="4" max="4" width="9.109375" style="229"/>
    <col min="21" max="23" width="9.6640625" customWidth="1"/>
    <col min="24" max="24" width="3.6640625" customWidth="1"/>
    <col min="25" max="27" width="9.6640625" customWidth="1"/>
    <col min="28" max="28" width="3.6640625" customWidth="1"/>
    <col min="29" max="31" width="9.6640625" customWidth="1"/>
    <col min="45" max="45" width="18.33203125" customWidth="1"/>
    <col min="46" max="46" width="11.5546875" customWidth="1"/>
    <col min="55" max="55" width="18.6640625" customWidth="1"/>
    <col min="61" max="61" width="17.33203125" bestFit="1" customWidth="1"/>
  </cols>
  <sheetData>
    <row r="1" spans="1:31" ht="15" customHeight="1" thickBot="1" x14ac:dyDescent="0.35">
      <c r="A1" s="691" t="s">
        <v>15</v>
      </c>
      <c r="B1" s="692"/>
      <c r="C1" s="692"/>
      <c r="D1" s="692"/>
      <c r="E1" s="692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31" ht="15" customHeight="1" x14ac:dyDescent="0.3">
      <c r="A2" s="693"/>
      <c r="B2" s="694"/>
      <c r="C2" s="694"/>
      <c r="D2" s="694"/>
      <c r="E2" s="694"/>
      <c r="F2" s="695" t="s">
        <v>6</v>
      </c>
      <c r="G2" s="696"/>
      <c r="H2" s="696"/>
      <c r="I2" s="697"/>
      <c r="J2" s="633" t="s">
        <v>8</v>
      </c>
      <c r="K2" s="634"/>
      <c r="L2" s="634"/>
      <c r="M2" s="634"/>
      <c r="N2" s="635"/>
      <c r="O2" s="684" t="s">
        <v>257</v>
      </c>
      <c r="P2" s="685"/>
      <c r="Q2" s="685"/>
      <c r="R2" s="685"/>
      <c r="S2" s="686"/>
      <c r="U2" s="673" t="s">
        <v>41</v>
      </c>
      <c r="V2" s="674"/>
      <c r="W2" s="675"/>
      <c r="Y2" s="676" t="s">
        <v>42</v>
      </c>
      <c r="Z2" s="677"/>
      <c r="AA2" s="678"/>
      <c r="AC2" s="666" t="s">
        <v>22</v>
      </c>
      <c r="AD2" s="667"/>
      <c r="AE2" s="668"/>
    </row>
    <row r="3" spans="1:31" ht="32.25" customHeight="1" thickBot="1" x14ac:dyDescent="0.35">
      <c r="A3" s="251" t="s">
        <v>12</v>
      </c>
      <c r="B3" s="31" t="s">
        <v>13</v>
      </c>
      <c r="C3" s="235" t="s">
        <v>14</v>
      </c>
      <c r="D3" s="31" t="s">
        <v>0</v>
      </c>
      <c r="E3" s="32" t="s">
        <v>1</v>
      </c>
      <c r="F3" s="33" t="s">
        <v>3</v>
      </c>
      <c r="G3" s="34" t="s">
        <v>2</v>
      </c>
      <c r="H3" s="34" t="s">
        <v>4</v>
      </c>
      <c r="I3" s="35" t="s">
        <v>5</v>
      </c>
      <c r="J3" s="36" t="s">
        <v>128</v>
      </c>
      <c r="K3" s="37" t="s">
        <v>7</v>
      </c>
      <c r="L3" s="37" t="s">
        <v>2</v>
      </c>
      <c r="M3" s="37" t="s">
        <v>4</v>
      </c>
      <c r="N3" s="38" t="s">
        <v>5</v>
      </c>
      <c r="O3" s="39" t="s">
        <v>128</v>
      </c>
      <c r="P3" s="40" t="s">
        <v>7</v>
      </c>
      <c r="Q3" s="40" t="s">
        <v>2</v>
      </c>
      <c r="R3" s="40" t="s">
        <v>4</v>
      </c>
      <c r="S3" s="41" t="s">
        <v>5</v>
      </c>
      <c r="U3" s="671">
        <f>I27+I60+I87+I100+I113+I132+I146+I44+I73</f>
        <v>1.3347562500000001</v>
      </c>
      <c r="V3" s="672"/>
      <c r="W3" s="80" t="s">
        <v>23</v>
      </c>
      <c r="Y3" s="679">
        <f>N27+N60+N87+N100+N113+N132+N146+N44+N73</f>
        <v>0.33368906250000002</v>
      </c>
      <c r="Z3" s="680"/>
      <c r="AA3" s="81" t="s">
        <v>23</v>
      </c>
      <c r="AC3" s="669">
        <f>S27+S60+S87+S100+S113+S132+S146+S44+S73</f>
        <v>0.30086718750000002</v>
      </c>
      <c r="AD3" s="670"/>
      <c r="AE3" s="79" t="s">
        <v>23</v>
      </c>
    </row>
    <row r="4" spans="1:31" ht="15" thickBot="1" x14ac:dyDescent="0.35">
      <c r="B4">
        <f>B27+B44+B60+B73+B87+B100+B113+B132+B146</f>
        <v>37</v>
      </c>
    </row>
    <row r="5" spans="1:31" ht="15" customHeight="1" x14ac:dyDescent="0.3">
      <c r="A5" s="689" t="s">
        <v>156</v>
      </c>
      <c r="B5" s="689"/>
      <c r="C5" s="689"/>
      <c r="D5" s="689"/>
      <c r="E5" s="124"/>
      <c r="F5" s="636" t="s">
        <v>83</v>
      </c>
      <c r="G5" s="636"/>
      <c r="H5" s="636"/>
      <c r="I5" s="636"/>
      <c r="J5" s="636"/>
      <c r="K5" s="2"/>
      <c r="L5" s="2"/>
      <c r="M5" s="2"/>
      <c r="N5" s="2"/>
      <c r="O5" s="2"/>
      <c r="P5" s="2"/>
      <c r="Q5" s="2"/>
      <c r="R5" s="2"/>
      <c r="S5" s="5"/>
    </row>
    <row r="6" spans="1:31" ht="15" customHeight="1" x14ac:dyDescent="0.3">
      <c r="A6" s="690"/>
      <c r="B6" s="690"/>
      <c r="C6" s="690"/>
      <c r="D6" s="690"/>
      <c r="E6" s="125"/>
      <c r="F6" s="637"/>
      <c r="G6" s="637"/>
      <c r="H6" s="637"/>
      <c r="I6" s="637"/>
      <c r="J6" s="637"/>
      <c r="K6" s="29"/>
      <c r="L6" s="29"/>
      <c r="M6" s="29"/>
      <c r="N6" s="29"/>
      <c r="O6" s="29"/>
      <c r="P6" s="29"/>
      <c r="Q6" s="29"/>
      <c r="R6" s="29"/>
      <c r="S6" s="30"/>
    </row>
    <row r="7" spans="1:31" ht="15" customHeight="1" x14ac:dyDescent="0.3">
      <c r="A7" s="250">
        <f>VLOOKUP($D7,Reporting!$D:$T,MATCH($A$5,Reporting!$E$4:$L$4,0)+1,FALSE)</f>
        <v>0</v>
      </c>
      <c r="B7" s="250">
        <f>VLOOKUP($D7,Reporting!$D:$T,MATCH($A$5,Reporting!$V$4:$AC$4,0)+9,FALSE)</f>
        <v>0</v>
      </c>
      <c r="C7" s="236">
        <f t="shared" ref="C7:C12" si="0">(B7*0.25)+A7</f>
        <v>0</v>
      </c>
      <c r="D7" s="262" t="s">
        <v>371</v>
      </c>
      <c r="E7" s="96">
        <v>0.08</v>
      </c>
      <c r="F7" s="6">
        <v>0.61</v>
      </c>
      <c r="G7" s="7">
        <f t="shared" ref="G7:G12" si="1">E7*F7</f>
        <v>4.8800000000000003E-2</v>
      </c>
      <c r="H7" s="7">
        <f>C7*G7</f>
        <v>0</v>
      </c>
      <c r="I7" s="8">
        <f t="shared" ref="I7:I12" si="2">H7/8</f>
        <v>0</v>
      </c>
      <c r="J7" s="9">
        <f>E7*0.25</f>
        <v>0.02</v>
      </c>
      <c r="K7" s="10">
        <v>0.61</v>
      </c>
      <c r="L7" s="10">
        <f t="shared" ref="L7:L12" si="3">J7*K7</f>
        <v>1.2200000000000001E-2</v>
      </c>
      <c r="M7" s="10">
        <f>C7*L7</f>
        <v>0</v>
      </c>
      <c r="N7" s="11">
        <f t="shared" ref="N7:N12" si="4">M7/8</f>
        <v>0</v>
      </c>
      <c r="O7" s="12">
        <f t="shared" ref="O7:O12" si="5">J7</f>
        <v>0.02</v>
      </c>
      <c r="P7" s="13">
        <v>0.55000000000000004</v>
      </c>
      <c r="Q7" s="13">
        <f t="shared" ref="Q7:Q12" si="6">O7*P7</f>
        <v>1.1000000000000001E-2</v>
      </c>
      <c r="R7" s="13">
        <f>C7*Q7</f>
        <v>0</v>
      </c>
      <c r="S7" s="14">
        <f t="shared" ref="S7:S12" si="7">R7/8</f>
        <v>0</v>
      </c>
    </row>
    <row r="8" spans="1:31" ht="15" customHeight="1" x14ac:dyDescent="0.3">
      <c r="A8" s="250">
        <f>VLOOKUP($D8,Reporting!$D:$T,MATCH($A$5,Reporting!$E$4:$L$4,0)+1,FALSE)</f>
        <v>0</v>
      </c>
      <c r="B8" s="250">
        <f>VLOOKUP($D8,Reporting!$D:$T,MATCH($A$5,Reporting!$V$4:$AC$4,0)+9,FALSE)</f>
        <v>0</v>
      </c>
      <c r="C8" s="236">
        <f t="shared" si="0"/>
        <v>0</v>
      </c>
      <c r="D8" s="262" t="s">
        <v>372</v>
      </c>
      <c r="E8" s="96">
        <v>0.09</v>
      </c>
      <c r="F8" s="6">
        <v>0.61</v>
      </c>
      <c r="G8" s="7">
        <f t="shared" si="1"/>
        <v>5.4899999999999997E-2</v>
      </c>
      <c r="H8" s="7">
        <f t="shared" ref="H8:H26" si="8">C8*G8</f>
        <v>0</v>
      </c>
      <c r="I8" s="8">
        <f t="shared" si="2"/>
        <v>0</v>
      </c>
      <c r="J8" s="9">
        <f t="shared" ref="J8:J26" si="9">E8*0.25</f>
        <v>2.2499999999999999E-2</v>
      </c>
      <c r="K8" s="10">
        <v>0.61</v>
      </c>
      <c r="L8" s="10">
        <f t="shared" si="3"/>
        <v>1.3724999999999999E-2</v>
      </c>
      <c r="M8" s="10">
        <f t="shared" ref="M8:M26" si="10">C8*L8</f>
        <v>0</v>
      </c>
      <c r="N8" s="11">
        <f t="shared" si="4"/>
        <v>0</v>
      </c>
      <c r="O8" s="12">
        <f t="shared" si="5"/>
        <v>2.2499999999999999E-2</v>
      </c>
      <c r="P8" s="13">
        <v>0.55000000000000004</v>
      </c>
      <c r="Q8" s="13">
        <f t="shared" si="6"/>
        <v>1.2375000000000001E-2</v>
      </c>
      <c r="R8" s="13">
        <f t="shared" ref="R8:R26" si="11">C8*Q8</f>
        <v>0</v>
      </c>
      <c r="S8" s="14">
        <f t="shared" si="7"/>
        <v>0</v>
      </c>
    </row>
    <row r="9" spans="1:31" ht="15" customHeight="1" x14ac:dyDescent="0.3">
      <c r="A9" s="250">
        <f>VLOOKUP($D9,Reporting!$D:$T,MATCH($A$5,Reporting!$E$4:$L$4,0)+1,FALSE)</f>
        <v>0</v>
      </c>
      <c r="B9" s="250">
        <f>VLOOKUP($D9,Reporting!$D:$T,MATCH($A$5,Reporting!$V$4:$AC$4,0)+9,FALSE)</f>
        <v>0</v>
      </c>
      <c r="C9" s="236">
        <f t="shared" si="0"/>
        <v>0</v>
      </c>
      <c r="D9" s="262" t="s">
        <v>389</v>
      </c>
      <c r="E9" s="96">
        <v>0.11</v>
      </c>
      <c r="F9" s="6">
        <v>0.61</v>
      </c>
      <c r="G9" s="7">
        <f t="shared" si="1"/>
        <v>6.7099999999999993E-2</v>
      </c>
      <c r="H9" s="7">
        <f t="shared" si="8"/>
        <v>0</v>
      </c>
      <c r="I9" s="8">
        <f t="shared" si="2"/>
        <v>0</v>
      </c>
      <c r="J9" s="9">
        <f t="shared" si="9"/>
        <v>2.75E-2</v>
      </c>
      <c r="K9" s="10">
        <v>0.61</v>
      </c>
      <c r="L9" s="10">
        <f t="shared" si="3"/>
        <v>1.6774999999999998E-2</v>
      </c>
      <c r="M9" s="10">
        <f t="shared" si="10"/>
        <v>0</v>
      </c>
      <c r="N9" s="11">
        <f t="shared" si="4"/>
        <v>0</v>
      </c>
      <c r="O9" s="12">
        <f t="shared" si="5"/>
        <v>2.75E-2</v>
      </c>
      <c r="P9" s="13">
        <v>0.55000000000000004</v>
      </c>
      <c r="Q9" s="13">
        <f t="shared" si="6"/>
        <v>1.5125000000000001E-2</v>
      </c>
      <c r="R9" s="13">
        <f t="shared" si="11"/>
        <v>0</v>
      </c>
      <c r="S9" s="14">
        <f t="shared" si="7"/>
        <v>0</v>
      </c>
    </row>
    <row r="10" spans="1:31" ht="15" customHeight="1" x14ac:dyDescent="0.3">
      <c r="A10" s="250">
        <f>VLOOKUP($D10,Reporting!$D:$T,MATCH($A$5,Reporting!$E$4:$L$4,0)+1,FALSE)</f>
        <v>0</v>
      </c>
      <c r="B10" s="250">
        <f>VLOOKUP($D10,Reporting!$D:$T,MATCH($A$5,Reporting!$V$4:$AC$4,0)+9,FALSE)</f>
        <v>0</v>
      </c>
      <c r="C10" s="236">
        <f t="shared" si="0"/>
        <v>0</v>
      </c>
      <c r="D10" s="262" t="s">
        <v>373</v>
      </c>
      <c r="E10" s="96">
        <v>0.13</v>
      </c>
      <c r="F10" s="6">
        <v>0.61</v>
      </c>
      <c r="G10" s="7">
        <f t="shared" si="1"/>
        <v>7.9299999999999995E-2</v>
      </c>
      <c r="H10" s="7">
        <f t="shared" si="8"/>
        <v>0</v>
      </c>
      <c r="I10" s="8">
        <f t="shared" si="2"/>
        <v>0</v>
      </c>
      <c r="J10" s="9">
        <f t="shared" si="9"/>
        <v>3.2500000000000001E-2</v>
      </c>
      <c r="K10" s="10">
        <v>0.61</v>
      </c>
      <c r="L10" s="10">
        <f t="shared" si="3"/>
        <v>1.9824999999999999E-2</v>
      </c>
      <c r="M10" s="10">
        <f t="shared" si="10"/>
        <v>0</v>
      </c>
      <c r="N10" s="11">
        <f t="shared" si="4"/>
        <v>0</v>
      </c>
      <c r="O10" s="12">
        <f t="shared" si="5"/>
        <v>3.2500000000000001E-2</v>
      </c>
      <c r="P10" s="13">
        <v>0.55000000000000004</v>
      </c>
      <c r="Q10" s="13">
        <f t="shared" si="6"/>
        <v>1.7875000000000002E-2</v>
      </c>
      <c r="R10" s="13">
        <f t="shared" si="11"/>
        <v>0</v>
      </c>
      <c r="S10" s="14">
        <f t="shared" si="7"/>
        <v>0</v>
      </c>
    </row>
    <row r="11" spans="1:31" ht="15" customHeight="1" x14ac:dyDescent="0.3">
      <c r="A11" s="250">
        <f>VLOOKUP($D11,Reporting!$D:$T,MATCH($A$5,Reporting!$E$4:$L$4,0)+1,FALSE)</f>
        <v>0</v>
      </c>
      <c r="B11" s="250">
        <f>VLOOKUP($D11,Reporting!$D:$T,MATCH($A$5,Reporting!$V$4:$AC$4,0)+9,FALSE)</f>
        <v>0</v>
      </c>
      <c r="C11" s="236">
        <f t="shared" si="0"/>
        <v>0</v>
      </c>
      <c r="D11" s="262" t="s">
        <v>374</v>
      </c>
      <c r="E11" s="96">
        <v>0.14000000000000001</v>
      </c>
      <c r="F11" s="6">
        <v>0.61</v>
      </c>
      <c r="G11" s="7">
        <f t="shared" si="1"/>
        <v>8.5400000000000004E-2</v>
      </c>
      <c r="H11" s="7">
        <f t="shared" si="8"/>
        <v>0</v>
      </c>
      <c r="I11" s="8">
        <f t="shared" si="2"/>
        <v>0</v>
      </c>
      <c r="J11" s="9">
        <f t="shared" si="9"/>
        <v>3.5000000000000003E-2</v>
      </c>
      <c r="K11" s="10">
        <v>0.61</v>
      </c>
      <c r="L11" s="10">
        <f t="shared" si="3"/>
        <v>2.1350000000000001E-2</v>
      </c>
      <c r="M11" s="10">
        <f t="shared" si="10"/>
        <v>0</v>
      </c>
      <c r="N11" s="11">
        <f t="shared" si="4"/>
        <v>0</v>
      </c>
      <c r="O11" s="12">
        <f t="shared" si="5"/>
        <v>3.5000000000000003E-2</v>
      </c>
      <c r="P11" s="13">
        <v>0.55000000000000004</v>
      </c>
      <c r="Q11" s="13">
        <f t="shared" si="6"/>
        <v>1.9250000000000003E-2</v>
      </c>
      <c r="R11" s="13">
        <f t="shared" si="11"/>
        <v>0</v>
      </c>
      <c r="S11" s="14">
        <f t="shared" si="7"/>
        <v>0</v>
      </c>
    </row>
    <row r="12" spans="1:31" ht="15.75" customHeight="1" x14ac:dyDescent="0.3">
      <c r="A12" s="250">
        <f>VLOOKUP($D12,Reporting!$D:$T,MATCH($A$5,Reporting!$E$4:$L$4,0)+1,FALSE)</f>
        <v>0</v>
      </c>
      <c r="B12" s="250">
        <f>VLOOKUP($D12,Reporting!$D:$T,MATCH($A$5,Reporting!$V$4:$AC$4,0)+9,FALSE)</f>
        <v>0</v>
      </c>
      <c r="C12" s="236">
        <f t="shared" si="0"/>
        <v>0</v>
      </c>
      <c r="D12" s="266" t="s">
        <v>390</v>
      </c>
      <c r="E12" s="97">
        <v>0.18</v>
      </c>
      <c r="F12" s="6">
        <v>0.61</v>
      </c>
      <c r="G12" s="7">
        <f t="shared" si="1"/>
        <v>0.10979999999999999</v>
      </c>
      <c r="H12" s="7">
        <f t="shared" si="8"/>
        <v>0</v>
      </c>
      <c r="I12" s="8">
        <f t="shared" si="2"/>
        <v>0</v>
      </c>
      <c r="J12" s="9">
        <f t="shared" si="9"/>
        <v>4.4999999999999998E-2</v>
      </c>
      <c r="K12" s="10">
        <v>0.61</v>
      </c>
      <c r="L12" s="10">
        <f t="shared" si="3"/>
        <v>2.7449999999999999E-2</v>
      </c>
      <c r="M12" s="10">
        <f t="shared" si="10"/>
        <v>0</v>
      </c>
      <c r="N12" s="11">
        <f t="shared" si="4"/>
        <v>0</v>
      </c>
      <c r="O12" s="12">
        <f t="shared" si="5"/>
        <v>4.4999999999999998E-2</v>
      </c>
      <c r="P12" s="13">
        <v>0.55000000000000004</v>
      </c>
      <c r="Q12" s="13">
        <f t="shared" si="6"/>
        <v>2.4750000000000001E-2</v>
      </c>
      <c r="R12" s="13">
        <f t="shared" si="11"/>
        <v>0</v>
      </c>
      <c r="S12" s="14">
        <f t="shared" si="7"/>
        <v>0</v>
      </c>
    </row>
    <row r="13" spans="1:31" x14ac:dyDescent="0.3">
      <c r="A13" s="250">
        <f>VLOOKUP($D13,Reporting!$D:$T,MATCH($A$5,Reporting!$E$4:$L$4,0)+1,FALSE)</f>
        <v>0</v>
      </c>
      <c r="B13" s="250">
        <f>VLOOKUP($D13,Reporting!$D:$T,MATCH($A$5,Reporting!$V$4:$AC$4,0)+9,FALSE)</f>
        <v>0</v>
      </c>
      <c r="C13" s="236">
        <f>(B13*0.5)+A13</f>
        <v>0</v>
      </c>
      <c r="D13" s="266" t="s">
        <v>376</v>
      </c>
      <c r="E13" s="97">
        <v>0.23</v>
      </c>
      <c r="F13" s="6">
        <v>0.61</v>
      </c>
      <c r="G13" s="7">
        <f t="shared" ref="G13:G26" si="12">E13*F13</f>
        <v>0.14030000000000001</v>
      </c>
      <c r="H13" s="7">
        <f t="shared" si="8"/>
        <v>0</v>
      </c>
      <c r="I13" s="8">
        <f t="shared" ref="I13:I26" si="13">H13/8</f>
        <v>0</v>
      </c>
      <c r="J13" s="9">
        <f t="shared" si="9"/>
        <v>5.7500000000000002E-2</v>
      </c>
      <c r="K13" s="10">
        <v>0.61</v>
      </c>
      <c r="L13" s="10">
        <f t="shared" ref="L13:L26" si="14">J13*K13</f>
        <v>3.5075000000000002E-2</v>
      </c>
      <c r="M13" s="10">
        <f t="shared" si="10"/>
        <v>0</v>
      </c>
      <c r="N13" s="11">
        <f t="shared" ref="N13:N26" si="15">M13/8</f>
        <v>0</v>
      </c>
      <c r="O13" s="12">
        <f t="shared" ref="O13:O26" si="16">J13</f>
        <v>5.7500000000000002E-2</v>
      </c>
      <c r="P13" s="13">
        <v>0.55000000000000004</v>
      </c>
      <c r="Q13" s="13">
        <f t="shared" ref="Q13:Q26" si="17">O13*P13</f>
        <v>3.1625000000000007E-2</v>
      </c>
      <c r="R13" s="13">
        <f t="shared" si="11"/>
        <v>0</v>
      </c>
      <c r="S13" s="14">
        <f t="shared" ref="S13:S26" si="18">R13/8</f>
        <v>0</v>
      </c>
    </row>
    <row r="14" spans="1:31" x14ac:dyDescent="0.3">
      <c r="A14" s="250">
        <f>VLOOKUP($D14,Reporting!$D:$T,MATCH($A$5,Reporting!$E$4:$L$4,0)+1,FALSE)</f>
        <v>0</v>
      </c>
      <c r="B14" s="250">
        <f>VLOOKUP($D14,Reporting!$D:$T,MATCH($A$5,Reporting!$V$4:$AC$4,0)+9,FALSE)</f>
        <v>0</v>
      </c>
      <c r="C14" s="236">
        <f>(B14*0.5)+A14</f>
        <v>0</v>
      </c>
      <c r="D14" s="266" t="s">
        <v>391</v>
      </c>
      <c r="E14" s="97">
        <v>0.26</v>
      </c>
      <c r="F14" s="6">
        <v>0.61</v>
      </c>
      <c r="G14" s="7">
        <f t="shared" si="12"/>
        <v>0.15859999999999999</v>
      </c>
      <c r="H14" s="7">
        <f t="shared" si="8"/>
        <v>0</v>
      </c>
      <c r="I14" s="8">
        <f t="shared" si="13"/>
        <v>0</v>
      </c>
      <c r="J14" s="9">
        <f t="shared" si="9"/>
        <v>6.5000000000000002E-2</v>
      </c>
      <c r="K14" s="10">
        <v>0.61</v>
      </c>
      <c r="L14" s="10">
        <f t="shared" si="14"/>
        <v>3.9649999999999998E-2</v>
      </c>
      <c r="M14" s="10">
        <f t="shared" si="10"/>
        <v>0</v>
      </c>
      <c r="N14" s="11">
        <f t="shared" si="15"/>
        <v>0</v>
      </c>
      <c r="O14" s="12">
        <f t="shared" si="16"/>
        <v>6.5000000000000002E-2</v>
      </c>
      <c r="P14" s="13">
        <v>0.55000000000000004</v>
      </c>
      <c r="Q14" s="13">
        <f t="shared" si="17"/>
        <v>3.5750000000000004E-2</v>
      </c>
      <c r="R14" s="13">
        <f t="shared" si="11"/>
        <v>0</v>
      </c>
      <c r="S14" s="14">
        <f t="shared" si="18"/>
        <v>0</v>
      </c>
    </row>
    <row r="15" spans="1:31" x14ac:dyDescent="0.3">
      <c r="A15" s="250">
        <f>VLOOKUP($D15,Reporting!$D:$T,MATCH($A$5,Reporting!$E$4:$L$4,0)+1,FALSE)</f>
        <v>0</v>
      </c>
      <c r="B15" s="250">
        <f>VLOOKUP($D15,Reporting!$D:$T,MATCH($A$5,Reporting!$V$4:$AC$4,0)+9,FALSE)</f>
        <v>0</v>
      </c>
      <c r="C15" s="236">
        <f>(B15*0.5)+A15</f>
        <v>0</v>
      </c>
      <c r="D15" s="266" t="s">
        <v>392</v>
      </c>
      <c r="E15" s="97">
        <v>0.32</v>
      </c>
      <c r="F15" s="6">
        <v>0.61</v>
      </c>
      <c r="G15" s="7">
        <f t="shared" si="12"/>
        <v>0.19520000000000001</v>
      </c>
      <c r="H15" s="7">
        <f t="shared" si="8"/>
        <v>0</v>
      </c>
      <c r="I15" s="8">
        <f t="shared" si="13"/>
        <v>0</v>
      </c>
      <c r="J15" s="9">
        <f t="shared" si="9"/>
        <v>0.08</v>
      </c>
      <c r="K15" s="10">
        <v>0.61</v>
      </c>
      <c r="L15" s="10">
        <f t="shared" si="14"/>
        <v>4.8800000000000003E-2</v>
      </c>
      <c r="M15" s="10">
        <f t="shared" si="10"/>
        <v>0</v>
      </c>
      <c r="N15" s="11">
        <f t="shared" si="15"/>
        <v>0</v>
      </c>
      <c r="O15" s="12">
        <f t="shared" si="16"/>
        <v>0.08</v>
      </c>
      <c r="P15" s="13">
        <v>0.55000000000000004</v>
      </c>
      <c r="Q15" s="13">
        <f t="shared" si="17"/>
        <v>4.4000000000000004E-2</v>
      </c>
      <c r="R15" s="13">
        <f t="shared" si="11"/>
        <v>0</v>
      </c>
      <c r="S15" s="14">
        <f t="shared" si="18"/>
        <v>0</v>
      </c>
    </row>
    <row r="16" spans="1:31" x14ac:dyDescent="0.3">
      <c r="A16" s="250">
        <f>VLOOKUP($D16,Reporting!$D:$T,MATCH($A$5,Reporting!$E$4:$L$4,0)+1,FALSE)</f>
        <v>0</v>
      </c>
      <c r="B16" s="250">
        <f>VLOOKUP($D16,Reporting!$D:$T,MATCH($A$5,Reporting!$V$4:$AC$4,0)+9,FALSE)</f>
        <v>0</v>
      </c>
      <c r="C16" s="236">
        <f>(B16*0.75)+A16</f>
        <v>0</v>
      </c>
      <c r="D16" s="266" t="s">
        <v>393</v>
      </c>
      <c r="E16" s="97">
        <v>0.39</v>
      </c>
      <c r="F16" s="6">
        <v>0.61</v>
      </c>
      <c r="G16" s="7">
        <f t="shared" si="12"/>
        <v>0.2379</v>
      </c>
      <c r="H16" s="7">
        <f t="shared" si="8"/>
        <v>0</v>
      </c>
      <c r="I16" s="8">
        <f t="shared" si="13"/>
        <v>0</v>
      </c>
      <c r="J16" s="9">
        <f t="shared" si="9"/>
        <v>9.7500000000000003E-2</v>
      </c>
      <c r="K16" s="10">
        <v>0.61</v>
      </c>
      <c r="L16" s="10">
        <f t="shared" si="14"/>
        <v>5.9475E-2</v>
      </c>
      <c r="M16" s="10">
        <f t="shared" si="10"/>
        <v>0</v>
      </c>
      <c r="N16" s="11">
        <f t="shared" si="15"/>
        <v>0</v>
      </c>
      <c r="O16" s="12">
        <f t="shared" si="16"/>
        <v>9.7500000000000003E-2</v>
      </c>
      <c r="P16" s="13">
        <v>0.55000000000000004</v>
      </c>
      <c r="Q16" s="13">
        <f t="shared" si="17"/>
        <v>5.3625000000000006E-2</v>
      </c>
      <c r="R16" s="13">
        <f t="shared" si="11"/>
        <v>0</v>
      </c>
      <c r="S16" s="14">
        <f t="shared" si="18"/>
        <v>0</v>
      </c>
    </row>
    <row r="17" spans="1:19" x14ac:dyDescent="0.3">
      <c r="A17" s="250">
        <f>VLOOKUP($D17,Reporting!$D:$T,MATCH($A$5,Reporting!$E$4:$L$4,0)+1,FALSE)</f>
        <v>0</v>
      </c>
      <c r="B17" s="250">
        <f>VLOOKUP($D17,Reporting!$D:$T,MATCH($A$5,Reporting!$V$4:$AC$4,0)+9,FALSE)</f>
        <v>0</v>
      </c>
      <c r="C17" s="236">
        <f>(B17*0.75)+A17</f>
        <v>0</v>
      </c>
      <c r="D17" s="266" t="s">
        <v>394</v>
      </c>
      <c r="E17" s="97">
        <v>0.44</v>
      </c>
      <c r="F17" s="6">
        <v>0.61</v>
      </c>
      <c r="G17" s="7">
        <f t="shared" si="12"/>
        <v>0.26839999999999997</v>
      </c>
      <c r="H17" s="7">
        <f t="shared" si="8"/>
        <v>0</v>
      </c>
      <c r="I17" s="8">
        <f t="shared" si="13"/>
        <v>0</v>
      </c>
      <c r="J17" s="9">
        <f t="shared" si="9"/>
        <v>0.11</v>
      </c>
      <c r="K17" s="10">
        <v>0.61</v>
      </c>
      <c r="L17" s="10">
        <f t="shared" si="14"/>
        <v>6.7099999999999993E-2</v>
      </c>
      <c r="M17" s="10">
        <f t="shared" si="10"/>
        <v>0</v>
      </c>
      <c r="N17" s="11">
        <f t="shared" si="15"/>
        <v>0</v>
      </c>
      <c r="O17" s="12">
        <f t="shared" si="16"/>
        <v>0.11</v>
      </c>
      <c r="P17" s="13">
        <v>0.55000000000000004</v>
      </c>
      <c r="Q17" s="13">
        <f t="shared" si="17"/>
        <v>6.0500000000000005E-2</v>
      </c>
      <c r="R17" s="13">
        <f t="shared" si="11"/>
        <v>0</v>
      </c>
      <c r="S17" s="14">
        <f t="shared" si="18"/>
        <v>0</v>
      </c>
    </row>
    <row r="18" spans="1:19" x14ac:dyDescent="0.3">
      <c r="A18" s="250">
        <f>VLOOKUP($D18,Reporting!$D:$T,MATCH($A$5,Reporting!$E$4:$L$4,0)+1,FALSE)</f>
        <v>0</v>
      </c>
      <c r="B18" s="250">
        <f>VLOOKUP($D18,Reporting!$D:$T,MATCH($A$5,Reporting!$V$4:$AC$4,0)+9,FALSE)</f>
        <v>0</v>
      </c>
      <c r="C18" s="236">
        <f>(B18*1)+A18</f>
        <v>0</v>
      </c>
      <c r="D18" s="266" t="s">
        <v>395</v>
      </c>
      <c r="E18" s="97">
        <v>0.54</v>
      </c>
      <c r="F18" s="6">
        <v>0.61</v>
      </c>
      <c r="G18" s="7">
        <f t="shared" si="12"/>
        <v>0.32940000000000003</v>
      </c>
      <c r="H18" s="7">
        <f t="shared" si="8"/>
        <v>0</v>
      </c>
      <c r="I18" s="8">
        <f t="shared" si="13"/>
        <v>0</v>
      </c>
      <c r="J18" s="9">
        <f t="shared" si="9"/>
        <v>0.13500000000000001</v>
      </c>
      <c r="K18" s="10">
        <v>0.61</v>
      </c>
      <c r="L18" s="10">
        <f t="shared" si="14"/>
        <v>8.2350000000000007E-2</v>
      </c>
      <c r="M18" s="10">
        <f t="shared" si="10"/>
        <v>0</v>
      </c>
      <c r="N18" s="11">
        <f t="shared" si="15"/>
        <v>0</v>
      </c>
      <c r="O18" s="12">
        <f t="shared" si="16"/>
        <v>0.13500000000000001</v>
      </c>
      <c r="P18" s="13">
        <v>0.55000000000000004</v>
      </c>
      <c r="Q18" s="13">
        <f t="shared" si="17"/>
        <v>7.425000000000001E-2</v>
      </c>
      <c r="R18" s="13">
        <f t="shared" si="11"/>
        <v>0</v>
      </c>
      <c r="S18" s="14">
        <f t="shared" si="18"/>
        <v>0</v>
      </c>
    </row>
    <row r="19" spans="1:19" x14ac:dyDescent="0.3">
      <c r="A19" s="250">
        <f>VLOOKUP($D19,Reporting!$D:$T,MATCH($A$5,Reporting!$E$4:$L$4,0)+1,FALSE)</f>
        <v>0</v>
      </c>
      <c r="B19" s="250">
        <f>VLOOKUP($D19,Reporting!$D:$T,MATCH($A$5,Reporting!$V$4:$AC$4,0)+9,FALSE)</f>
        <v>0</v>
      </c>
      <c r="C19" s="236">
        <f>(B19*1)+A19</f>
        <v>0</v>
      </c>
      <c r="D19" s="266" t="s">
        <v>396</v>
      </c>
      <c r="E19" s="97">
        <v>0.66</v>
      </c>
      <c r="F19" s="6">
        <v>0.61</v>
      </c>
      <c r="G19" s="7">
        <f t="shared" si="12"/>
        <v>0.40260000000000001</v>
      </c>
      <c r="H19" s="7">
        <f t="shared" si="8"/>
        <v>0</v>
      </c>
      <c r="I19" s="8">
        <f t="shared" si="13"/>
        <v>0</v>
      </c>
      <c r="J19" s="9">
        <f t="shared" si="9"/>
        <v>0.16500000000000001</v>
      </c>
      <c r="K19" s="10">
        <v>0.61</v>
      </c>
      <c r="L19" s="10">
        <f t="shared" si="14"/>
        <v>0.10065</v>
      </c>
      <c r="M19" s="10">
        <f t="shared" si="10"/>
        <v>0</v>
      </c>
      <c r="N19" s="11">
        <f t="shared" si="15"/>
        <v>0</v>
      </c>
      <c r="O19" s="12">
        <f t="shared" si="16"/>
        <v>0.16500000000000001</v>
      </c>
      <c r="P19" s="13">
        <v>0.55000000000000004</v>
      </c>
      <c r="Q19" s="13">
        <f t="shared" si="17"/>
        <v>9.0750000000000011E-2</v>
      </c>
      <c r="R19" s="13">
        <f t="shared" si="11"/>
        <v>0</v>
      </c>
      <c r="S19" s="14">
        <f t="shared" si="18"/>
        <v>0</v>
      </c>
    </row>
    <row r="20" spans="1:19" x14ac:dyDescent="0.3">
      <c r="A20" s="250">
        <f>VLOOKUP($D20,Reporting!$D:$T,MATCH($A$5,Reporting!$E$4:$L$4,0)+1,FALSE)</f>
        <v>0</v>
      </c>
      <c r="B20" s="250">
        <f>VLOOKUP($D20,Reporting!$D:$T,MATCH($A$5,Reporting!$V$4:$AC$4,0)+9,FALSE)</f>
        <v>0</v>
      </c>
      <c r="C20" s="236">
        <f>(B20*1)+A20</f>
        <v>0</v>
      </c>
      <c r="D20" s="266" t="s">
        <v>397</v>
      </c>
      <c r="E20" s="97">
        <v>0.77</v>
      </c>
      <c r="F20" s="6">
        <v>0.61</v>
      </c>
      <c r="G20" s="7">
        <f t="shared" si="12"/>
        <v>0.46970000000000001</v>
      </c>
      <c r="H20" s="7">
        <f t="shared" si="8"/>
        <v>0</v>
      </c>
      <c r="I20" s="8">
        <f t="shared" si="13"/>
        <v>0</v>
      </c>
      <c r="J20" s="9">
        <f t="shared" si="9"/>
        <v>0.1925</v>
      </c>
      <c r="K20" s="10">
        <v>0.61</v>
      </c>
      <c r="L20" s="10">
        <f t="shared" si="14"/>
        <v>0.117425</v>
      </c>
      <c r="M20" s="10">
        <f t="shared" si="10"/>
        <v>0</v>
      </c>
      <c r="N20" s="11">
        <f t="shared" si="15"/>
        <v>0</v>
      </c>
      <c r="O20" s="12">
        <f t="shared" si="16"/>
        <v>0.1925</v>
      </c>
      <c r="P20" s="13">
        <v>0.55000000000000004</v>
      </c>
      <c r="Q20" s="13">
        <f t="shared" si="17"/>
        <v>0.10587500000000001</v>
      </c>
      <c r="R20" s="13">
        <f t="shared" si="11"/>
        <v>0</v>
      </c>
      <c r="S20" s="14">
        <f t="shared" si="18"/>
        <v>0</v>
      </c>
    </row>
    <row r="21" spans="1:19" x14ac:dyDescent="0.3">
      <c r="A21" s="250">
        <f>VLOOKUP($D21,Reporting!$D:$T,MATCH($A$5,Reporting!$E$4:$L$4,0)+1,FALSE)</f>
        <v>0</v>
      </c>
      <c r="B21" s="250">
        <f>VLOOKUP($D21,Reporting!$D:$T,MATCH($A$5,Reporting!$V$4:$AC$4,0)+9,FALSE)</f>
        <v>0</v>
      </c>
      <c r="C21" s="236">
        <f>(B21*1)+A21</f>
        <v>0</v>
      </c>
      <c r="D21" s="266" t="s">
        <v>398</v>
      </c>
      <c r="E21" s="97">
        <v>0.83</v>
      </c>
      <c r="F21" s="6">
        <v>0.61</v>
      </c>
      <c r="G21" s="7">
        <f t="shared" si="12"/>
        <v>0.50629999999999997</v>
      </c>
      <c r="H21" s="7">
        <f t="shared" si="8"/>
        <v>0</v>
      </c>
      <c r="I21" s="8">
        <f t="shared" si="13"/>
        <v>0</v>
      </c>
      <c r="J21" s="9">
        <f t="shared" si="9"/>
        <v>0.20749999999999999</v>
      </c>
      <c r="K21" s="10">
        <v>0.61</v>
      </c>
      <c r="L21" s="10">
        <f t="shared" si="14"/>
        <v>0.12657499999999999</v>
      </c>
      <c r="M21" s="10">
        <f t="shared" si="10"/>
        <v>0</v>
      </c>
      <c r="N21" s="11">
        <f t="shared" si="15"/>
        <v>0</v>
      </c>
      <c r="O21" s="12">
        <f t="shared" si="16"/>
        <v>0.20749999999999999</v>
      </c>
      <c r="P21" s="13">
        <v>0.55000000000000004</v>
      </c>
      <c r="Q21" s="13">
        <f t="shared" si="17"/>
        <v>0.114125</v>
      </c>
      <c r="R21" s="13">
        <f t="shared" si="11"/>
        <v>0</v>
      </c>
      <c r="S21" s="14">
        <f t="shared" si="18"/>
        <v>0</v>
      </c>
    </row>
    <row r="22" spans="1:19" x14ac:dyDescent="0.3">
      <c r="A22" s="250">
        <f>VLOOKUP($D22,Reporting!$D:$T,MATCH($A$5,Reporting!$E$4:$L$4,0)+1,FALSE)</f>
        <v>0</v>
      </c>
      <c r="B22" s="250">
        <f>VLOOKUP($D22,Reporting!$D:$T,MATCH($A$5,Reporting!$V$4:$AC$4,0)+9,FALSE)</f>
        <v>0</v>
      </c>
      <c r="C22" s="236">
        <f>(B22*2)+A22</f>
        <v>0</v>
      </c>
      <c r="D22" s="266" t="s">
        <v>399</v>
      </c>
      <c r="E22" s="97">
        <v>0.89</v>
      </c>
      <c r="F22" s="6">
        <v>0.61</v>
      </c>
      <c r="G22" s="7">
        <f t="shared" si="12"/>
        <v>0.54290000000000005</v>
      </c>
      <c r="H22" s="7">
        <f t="shared" si="8"/>
        <v>0</v>
      </c>
      <c r="I22" s="8">
        <f t="shared" si="13"/>
        <v>0</v>
      </c>
      <c r="J22" s="9">
        <f t="shared" si="9"/>
        <v>0.2225</v>
      </c>
      <c r="K22" s="10">
        <v>0.61</v>
      </c>
      <c r="L22" s="10">
        <f t="shared" si="14"/>
        <v>0.13572500000000001</v>
      </c>
      <c r="M22" s="10">
        <f t="shared" si="10"/>
        <v>0</v>
      </c>
      <c r="N22" s="11">
        <f t="shared" si="15"/>
        <v>0</v>
      </c>
      <c r="O22" s="12">
        <f t="shared" si="16"/>
        <v>0.2225</v>
      </c>
      <c r="P22" s="13">
        <v>0.55000000000000004</v>
      </c>
      <c r="Q22" s="13">
        <f t="shared" si="17"/>
        <v>0.12237500000000001</v>
      </c>
      <c r="R22" s="13">
        <f t="shared" si="11"/>
        <v>0</v>
      </c>
      <c r="S22" s="14">
        <f t="shared" si="18"/>
        <v>0</v>
      </c>
    </row>
    <row r="23" spans="1:19" x14ac:dyDescent="0.3">
      <c r="A23" s="250">
        <f>VLOOKUP($D23,Reporting!$D:$T,MATCH($A$5,Reporting!$E$4:$L$4,0)+1,FALSE)</f>
        <v>0</v>
      </c>
      <c r="B23" s="250">
        <f>VLOOKUP($D23,Reporting!$D:$T,MATCH($A$5,Reporting!$V$4:$AC$4,0)+9,FALSE)</f>
        <v>0</v>
      </c>
      <c r="C23" s="236">
        <f>(B23*2)+A23</f>
        <v>0</v>
      </c>
      <c r="D23" s="266" t="s">
        <v>400</v>
      </c>
      <c r="E23" s="97">
        <v>0.95</v>
      </c>
      <c r="F23" s="6">
        <v>0.61</v>
      </c>
      <c r="G23" s="7">
        <f t="shared" si="12"/>
        <v>0.57950000000000002</v>
      </c>
      <c r="H23" s="7">
        <f t="shared" si="8"/>
        <v>0</v>
      </c>
      <c r="I23" s="8">
        <f t="shared" si="13"/>
        <v>0</v>
      </c>
      <c r="J23" s="9">
        <f t="shared" si="9"/>
        <v>0.23749999999999999</v>
      </c>
      <c r="K23" s="10">
        <v>0.61</v>
      </c>
      <c r="L23" s="10">
        <f t="shared" si="14"/>
        <v>0.144875</v>
      </c>
      <c r="M23" s="10">
        <f t="shared" si="10"/>
        <v>0</v>
      </c>
      <c r="N23" s="11">
        <f t="shared" si="15"/>
        <v>0</v>
      </c>
      <c r="O23" s="12">
        <f t="shared" si="16"/>
        <v>0.23749999999999999</v>
      </c>
      <c r="P23" s="13">
        <v>0.55000000000000004</v>
      </c>
      <c r="Q23" s="13">
        <f t="shared" si="17"/>
        <v>0.13062499999999999</v>
      </c>
      <c r="R23" s="13">
        <f t="shared" si="11"/>
        <v>0</v>
      </c>
      <c r="S23" s="14">
        <f t="shared" si="18"/>
        <v>0</v>
      </c>
    </row>
    <row r="24" spans="1:19" x14ac:dyDescent="0.3">
      <c r="A24" s="250">
        <f>VLOOKUP($D24,Reporting!$D:$T,MATCH($A$5,Reporting!$E$4:$L$4,0)+1,FALSE)</f>
        <v>0</v>
      </c>
      <c r="B24" s="250">
        <f>VLOOKUP($D24,Reporting!$D:$T,MATCH($A$5,Reporting!$V$4:$AC$4,0)+9,FALSE)</f>
        <v>0</v>
      </c>
      <c r="C24" s="236">
        <f>(B24*2)+A24</f>
        <v>0</v>
      </c>
      <c r="D24" s="266" t="s">
        <v>401</v>
      </c>
      <c r="E24" s="97">
        <v>0.99</v>
      </c>
      <c r="F24" s="6">
        <v>0.61</v>
      </c>
      <c r="G24" s="7">
        <f t="shared" si="12"/>
        <v>0.60389999999999999</v>
      </c>
      <c r="H24" s="7">
        <f t="shared" si="8"/>
        <v>0</v>
      </c>
      <c r="I24" s="8">
        <f t="shared" si="13"/>
        <v>0</v>
      </c>
      <c r="J24" s="9">
        <f t="shared" si="9"/>
        <v>0.2475</v>
      </c>
      <c r="K24" s="10">
        <v>0.61</v>
      </c>
      <c r="L24" s="10">
        <f t="shared" si="14"/>
        <v>0.150975</v>
      </c>
      <c r="M24" s="10">
        <f t="shared" si="10"/>
        <v>0</v>
      </c>
      <c r="N24" s="11">
        <f t="shared" si="15"/>
        <v>0</v>
      </c>
      <c r="O24" s="12">
        <f t="shared" si="16"/>
        <v>0.2475</v>
      </c>
      <c r="P24" s="13">
        <v>0.55000000000000004</v>
      </c>
      <c r="Q24" s="13">
        <f t="shared" si="17"/>
        <v>0.136125</v>
      </c>
      <c r="R24" s="13">
        <f t="shared" si="11"/>
        <v>0</v>
      </c>
      <c r="S24" s="14">
        <f t="shared" si="18"/>
        <v>0</v>
      </c>
    </row>
    <row r="25" spans="1:19" x14ac:dyDescent="0.3">
      <c r="A25" s="250">
        <f>VLOOKUP($D25,Reporting!$D:$T,MATCH($A$5,Reporting!$E$4:$L$4,0)+1,FALSE)</f>
        <v>0</v>
      </c>
      <c r="B25" s="250">
        <f>VLOOKUP($D25,Reporting!$D:$T,MATCH($A$5,Reporting!$V$4:$AC$4,0)+9,FALSE)</f>
        <v>0</v>
      </c>
      <c r="C25" s="236">
        <f>(B25*2)+A25</f>
        <v>0</v>
      </c>
      <c r="D25" s="266" t="s">
        <v>402</v>
      </c>
      <c r="E25" s="97">
        <v>1.1100000000000001</v>
      </c>
      <c r="F25" s="6">
        <v>0.61</v>
      </c>
      <c r="G25" s="7">
        <f t="shared" si="12"/>
        <v>0.67710000000000004</v>
      </c>
      <c r="H25" s="7">
        <f t="shared" si="8"/>
        <v>0</v>
      </c>
      <c r="I25" s="8">
        <f t="shared" si="13"/>
        <v>0</v>
      </c>
      <c r="J25" s="9">
        <f t="shared" si="9"/>
        <v>0.27750000000000002</v>
      </c>
      <c r="K25" s="10">
        <v>0.61</v>
      </c>
      <c r="L25" s="10">
        <f t="shared" si="14"/>
        <v>0.16927500000000001</v>
      </c>
      <c r="M25" s="10">
        <f t="shared" si="10"/>
        <v>0</v>
      </c>
      <c r="N25" s="11">
        <f t="shared" si="15"/>
        <v>0</v>
      </c>
      <c r="O25" s="12">
        <f t="shared" si="16"/>
        <v>0.27750000000000002</v>
      </c>
      <c r="P25" s="13">
        <v>0.55000000000000004</v>
      </c>
      <c r="Q25" s="13">
        <f t="shared" si="17"/>
        <v>0.15262500000000004</v>
      </c>
      <c r="R25" s="13">
        <f t="shared" si="11"/>
        <v>0</v>
      </c>
      <c r="S25" s="14">
        <f t="shared" si="18"/>
        <v>0</v>
      </c>
    </row>
    <row r="26" spans="1:19" x14ac:dyDescent="0.3">
      <c r="A26" s="250">
        <f>VLOOKUP($D26,Reporting!$D:$T,MATCH($A$5,Reporting!$E$4:$L$4,0)+1,FALSE)</f>
        <v>0</v>
      </c>
      <c r="B26" s="250">
        <f>VLOOKUP($D26,Reporting!$D:$T,MATCH($A$5,Reporting!$V$4:$AC$4,0)+9,FALSE)</f>
        <v>0</v>
      </c>
      <c r="C26" s="236">
        <f>(B26*2)+A26</f>
        <v>0</v>
      </c>
      <c r="D26" s="266" t="s">
        <v>403</v>
      </c>
      <c r="E26" s="97">
        <v>1.32</v>
      </c>
      <c r="F26" s="6">
        <v>0.61</v>
      </c>
      <c r="G26" s="7">
        <f t="shared" si="12"/>
        <v>0.80520000000000003</v>
      </c>
      <c r="H26" s="7">
        <f t="shared" si="8"/>
        <v>0</v>
      </c>
      <c r="I26" s="8">
        <f t="shared" si="13"/>
        <v>0</v>
      </c>
      <c r="J26" s="9">
        <f t="shared" si="9"/>
        <v>0.33</v>
      </c>
      <c r="K26" s="10">
        <v>0.61</v>
      </c>
      <c r="L26" s="10">
        <f t="shared" si="14"/>
        <v>0.20130000000000001</v>
      </c>
      <c r="M26" s="10">
        <f t="shared" si="10"/>
        <v>0</v>
      </c>
      <c r="N26" s="11">
        <f t="shared" si="15"/>
        <v>0</v>
      </c>
      <c r="O26" s="12">
        <f t="shared" si="16"/>
        <v>0.33</v>
      </c>
      <c r="P26" s="13">
        <v>0.55000000000000004</v>
      </c>
      <c r="Q26" s="13">
        <f t="shared" si="17"/>
        <v>0.18150000000000002</v>
      </c>
      <c r="R26" s="13">
        <f t="shared" si="11"/>
        <v>0</v>
      </c>
      <c r="S26" s="14">
        <f t="shared" si="18"/>
        <v>0</v>
      </c>
    </row>
    <row r="27" spans="1:19" ht="15" thickBot="1" x14ac:dyDescent="0.35">
      <c r="A27" s="253"/>
      <c r="B27" s="4">
        <f>SUM(B7:B26)</f>
        <v>0</v>
      </c>
      <c r="C27" s="237"/>
      <c r="D27" s="267"/>
      <c r="E27" s="4"/>
      <c r="F27" s="644" t="s">
        <v>9</v>
      </c>
      <c r="G27" s="645"/>
      <c r="H27" s="645"/>
      <c r="I27" s="16">
        <f>SUM(I7:I26)</f>
        <v>0</v>
      </c>
      <c r="J27" s="1"/>
      <c r="K27" s="646" t="s">
        <v>10</v>
      </c>
      <c r="L27" s="646"/>
      <c r="M27" s="646"/>
      <c r="N27" s="17">
        <f>SUM(N7:N26)</f>
        <v>0</v>
      </c>
      <c r="O27" s="15"/>
      <c r="P27" s="647" t="s">
        <v>11</v>
      </c>
      <c r="Q27" s="647"/>
      <c r="R27" s="647"/>
      <c r="S27" s="18">
        <f>SUM(S7:S26)</f>
        <v>0</v>
      </c>
    </row>
    <row r="28" spans="1:19" ht="15" thickBot="1" x14ac:dyDescent="0.35">
      <c r="F28" s="131"/>
      <c r="G28" s="131"/>
      <c r="H28" s="131"/>
      <c r="I28" s="132"/>
      <c r="K28" s="131"/>
      <c r="L28" s="131"/>
      <c r="M28" s="131"/>
      <c r="N28" s="132"/>
      <c r="P28" s="131"/>
      <c r="Q28" s="131"/>
      <c r="R28" s="131"/>
      <c r="S28" s="132"/>
    </row>
    <row r="29" spans="1:19" ht="15" customHeight="1" x14ac:dyDescent="0.3">
      <c r="A29" s="689" t="s">
        <v>157</v>
      </c>
      <c r="B29" s="689"/>
      <c r="C29" s="689"/>
      <c r="D29" s="689"/>
      <c r="E29" s="124"/>
      <c r="F29" s="636" t="s">
        <v>83</v>
      </c>
      <c r="G29" s="636"/>
      <c r="H29" s="636"/>
      <c r="I29" s="636"/>
      <c r="J29" s="636"/>
      <c r="K29" s="2"/>
      <c r="L29" s="2"/>
      <c r="M29" s="2"/>
      <c r="N29" s="2"/>
      <c r="O29" s="2"/>
      <c r="P29" s="2"/>
      <c r="Q29" s="2"/>
      <c r="R29" s="2"/>
      <c r="S29" s="5"/>
    </row>
    <row r="30" spans="1:19" ht="15" customHeight="1" x14ac:dyDescent="0.3">
      <c r="A30" s="690"/>
      <c r="B30" s="690"/>
      <c r="C30" s="690"/>
      <c r="D30" s="690"/>
      <c r="E30" s="125"/>
      <c r="F30" s="637"/>
      <c r="G30" s="637"/>
      <c r="H30" s="637"/>
      <c r="I30" s="637"/>
      <c r="J30" s="637"/>
      <c r="K30" s="29"/>
      <c r="L30" s="29"/>
      <c r="M30" s="29"/>
      <c r="N30" s="29"/>
      <c r="O30" s="29"/>
      <c r="P30" s="29"/>
      <c r="Q30" s="29"/>
      <c r="R30" s="29"/>
      <c r="S30" s="30"/>
    </row>
    <row r="31" spans="1:19" ht="15" customHeight="1" x14ac:dyDescent="0.3">
      <c r="A31" s="250">
        <f>VLOOKUP($D31,Reporting!$D:$T,MATCH($A$29,Reporting!$E$4:$L$4,0)+1,FALSE)</f>
        <v>0</v>
      </c>
      <c r="B31" s="250">
        <f>VLOOKUP($D31,Reporting!$D:$T,MATCH($A$29,Reporting!$V$4:$AC$4,0)+9,FALSE)</f>
        <v>0</v>
      </c>
      <c r="C31" s="236">
        <f t="shared" ref="C31:C36" si="19">(B31*0.25)+A31</f>
        <v>0</v>
      </c>
      <c r="D31" s="262" t="s">
        <v>371</v>
      </c>
      <c r="E31" s="96">
        <v>0.08</v>
      </c>
      <c r="F31" s="6">
        <v>0.61</v>
      </c>
      <c r="G31" s="7">
        <f t="shared" ref="G31:G36" si="20">E31*F31</f>
        <v>4.8800000000000003E-2</v>
      </c>
      <c r="H31" s="7">
        <f>C31*G31</f>
        <v>0</v>
      </c>
      <c r="I31" s="8">
        <f t="shared" ref="I31:I36" si="21">H31/8</f>
        <v>0</v>
      </c>
      <c r="J31" s="9">
        <f>E31*0.25</f>
        <v>0.02</v>
      </c>
      <c r="K31" s="10">
        <v>0.61</v>
      </c>
      <c r="L31" s="10">
        <f t="shared" ref="L31:L36" si="22">J31*K31</f>
        <v>1.2200000000000001E-2</v>
      </c>
      <c r="M31" s="10">
        <f>C31*L31</f>
        <v>0</v>
      </c>
      <c r="N31" s="11">
        <f t="shared" ref="N31:N36" si="23">M31/8</f>
        <v>0</v>
      </c>
      <c r="O31" s="12">
        <f t="shared" ref="O31:O36" si="24">J31</f>
        <v>0.02</v>
      </c>
      <c r="P31" s="13">
        <v>0.55000000000000004</v>
      </c>
      <c r="Q31" s="13">
        <f t="shared" ref="Q31:Q36" si="25">O31*P31</f>
        <v>1.1000000000000001E-2</v>
      </c>
      <c r="R31" s="13">
        <f>C31*Q31</f>
        <v>0</v>
      </c>
      <c r="S31" s="14">
        <f t="shared" ref="S31:S36" si="26">R31/8</f>
        <v>0</v>
      </c>
    </row>
    <row r="32" spans="1:19" ht="15" customHeight="1" x14ac:dyDescent="0.3">
      <c r="A32" s="250">
        <f>VLOOKUP($D32,Reporting!$D:$T,MATCH($A$29,Reporting!$E$4:$L$4,0)+1,FALSE)</f>
        <v>0</v>
      </c>
      <c r="B32" s="250">
        <f>VLOOKUP($D32,Reporting!$D:$T,MATCH($A$29,Reporting!$V$4:$AC$4,0)+9,FALSE)</f>
        <v>0</v>
      </c>
      <c r="C32" s="236">
        <f t="shared" si="19"/>
        <v>0</v>
      </c>
      <c r="D32" s="262" t="s">
        <v>372</v>
      </c>
      <c r="E32" s="96">
        <v>0.09</v>
      </c>
      <c r="F32" s="6">
        <v>0.61</v>
      </c>
      <c r="G32" s="7">
        <f t="shared" si="20"/>
        <v>5.4899999999999997E-2</v>
      </c>
      <c r="H32" s="7">
        <f t="shared" ref="H32:H43" si="27">C32*G32</f>
        <v>0</v>
      </c>
      <c r="I32" s="8">
        <f t="shared" si="21"/>
        <v>0</v>
      </c>
      <c r="J32" s="9">
        <f t="shared" ref="J32:J43" si="28">E32*0.25</f>
        <v>2.2499999999999999E-2</v>
      </c>
      <c r="K32" s="10">
        <v>0.61</v>
      </c>
      <c r="L32" s="10">
        <f t="shared" si="22"/>
        <v>1.3724999999999999E-2</v>
      </c>
      <c r="M32" s="10">
        <f t="shared" ref="M32:M43" si="29">C32*L32</f>
        <v>0</v>
      </c>
      <c r="N32" s="11">
        <f t="shared" si="23"/>
        <v>0</v>
      </c>
      <c r="O32" s="12">
        <f t="shared" si="24"/>
        <v>2.2499999999999999E-2</v>
      </c>
      <c r="P32" s="13">
        <v>0.55000000000000004</v>
      </c>
      <c r="Q32" s="13">
        <f t="shared" si="25"/>
        <v>1.2375000000000001E-2</v>
      </c>
      <c r="R32" s="13">
        <f t="shared" ref="R32:R43" si="30">C32*Q32</f>
        <v>0</v>
      </c>
      <c r="S32" s="14">
        <f t="shared" si="26"/>
        <v>0</v>
      </c>
    </row>
    <row r="33" spans="1:19" ht="15" customHeight="1" x14ac:dyDescent="0.3">
      <c r="A33" s="250">
        <f>VLOOKUP($D33,Reporting!$D:$T,MATCH($A$29,Reporting!$E$4:$L$4,0)+1,FALSE)</f>
        <v>0</v>
      </c>
      <c r="B33" s="250">
        <f>VLOOKUP($D33,Reporting!$D:$T,MATCH($A$29,Reporting!$V$4:$AC$4,0)+9,FALSE)</f>
        <v>0</v>
      </c>
      <c r="C33" s="236">
        <f t="shared" si="19"/>
        <v>0</v>
      </c>
      <c r="D33" s="262" t="s">
        <v>389</v>
      </c>
      <c r="E33" s="96">
        <v>0.11</v>
      </c>
      <c r="F33" s="6">
        <v>0.61</v>
      </c>
      <c r="G33" s="7">
        <f t="shared" si="20"/>
        <v>6.7099999999999993E-2</v>
      </c>
      <c r="H33" s="7">
        <f t="shared" si="27"/>
        <v>0</v>
      </c>
      <c r="I33" s="8">
        <f t="shared" si="21"/>
        <v>0</v>
      </c>
      <c r="J33" s="9">
        <f t="shared" si="28"/>
        <v>2.75E-2</v>
      </c>
      <c r="K33" s="10">
        <v>0.61</v>
      </c>
      <c r="L33" s="10">
        <f t="shared" si="22"/>
        <v>1.6774999999999998E-2</v>
      </c>
      <c r="M33" s="10">
        <f t="shared" si="29"/>
        <v>0</v>
      </c>
      <c r="N33" s="11">
        <f t="shared" si="23"/>
        <v>0</v>
      </c>
      <c r="O33" s="12">
        <f t="shared" si="24"/>
        <v>2.75E-2</v>
      </c>
      <c r="P33" s="13">
        <v>0.55000000000000004</v>
      </c>
      <c r="Q33" s="13">
        <f t="shared" si="25"/>
        <v>1.5125000000000001E-2</v>
      </c>
      <c r="R33" s="13">
        <f t="shared" si="30"/>
        <v>0</v>
      </c>
      <c r="S33" s="14">
        <f t="shared" si="26"/>
        <v>0</v>
      </c>
    </row>
    <row r="34" spans="1:19" ht="15" customHeight="1" x14ac:dyDescent="0.3">
      <c r="A34" s="250">
        <f>VLOOKUP($D34,Reporting!$D:$T,MATCH($A$29,Reporting!$E$4:$L$4,0)+1,FALSE)</f>
        <v>0</v>
      </c>
      <c r="B34" s="250">
        <f>VLOOKUP($D34,Reporting!$D:$T,MATCH($A$29,Reporting!$V$4:$AC$4,0)+9,FALSE)</f>
        <v>0</v>
      </c>
      <c r="C34" s="236">
        <f t="shared" si="19"/>
        <v>0</v>
      </c>
      <c r="D34" s="262" t="s">
        <v>373</v>
      </c>
      <c r="E34" s="96">
        <v>0.13</v>
      </c>
      <c r="F34" s="6">
        <v>0.61</v>
      </c>
      <c r="G34" s="7">
        <f t="shared" si="20"/>
        <v>7.9299999999999995E-2</v>
      </c>
      <c r="H34" s="7">
        <f t="shared" si="27"/>
        <v>0</v>
      </c>
      <c r="I34" s="8">
        <f t="shared" si="21"/>
        <v>0</v>
      </c>
      <c r="J34" s="9">
        <f t="shared" si="28"/>
        <v>3.2500000000000001E-2</v>
      </c>
      <c r="K34" s="10">
        <v>0.61</v>
      </c>
      <c r="L34" s="10">
        <f t="shared" si="22"/>
        <v>1.9824999999999999E-2</v>
      </c>
      <c r="M34" s="10">
        <f t="shared" si="29"/>
        <v>0</v>
      </c>
      <c r="N34" s="11">
        <f t="shared" si="23"/>
        <v>0</v>
      </c>
      <c r="O34" s="12">
        <f t="shared" si="24"/>
        <v>3.2500000000000001E-2</v>
      </c>
      <c r="P34" s="13">
        <v>0.55000000000000004</v>
      </c>
      <c r="Q34" s="13">
        <f t="shared" si="25"/>
        <v>1.7875000000000002E-2</v>
      </c>
      <c r="R34" s="13">
        <f t="shared" si="30"/>
        <v>0</v>
      </c>
      <c r="S34" s="14">
        <f t="shared" si="26"/>
        <v>0</v>
      </c>
    </row>
    <row r="35" spans="1:19" ht="15" customHeight="1" x14ac:dyDescent="0.3">
      <c r="A35" s="250">
        <f>VLOOKUP($D35,Reporting!$D:$T,MATCH($A$29,Reporting!$E$4:$L$4,0)+1,FALSE)</f>
        <v>0</v>
      </c>
      <c r="B35" s="250">
        <f>VLOOKUP($D35,Reporting!$D:$T,MATCH($A$29,Reporting!$V$4:$AC$4,0)+9,FALSE)</f>
        <v>0</v>
      </c>
      <c r="C35" s="236">
        <f t="shared" si="19"/>
        <v>0</v>
      </c>
      <c r="D35" s="262" t="s">
        <v>374</v>
      </c>
      <c r="E35" s="96">
        <v>0.14000000000000001</v>
      </c>
      <c r="F35" s="6">
        <v>0.61</v>
      </c>
      <c r="G35" s="7">
        <f t="shared" si="20"/>
        <v>8.5400000000000004E-2</v>
      </c>
      <c r="H35" s="7">
        <f t="shared" si="27"/>
        <v>0</v>
      </c>
      <c r="I35" s="8">
        <f t="shared" si="21"/>
        <v>0</v>
      </c>
      <c r="J35" s="9">
        <f t="shared" si="28"/>
        <v>3.5000000000000003E-2</v>
      </c>
      <c r="K35" s="10">
        <v>0.61</v>
      </c>
      <c r="L35" s="10">
        <f t="shared" si="22"/>
        <v>2.1350000000000001E-2</v>
      </c>
      <c r="M35" s="10">
        <f t="shared" si="29"/>
        <v>0</v>
      </c>
      <c r="N35" s="11">
        <f t="shared" si="23"/>
        <v>0</v>
      </c>
      <c r="O35" s="12">
        <f t="shared" si="24"/>
        <v>3.5000000000000003E-2</v>
      </c>
      <c r="P35" s="13">
        <v>0.55000000000000004</v>
      </c>
      <c r="Q35" s="13">
        <f t="shared" si="25"/>
        <v>1.9250000000000003E-2</v>
      </c>
      <c r="R35" s="13">
        <f t="shared" si="30"/>
        <v>0</v>
      </c>
      <c r="S35" s="14">
        <f t="shared" si="26"/>
        <v>0</v>
      </c>
    </row>
    <row r="36" spans="1:19" ht="15.75" customHeight="1" x14ac:dyDescent="0.3">
      <c r="A36" s="250">
        <f>VLOOKUP($D36,Reporting!$D:$T,MATCH($A$29,Reporting!$E$4:$L$4,0)+1,FALSE)</f>
        <v>0</v>
      </c>
      <c r="B36" s="250">
        <f>VLOOKUP($D36,Reporting!$D:$T,MATCH($A$29,Reporting!$V$4:$AC$4,0)+9,FALSE)</f>
        <v>0</v>
      </c>
      <c r="C36" s="236">
        <f t="shared" si="19"/>
        <v>0</v>
      </c>
      <c r="D36" s="266" t="s">
        <v>390</v>
      </c>
      <c r="E36" s="97">
        <v>0.18</v>
      </c>
      <c r="F36" s="6">
        <v>0.61</v>
      </c>
      <c r="G36" s="7">
        <f t="shared" si="20"/>
        <v>0.10979999999999999</v>
      </c>
      <c r="H36" s="7">
        <f t="shared" si="27"/>
        <v>0</v>
      </c>
      <c r="I36" s="8">
        <f t="shared" si="21"/>
        <v>0</v>
      </c>
      <c r="J36" s="9">
        <f t="shared" si="28"/>
        <v>4.4999999999999998E-2</v>
      </c>
      <c r="K36" s="10">
        <v>0.61</v>
      </c>
      <c r="L36" s="10">
        <f t="shared" si="22"/>
        <v>2.7449999999999999E-2</v>
      </c>
      <c r="M36" s="10">
        <f t="shared" si="29"/>
        <v>0</v>
      </c>
      <c r="N36" s="11">
        <f t="shared" si="23"/>
        <v>0</v>
      </c>
      <c r="O36" s="12">
        <f t="shared" si="24"/>
        <v>4.4999999999999998E-2</v>
      </c>
      <c r="P36" s="13">
        <v>0.55000000000000004</v>
      </c>
      <c r="Q36" s="13">
        <f t="shared" si="25"/>
        <v>2.4750000000000001E-2</v>
      </c>
      <c r="R36" s="13">
        <f t="shared" si="30"/>
        <v>0</v>
      </c>
      <c r="S36" s="14">
        <f t="shared" si="26"/>
        <v>0</v>
      </c>
    </row>
    <row r="37" spans="1:19" x14ac:dyDescent="0.3">
      <c r="A37" s="250">
        <f>VLOOKUP($D37,Reporting!$D:$T,MATCH($A$29,Reporting!$E$4:$L$4,0)+1,FALSE)</f>
        <v>0</v>
      </c>
      <c r="B37" s="250">
        <f>VLOOKUP($D37,Reporting!$D:$T,MATCH($A$29,Reporting!$V$4:$AC$4,0)+9,FALSE)</f>
        <v>0</v>
      </c>
      <c r="C37" s="236">
        <f>(B37*0.5)+A37</f>
        <v>0</v>
      </c>
      <c r="D37" s="266" t="s">
        <v>376</v>
      </c>
      <c r="E37" s="97">
        <v>0.23</v>
      </c>
      <c r="F37" s="6">
        <v>0.61</v>
      </c>
      <c r="G37" s="7">
        <f t="shared" ref="G37:G43" si="31">E37*F37</f>
        <v>0.14030000000000001</v>
      </c>
      <c r="H37" s="7">
        <f t="shared" si="27"/>
        <v>0</v>
      </c>
      <c r="I37" s="8">
        <f t="shared" ref="I37:I43" si="32">H37/8</f>
        <v>0</v>
      </c>
      <c r="J37" s="9">
        <f t="shared" si="28"/>
        <v>5.7500000000000002E-2</v>
      </c>
      <c r="K37" s="10">
        <v>0.61</v>
      </c>
      <c r="L37" s="10">
        <f t="shared" ref="L37:L43" si="33">J37*K37</f>
        <v>3.5075000000000002E-2</v>
      </c>
      <c r="M37" s="10">
        <f t="shared" si="29"/>
        <v>0</v>
      </c>
      <c r="N37" s="11">
        <f t="shared" ref="N37:N43" si="34">M37/8</f>
        <v>0</v>
      </c>
      <c r="O37" s="12">
        <f t="shared" ref="O37:O43" si="35">J37</f>
        <v>5.7500000000000002E-2</v>
      </c>
      <c r="P37" s="13">
        <v>0.55000000000000004</v>
      </c>
      <c r="Q37" s="13">
        <f t="shared" ref="Q37:Q43" si="36">O37*P37</f>
        <v>3.1625000000000007E-2</v>
      </c>
      <c r="R37" s="13">
        <f t="shared" si="30"/>
        <v>0</v>
      </c>
      <c r="S37" s="14">
        <f t="shared" ref="S37:S43" si="37">R37/8</f>
        <v>0</v>
      </c>
    </row>
    <row r="38" spans="1:19" x14ac:dyDescent="0.3">
      <c r="A38" s="250">
        <f>VLOOKUP($D38,Reporting!$D:$T,MATCH($A$29,Reporting!$E$4:$L$4,0)+1,FALSE)</f>
        <v>0</v>
      </c>
      <c r="B38" s="250">
        <f>VLOOKUP($D38,Reporting!$D:$T,MATCH($A$29,Reporting!$V$4:$AC$4,0)+9,FALSE)</f>
        <v>0</v>
      </c>
      <c r="C38" s="236">
        <f>(B38*0.5)+A38</f>
        <v>0</v>
      </c>
      <c r="D38" s="266" t="s">
        <v>391</v>
      </c>
      <c r="E38" s="97">
        <v>0.26</v>
      </c>
      <c r="F38" s="6">
        <v>0.61</v>
      </c>
      <c r="G38" s="7">
        <f t="shared" si="31"/>
        <v>0.15859999999999999</v>
      </c>
      <c r="H38" s="7">
        <f t="shared" si="27"/>
        <v>0</v>
      </c>
      <c r="I38" s="8">
        <f t="shared" si="32"/>
        <v>0</v>
      </c>
      <c r="J38" s="9">
        <f t="shared" si="28"/>
        <v>6.5000000000000002E-2</v>
      </c>
      <c r="K38" s="10">
        <v>0.61</v>
      </c>
      <c r="L38" s="10">
        <f t="shared" si="33"/>
        <v>3.9649999999999998E-2</v>
      </c>
      <c r="M38" s="10">
        <f t="shared" si="29"/>
        <v>0</v>
      </c>
      <c r="N38" s="11">
        <f t="shared" si="34"/>
        <v>0</v>
      </c>
      <c r="O38" s="12">
        <f t="shared" si="35"/>
        <v>6.5000000000000002E-2</v>
      </c>
      <c r="P38" s="13">
        <v>0.55000000000000004</v>
      </c>
      <c r="Q38" s="13">
        <f t="shared" si="36"/>
        <v>3.5750000000000004E-2</v>
      </c>
      <c r="R38" s="13">
        <f t="shared" si="30"/>
        <v>0</v>
      </c>
      <c r="S38" s="14">
        <f t="shared" si="37"/>
        <v>0</v>
      </c>
    </row>
    <row r="39" spans="1:19" x14ac:dyDescent="0.3">
      <c r="A39" s="250">
        <f>VLOOKUP($D39,Reporting!$D:$T,MATCH($A$29,Reporting!$E$4:$L$4,0)+1,FALSE)</f>
        <v>0</v>
      </c>
      <c r="B39" s="250">
        <f>VLOOKUP($D39,Reporting!$D:$T,MATCH($A$29,Reporting!$V$4:$AC$4,0)+9,FALSE)</f>
        <v>0</v>
      </c>
      <c r="C39" s="236">
        <f>(B39*0.5)+A39</f>
        <v>0</v>
      </c>
      <c r="D39" s="266" t="s">
        <v>392</v>
      </c>
      <c r="E39" s="97">
        <v>0.32</v>
      </c>
      <c r="F39" s="6">
        <v>0.61</v>
      </c>
      <c r="G39" s="7">
        <f t="shared" si="31"/>
        <v>0.19520000000000001</v>
      </c>
      <c r="H39" s="7">
        <f t="shared" si="27"/>
        <v>0</v>
      </c>
      <c r="I39" s="8">
        <f t="shared" si="32"/>
        <v>0</v>
      </c>
      <c r="J39" s="9">
        <f t="shared" si="28"/>
        <v>0.08</v>
      </c>
      <c r="K39" s="10">
        <v>0.61</v>
      </c>
      <c r="L39" s="10">
        <f t="shared" si="33"/>
        <v>4.8800000000000003E-2</v>
      </c>
      <c r="M39" s="10">
        <f t="shared" si="29"/>
        <v>0</v>
      </c>
      <c r="N39" s="11">
        <f t="shared" si="34"/>
        <v>0</v>
      </c>
      <c r="O39" s="12">
        <f t="shared" si="35"/>
        <v>0.08</v>
      </c>
      <c r="P39" s="13">
        <v>0.55000000000000004</v>
      </c>
      <c r="Q39" s="13">
        <f t="shared" si="36"/>
        <v>4.4000000000000004E-2</v>
      </c>
      <c r="R39" s="13">
        <f t="shared" si="30"/>
        <v>0</v>
      </c>
      <c r="S39" s="14">
        <f t="shared" si="37"/>
        <v>0</v>
      </c>
    </row>
    <row r="40" spans="1:19" x14ac:dyDescent="0.3">
      <c r="A40" s="250">
        <f>VLOOKUP($D40,Reporting!$D:$T,MATCH($A$29,Reporting!$E$4:$L$4,0)+1,FALSE)</f>
        <v>0</v>
      </c>
      <c r="B40" s="250">
        <f>VLOOKUP($D40,Reporting!$D:$T,MATCH($A$29,Reporting!$V$4:$AC$4,0)+9,FALSE)</f>
        <v>0</v>
      </c>
      <c r="C40" s="236">
        <f>(B40*0.75)+A40</f>
        <v>0</v>
      </c>
      <c r="D40" s="266" t="s">
        <v>393</v>
      </c>
      <c r="E40" s="97">
        <v>0.39</v>
      </c>
      <c r="F40" s="6">
        <v>0.61</v>
      </c>
      <c r="G40" s="7">
        <f t="shared" si="31"/>
        <v>0.2379</v>
      </c>
      <c r="H40" s="7">
        <f t="shared" si="27"/>
        <v>0</v>
      </c>
      <c r="I40" s="8">
        <f t="shared" si="32"/>
        <v>0</v>
      </c>
      <c r="J40" s="9">
        <f t="shared" si="28"/>
        <v>9.7500000000000003E-2</v>
      </c>
      <c r="K40" s="10">
        <v>0.61</v>
      </c>
      <c r="L40" s="10">
        <f t="shared" si="33"/>
        <v>5.9475E-2</v>
      </c>
      <c r="M40" s="10">
        <f t="shared" si="29"/>
        <v>0</v>
      </c>
      <c r="N40" s="11">
        <f t="shared" si="34"/>
        <v>0</v>
      </c>
      <c r="O40" s="12">
        <f t="shared" si="35"/>
        <v>9.7500000000000003E-2</v>
      </c>
      <c r="P40" s="13">
        <v>0.55000000000000004</v>
      </c>
      <c r="Q40" s="13">
        <f t="shared" si="36"/>
        <v>5.3625000000000006E-2</v>
      </c>
      <c r="R40" s="13">
        <f t="shared" si="30"/>
        <v>0</v>
      </c>
      <c r="S40" s="14">
        <f t="shared" si="37"/>
        <v>0</v>
      </c>
    </row>
    <row r="41" spans="1:19" x14ac:dyDescent="0.3">
      <c r="A41" s="250">
        <f>VLOOKUP($D41,Reporting!$D:$T,MATCH($A$29,Reporting!$E$4:$L$4,0)+1,FALSE)</f>
        <v>0</v>
      </c>
      <c r="B41" s="250">
        <f>VLOOKUP($D41,Reporting!$D:$T,MATCH($A$29,Reporting!$V$4:$AC$4,0)+9,FALSE)</f>
        <v>0</v>
      </c>
      <c r="C41" s="236">
        <f>(B41*0.75)+A41</f>
        <v>0</v>
      </c>
      <c r="D41" s="266" t="s">
        <v>394</v>
      </c>
      <c r="E41" s="97">
        <v>0.44</v>
      </c>
      <c r="F41" s="6">
        <v>0.61</v>
      </c>
      <c r="G41" s="7">
        <f t="shared" si="31"/>
        <v>0.26839999999999997</v>
      </c>
      <c r="H41" s="7">
        <f t="shared" si="27"/>
        <v>0</v>
      </c>
      <c r="I41" s="8">
        <f t="shared" si="32"/>
        <v>0</v>
      </c>
      <c r="J41" s="9">
        <f t="shared" si="28"/>
        <v>0.11</v>
      </c>
      <c r="K41" s="10">
        <v>0.61</v>
      </c>
      <c r="L41" s="10">
        <f t="shared" si="33"/>
        <v>6.7099999999999993E-2</v>
      </c>
      <c r="M41" s="10">
        <f t="shared" si="29"/>
        <v>0</v>
      </c>
      <c r="N41" s="11">
        <f t="shared" si="34"/>
        <v>0</v>
      </c>
      <c r="O41" s="12">
        <f t="shared" si="35"/>
        <v>0.11</v>
      </c>
      <c r="P41" s="13">
        <v>0.55000000000000004</v>
      </c>
      <c r="Q41" s="13">
        <f t="shared" si="36"/>
        <v>6.0500000000000005E-2</v>
      </c>
      <c r="R41" s="13">
        <f t="shared" si="30"/>
        <v>0</v>
      </c>
      <c r="S41" s="14">
        <f t="shared" si="37"/>
        <v>0</v>
      </c>
    </row>
    <row r="42" spans="1:19" x14ac:dyDescent="0.3">
      <c r="A42" s="250">
        <f>VLOOKUP($D42,Reporting!$D:$T,MATCH($A$29,Reporting!$E$4:$L$4,0)+1,FALSE)</f>
        <v>0</v>
      </c>
      <c r="B42" s="250">
        <f>VLOOKUP($D42,Reporting!$D:$T,MATCH($A$29,Reporting!$V$4:$AC$4,0)+9,FALSE)</f>
        <v>0</v>
      </c>
      <c r="C42" s="236">
        <f>(B42*1)+A42</f>
        <v>0</v>
      </c>
      <c r="D42" s="266" t="s">
        <v>395</v>
      </c>
      <c r="E42" s="97">
        <v>0.54</v>
      </c>
      <c r="F42" s="6">
        <v>0.61</v>
      </c>
      <c r="G42" s="7">
        <f t="shared" si="31"/>
        <v>0.32940000000000003</v>
      </c>
      <c r="H42" s="7">
        <f t="shared" si="27"/>
        <v>0</v>
      </c>
      <c r="I42" s="8">
        <f t="shared" si="32"/>
        <v>0</v>
      </c>
      <c r="J42" s="9">
        <f t="shared" si="28"/>
        <v>0.13500000000000001</v>
      </c>
      <c r="K42" s="10">
        <v>0.61</v>
      </c>
      <c r="L42" s="10">
        <f t="shared" si="33"/>
        <v>8.2350000000000007E-2</v>
      </c>
      <c r="M42" s="10">
        <f t="shared" si="29"/>
        <v>0</v>
      </c>
      <c r="N42" s="11">
        <f t="shared" si="34"/>
        <v>0</v>
      </c>
      <c r="O42" s="12">
        <f t="shared" si="35"/>
        <v>0.13500000000000001</v>
      </c>
      <c r="P42" s="13">
        <v>0.55000000000000004</v>
      </c>
      <c r="Q42" s="13">
        <f t="shared" si="36"/>
        <v>7.425000000000001E-2</v>
      </c>
      <c r="R42" s="13">
        <f t="shared" si="30"/>
        <v>0</v>
      </c>
      <c r="S42" s="14">
        <f t="shared" si="37"/>
        <v>0</v>
      </c>
    </row>
    <row r="43" spans="1:19" x14ac:dyDescent="0.3">
      <c r="A43" s="250">
        <f>VLOOKUP($D43,Reporting!$D:$T,MATCH($A$29,Reporting!$E$4:$L$4,0)+1,FALSE)</f>
        <v>0</v>
      </c>
      <c r="B43" s="250">
        <f>VLOOKUP($D43,Reporting!$D:$T,MATCH($A$29,Reporting!$V$4:$AC$4,0)+9,FALSE)</f>
        <v>0</v>
      </c>
      <c r="C43" s="236">
        <f>(B43*1)+A43</f>
        <v>0</v>
      </c>
      <c r="D43" s="266" t="s">
        <v>396</v>
      </c>
      <c r="E43" s="97">
        <v>0.66</v>
      </c>
      <c r="F43" s="6">
        <v>0.61</v>
      </c>
      <c r="G43" s="7">
        <f t="shared" si="31"/>
        <v>0.40260000000000001</v>
      </c>
      <c r="H43" s="7">
        <f t="shared" si="27"/>
        <v>0</v>
      </c>
      <c r="I43" s="8">
        <f t="shared" si="32"/>
        <v>0</v>
      </c>
      <c r="J43" s="9">
        <f t="shared" si="28"/>
        <v>0.16500000000000001</v>
      </c>
      <c r="K43" s="10">
        <v>0.61</v>
      </c>
      <c r="L43" s="10">
        <f t="shared" si="33"/>
        <v>0.10065</v>
      </c>
      <c r="M43" s="10">
        <f t="shared" si="29"/>
        <v>0</v>
      </c>
      <c r="N43" s="11">
        <f t="shared" si="34"/>
        <v>0</v>
      </c>
      <c r="O43" s="12">
        <f t="shared" si="35"/>
        <v>0.16500000000000001</v>
      </c>
      <c r="P43" s="13">
        <v>0.55000000000000004</v>
      </c>
      <c r="Q43" s="13">
        <f t="shared" si="36"/>
        <v>9.0750000000000011E-2</v>
      </c>
      <c r="R43" s="13">
        <f t="shared" si="30"/>
        <v>0</v>
      </c>
      <c r="S43" s="14">
        <f t="shared" si="37"/>
        <v>0</v>
      </c>
    </row>
    <row r="44" spans="1:19" ht="15" thickBot="1" x14ac:dyDescent="0.35">
      <c r="A44" s="253"/>
      <c r="B44" s="4">
        <f>SUM(B31:B43)</f>
        <v>0</v>
      </c>
      <c r="C44" s="237"/>
      <c r="D44" s="267"/>
      <c r="E44" s="4"/>
      <c r="F44" s="644" t="s">
        <v>9</v>
      </c>
      <c r="G44" s="645"/>
      <c r="H44" s="645"/>
      <c r="I44" s="16">
        <f>SUM(I31:I43)</f>
        <v>0</v>
      </c>
      <c r="J44" s="1"/>
      <c r="K44" s="646" t="s">
        <v>10</v>
      </c>
      <c r="L44" s="646"/>
      <c r="M44" s="646"/>
      <c r="N44" s="17">
        <f>SUM(N31:N43)</f>
        <v>0</v>
      </c>
      <c r="O44" s="15"/>
      <c r="P44" s="647" t="s">
        <v>11</v>
      </c>
      <c r="Q44" s="647"/>
      <c r="R44" s="647"/>
      <c r="S44" s="18">
        <f>SUM(S31:S43)</f>
        <v>0</v>
      </c>
    </row>
    <row r="45" spans="1:19" ht="15" thickBot="1" x14ac:dyDescent="0.35">
      <c r="F45" s="131"/>
      <c r="G45" s="131"/>
      <c r="H45" s="131"/>
      <c r="I45" s="132"/>
      <c r="K45" s="131"/>
      <c r="L45" s="131"/>
      <c r="M45" s="131"/>
      <c r="N45" s="132"/>
      <c r="P45" s="131"/>
      <c r="Q45" s="131"/>
      <c r="R45" s="131"/>
      <c r="S45" s="132"/>
    </row>
    <row r="46" spans="1:19" ht="15" customHeight="1" x14ac:dyDescent="0.3">
      <c r="A46" s="687" t="s">
        <v>158</v>
      </c>
      <c r="B46" s="687"/>
      <c r="C46" s="687"/>
      <c r="D46" s="687"/>
      <c r="E46" s="687"/>
      <c r="F46" s="640" t="s">
        <v>82</v>
      </c>
      <c r="G46" s="640"/>
      <c r="H46" s="640"/>
      <c r="I46" s="640"/>
      <c r="J46" s="640"/>
      <c r="K46" s="23"/>
      <c r="L46" s="23"/>
      <c r="M46" s="23"/>
      <c r="N46" s="23"/>
      <c r="O46" s="23"/>
      <c r="P46" s="23"/>
      <c r="Q46" s="23"/>
      <c r="R46" s="23"/>
      <c r="S46" s="24"/>
    </row>
    <row r="47" spans="1:19" ht="15" customHeight="1" x14ac:dyDescent="0.3">
      <c r="A47" s="688"/>
      <c r="B47" s="688"/>
      <c r="C47" s="688"/>
      <c r="D47" s="688"/>
      <c r="E47" s="688"/>
      <c r="F47" s="641"/>
      <c r="G47" s="641"/>
      <c r="H47" s="641"/>
      <c r="I47" s="641"/>
      <c r="J47" s="641"/>
      <c r="K47" s="42"/>
      <c r="L47" s="42"/>
      <c r="M47" s="42"/>
      <c r="N47" s="42"/>
      <c r="O47" s="42"/>
      <c r="P47" s="42"/>
      <c r="Q47" s="42"/>
      <c r="R47" s="42"/>
      <c r="S47" s="43"/>
    </row>
    <row r="48" spans="1:19" ht="15" customHeight="1" x14ac:dyDescent="0.3">
      <c r="A48" s="250">
        <f>VLOOKUP($D48,Reporting!$D:$T,MATCH($A$46,Reporting!$E$4:$L$4,0)+1,FALSE)</f>
        <v>0</v>
      </c>
      <c r="B48" s="250">
        <f>VLOOKUP($D48,Reporting!$D:$T,MATCH($A$46,Reporting!$V$4:$AC$4,0)+9,FALSE)</f>
        <v>0</v>
      </c>
      <c r="C48" s="238">
        <f t="shared" ref="C48:C53" si="38">(B48*0.25)+A48</f>
        <v>0</v>
      </c>
      <c r="D48" s="263" t="s">
        <v>371</v>
      </c>
      <c r="E48" s="98">
        <v>0.06</v>
      </c>
      <c r="F48" s="6">
        <v>0.61</v>
      </c>
      <c r="G48" s="7">
        <f t="shared" ref="G48:G53" si="39">E48*F48</f>
        <v>3.6600000000000001E-2</v>
      </c>
      <c r="H48" s="7">
        <f>C48*G48</f>
        <v>0</v>
      </c>
      <c r="I48" s="8">
        <f t="shared" ref="I48:I53" si="40">H48/8</f>
        <v>0</v>
      </c>
      <c r="J48" s="9">
        <f>E48*0.25</f>
        <v>1.4999999999999999E-2</v>
      </c>
      <c r="K48" s="10">
        <v>0.61</v>
      </c>
      <c r="L48" s="10">
        <f t="shared" ref="L48:L53" si="41">J48*K48</f>
        <v>9.1500000000000001E-3</v>
      </c>
      <c r="M48" s="10">
        <f>C48*L48</f>
        <v>0</v>
      </c>
      <c r="N48" s="11">
        <f t="shared" ref="N48:N53" si="42">M48/8</f>
        <v>0</v>
      </c>
      <c r="O48" s="12">
        <f t="shared" ref="O48:O53" si="43">J48</f>
        <v>1.4999999999999999E-2</v>
      </c>
      <c r="P48" s="13">
        <v>0.55000000000000004</v>
      </c>
      <c r="Q48" s="13">
        <f t="shared" ref="Q48:Q53" si="44">O48*P48</f>
        <v>8.2500000000000004E-3</v>
      </c>
      <c r="R48" s="13">
        <f>C48*Q48</f>
        <v>0</v>
      </c>
      <c r="S48" s="14">
        <f t="shared" ref="S48:S53" si="45">R48/8</f>
        <v>0</v>
      </c>
    </row>
    <row r="49" spans="1:19" ht="15" customHeight="1" x14ac:dyDescent="0.3">
      <c r="A49" s="250">
        <f>VLOOKUP($D49,Reporting!$D:$T,MATCH($A$46,Reporting!$E$4:$L$4,0)+1,FALSE)</f>
        <v>40</v>
      </c>
      <c r="B49" s="250">
        <f>VLOOKUP($D49,Reporting!$D:$T,MATCH($A$46,Reporting!$V$4:$AC$4,0)+9,FALSE)</f>
        <v>7</v>
      </c>
      <c r="C49" s="238">
        <f t="shared" si="38"/>
        <v>41.75</v>
      </c>
      <c r="D49" s="263" t="s">
        <v>372</v>
      </c>
      <c r="E49" s="98">
        <v>0.06</v>
      </c>
      <c r="F49" s="6">
        <v>0.61</v>
      </c>
      <c r="G49" s="7">
        <f t="shared" si="39"/>
        <v>3.6600000000000001E-2</v>
      </c>
      <c r="H49" s="7">
        <f t="shared" ref="H49:H59" si="46">C49*G49</f>
        <v>1.5280500000000001</v>
      </c>
      <c r="I49" s="8">
        <f t="shared" si="40"/>
        <v>0.19100625000000002</v>
      </c>
      <c r="J49" s="9">
        <f t="shared" ref="J49:J59" si="47">E49*0.25</f>
        <v>1.4999999999999999E-2</v>
      </c>
      <c r="K49" s="10">
        <v>0.61</v>
      </c>
      <c r="L49" s="10">
        <f t="shared" si="41"/>
        <v>9.1500000000000001E-3</v>
      </c>
      <c r="M49" s="10">
        <f t="shared" ref="M49:M59" si="48">C49*L49</f>
        <v>0.38201250000000003</v>
      </c>
      <c r="N49" s="11">
        <f t="shared" si="42"/>
        <v>4.7751562500000004E-2</v>
      </c>
      <c r="O49" s="12">
        <f t="shared" si="43"/>
        <v>1.4999999999999999E-2</v>
      </c>
      <c r="P49" s="13">
        <v>0.55000000000000004</v>
      </c>
      <c r="Q49" s="13">
        <f t="shared" si="44"/>
        <v>8.2500000000000004E-3</v>
      </c>
      <c r="R49" s="13">
        <f t="shared" ref="R49:R59" si="49">C49*Q49</f>
        <v>0.34443750000000001</v>
      </c>
      <c r="S49" s="14">
        <f t="shared" si="45"/>
        <v>4.3054687500000001E-2</v>
      </c>
    </row>
    <row r="50" spans="1:19" ht="15" customHeight="1" x14ac:dyDescent="0.3">
      <c r="A50" s="250">
        <f>VLOOKUP($D50,Reporting!$D:$T,MATCH($A$46,Reporting!$E$4:$L$4,0)+1,FALSE)</f>
        <v>0</v>
      </c>
      <c r="B50" s="250">
        <f>VLOOKUP($D50,Reporting!$D:$T,MATCH($A$46,Reporting!$V$4:$AC$4,0)+9,FALSE)</f>
        <v>0</v>
      </c>
      <c r="C50" s="238">
        <f t="shared" si="38"/>
        <v>0</v>
      </c>
      <c r="D50" s="20" t="s">
        <v>389</v>
      </c>
      <c r="E50" s="98">
        <v>0.08</v>
      </c>
      <c r="F50" s="6">
        <v>0.61</v>
      </c>
      <c r="G50" s="7">
        <f t="shared" si="39"/>
        <v>4.8800000000000003E-2</v>
      </c>
      <c r="H50" s="7">
        <f t="shared" si="46"/>
        <v>0</v>
      </c>
      <c r="I50" s="8">
        <f t="shared" si="40"/>
        <v>0</v>
      </c>
      <c r="J50" s="9">
        <f t="shared" si="47"/>
        <v>0.02</v>
      </c>
      <c r="K50" s="10">
        <v>0.61</v>
      </c>
      <c r="L50" s="10">
        <f t="shared" si="41"/>
        <v>1.2200000000000001E-2</v>
      </c>
      <c r="M50" s="10">
        <f t="shared" si="48"/>
        <v>0</v>
      </c>
      <c r="N50" s="11">
        <f t="shared" si="42"/>
        <v>0</v>
      </c>
      <c r="O50" s="12">
        <f t="shared" si="43"/>
        <v>0.02</v>
      </c>
      <c r="P50" s="13">
        <v>0.55000000000000004</v>
      </c>
      <c r="Q50" s="13">
        <f t="shared" si="44"/>
        <v>1.1000000000000001E-2</v>
      </c>
      <c r="R50" s="13">
        <f t="shared" si="49"/>
        <v>0</v>
      </c>
      <c r="S50" s="14">
        <f t="shared" si="45"/>
        <v>0</v>
      </c>
    </row>
    <row r="51" spans="1:19" ht="15" customHeight="1" x14ac:dyDescent="0.3">
      <c r="A51" s="250">
        <f>VLOOKUP($D51,Reporting!$D:$T,MATCH($A$46,Reporting!$E$4:$L$4,0)+1,FALSE)</f>
        <v>60</v>
      </c>
      <c r="B51" s="250">
        <f>VLOOKUP($D51,Reporting!$D:$T,MATCH($A$46,Reporting!$V$4:$AC$4,0)+9,FALSE)</f>
        <v>9</v>
      </c>
      <c r="C51" s="238">
        <f t="shared" si="38"/>
        <v>62.25</v>
      </c>
      <c r="D51" s="263" t="s">
        <v>373</v>
      </c>
      <c r="E51" s="98">
        <v>0.08</v>
      </c>
      <c r="F51" s="6">
        <v>0.61</v>
      </c>
      <c r="G51" s="7">
        <f t="shared" si="39"/>
        <v>4.8800000000000003E-2</v>
      </c>
      <c r="H51" s="7">
        <f t="shared" si="46"/>
        <v>3.0378000000000003</v>
      </c>
      <c r="I51" s="8">
        <f t="shared" si="40"/>
        <v>0.37972500000000003</v>
      </c>
      <c r="J51" s="9">
        <f t="shared" si="47"/>
        <v>0.02</v>
      </c>
      <c r="K51" s="10">
        <v>0.61</v>
      </c>
      <c r="L51" s="10">
        <f t="shared" si="41"/>
        <v>1.2200000000000001E-2</v>
      </c>
      <c r="M51" s="10">
        <f t="shared" si="48"/>
        <v>0.75945000000000007</v>
      </c>
      <c r="N51" s="11">
        <f t="shared" si="42"/>
        <v>9.4931250000000009E-2</v>
      </c>
      <c r="O51" s="12">
        <f t="shared" si="43"/>
        <v>0.02</v>
      </c>
      <c r="P51" s="13">
        <v>0.55000000000000004</v>
      </c>
      <c r="Q51" s="13">
        <f t="shared" si="44"/>
        <v>1.1000000000000001E-2</v>
      </c>
      <c r="R51" s="13">
        <f t="shared" si="49"/>
        <v>0.68475000000000008</v>
      </c>
      <c r="S51" s="14">
        <f t="shared" si="45"/>
        <v>8.559375000000001E-2</v>
      </c>
    </row>
    <row r="52" spans="1:19" ht="15" customHeight="1" x14ac:dyDescent="0.3">
      <c r="A52" s="250">
        <f>VLOOKUP($D52,Reporting!$D:$T,MATCH($A$46,Reporting!$E$4:$L$4,0)+1,FALSE)</f>
        <v>120</v>
      </c>
      <c r="B52" s="250">
        <f>VLOOKUP($D52,Reporting!$D:$T,MATCH($A$46,Reporting!$V$4:$AC$4,0)+9,FALSE)</f>
        <v>21</v>
      </c>
      <c r="C52" s="238">
        <f t="shared" si="38"/>
        <v>125.25</v>
      </c>
      <c r="D52" s="263" t="s">
        <v>374</v>
      </c>
      <c r="E52" s="98">
        <v>0.08</v>
      </c>
      <c r="F52" s="6">
        <v>0.61</v>
      </c>
      <c r="G52" s="7">
        <f t="shared" si="39"/>
        <v>4.8800000000000003E-2</v>
      </c>
      <c r="H52" s="7">
        <f t="shared" si="46"/>
        <v>6.1122000000000005</v>
      </c>
      <c r="I52" s="8">
        <f t="shared" si="40"/>
        <v>0.76402500000000007</v>
      </c>
      <c r="J52" s="9">
        <f t="shared" si="47"/>
        <v>0.02</v>
      </c>
      <c r="K52" s="10">
        <v>0.61</v>
      </c>
      <c r="L52" s="10">
        <f t="shared" si="41"/>
        <v>1.2200000000000001E-2</v>
      </c>
      <c r="M52" s="10">
        <f t="shared" si="48"/>
        <v>1.5280500000000001</v>
      </c>
      <c r="N52" s="11">
        <f t="shared" si="42"/>
        <v>0.19100625000000002</v>
      </c>
      <c r="O52" s="12">
        <f t="shared" si="43"/>
        <v>0.02</v>
      </c>
      <c r="P52" s="13">
        <v>0.55000000000000004</v>
      </c>
      <c r="Q52" s="13">
        <f t="shared" si="44"/>
        <v>1.1000000000000001E-2</v>
      </c>
      <c r="R52" s="13">
        <f t="shared" si="49"/>
        <v>1.37775</v>
      </c>
      <c r="S52" s="14">
        <f t="shared" si="45"/>
        <v>0.17221875</v>
      </c>
    </row>
    <row r="53" spans="1:19" ht="15.75" customHeight="1" x14ac:dyDescent="0.3">
      <c r="A53" s="250">
        <f>VLOOKUP($D53,Reporting!$D:$T,MATCH($A$46,Reporting!$E$4:$L$4,0)+1,FALSE)</f>
        <v>0</v>
      </c>
      <c r="B53" s="250">
        <f>VLOOKUP($D53,Reporting!$D:$T,MATCH($A$46,Reporting!$V$4:$AC$4,0)+9,FALSE)</f>
        <v>0</v>
      </c>
      <c r="C53" s="238">
        <f t="shared" si="38"/>
        <v>0</v>
      </c>
      <c r="D53" s="148" t="s">
        <v>390</v>
      </c>
      <c r="E53" s="99">
        <v>0.09</v>
      </c>
      <c r="F53" s="6">
        <v>0.61</v>
      </c>
      <c r="G53" s="7">
        <f t="shared" si="39"/>
        <v>5.4899999999999997E-2</v>
      </c>
      <c r="H53" s="7">
        <f t="shared" si="46"/>
        <v>0</v>
      </c>
      <c r="I53" s="8">
        <f t="shared" si="40"/>
        <v>0</v>
      </c>
      <c r="J53" s="9">
        <f t="shared" si="47"/>
        <v>2.2499999999999999E-2</v>
      </c>
      <c r="K53" s="10">
        <v>0.61</v>
      </c>
      <c r="L53" s="10">
        <f t="shared" si="41"/>
        <v>1.3724999999999999E-2</v>
      </c>
      <c r="M53" s="10">
        <f t="shared" si="48"/>
        <v>0</v>
      </c>
      <c r="N53" s="11">
        <f t="shared" si="42"/>
        <v>0</v>
      </c>
      <c r="O53" s="12">
        <f t="shared" si="43"/>
        <v>2.2499999999999999E-2</v>
      </c>
      <c r="P53" s="13">
        <v>0.55000000000000004</v>
      </c>
      <c r="Q53" s="13">
        <f t="shared" si="44"/>
        <v>1.2375000000000001E-2</v>
      </c>
      <c r="R53" s="13">
        <f t="shared" si="49"/>
        <v>0</v>
      </c>
      <c r="S53" s="14">
        <f t="shared" si="45"/>
        <v>0</v>
      </c>
    </row>
    <row r="54" spans="1:19" x14ac:dyDescent="0.3">
      <c r="A54" s="250">
        <f>VLOOKUP($D54,Reporting!$D:$T,MATCH($A$46,Reporting!$E$4:$L$4,0)+1,FALSE)</f>
        <v>0</v>
      </c>
      <c r="B54" s="250">
        <f>VLOOKUP($D54,Reporting!$D:$T,MATCH($A$46,Reporting!$V$4:$AC$4,0)+9,FALSE)</f>
        <v>0</v>
      </c>
      <c r="C54" s="238">
        <f>(B54*0.5)+A54</f>
        <v>0</v>
      </c>
      <c r="D54" s="268" t="s">
        <v>376</v>
      </c>
      <c r="E54" s="99">
        <v>0.12</v>
      </c>
      <c r="F54" s="6">
        <v>0.61</v>
      </c>
      <c r="G54" s="7">
        <f t="shared" ref="G54:G59" si="50">E54*F54</f>
        <v>7.3200000000000001E-2</v>
      </c>
      <c r="H54" s="7">
        <f t="shared" si="46"/>
        <v>0</v>
      </c>
      <c r="I54" s="8">
        <f t="shared" ref="I54:I59" si="51">H54/8</f>
        <v>0</v>
      </c>
      <c r="J54" s="9">
        <f t="shared" si="47"/>
        <v>0.03</v>
      </c>
      <c r="K54" s="10">
        <v>0.61</v>
      </c>
      <c r="L54" s="10">
        <f t="shared" ref="L54:L59" si="52">J54*K54</f>
        <v>1.83E-2</v>
      </c>
      <c r="M54" s="10">
        <f t="shared" si="48"/>
        <v>0</v>
      </c>
      <c r="N54" s="11">
        <f t="shared" ref="N54:N59" si="53">M54/8</f>
        <v>0</v>
      </c>
      <c r="O54" s="12">
        <f t="shared" ref="O54:O59" si="54">J54</f>
        <v>0.03</v>
      </c>
      <c r="P54" s="13">
        <v>0.55000000000000004</v>
      </c>
      <c r="Q54" s="13">
        <f t="shared" ref="Q54:Q59" si="55">O54*P54</f>
        <v>1.6500000000000001E-2</v>
      </c>
      <c r="R54" s="13">
        <f t="shared" si="49"/>
        <v>0</v>
      </c>
      <c r="S54" s="14">
        <f t="shared" ref="S54:S59" si="56">R54/8</f>
        <v>0</v>
      </c>
    </row>
    <row r="55" spans="1:19" x14ac:dyDescent="0.3">
      <c r="A55" s="250">
        <f>VLOOKUP($D55,Reporting!$D:$T,MATCH($A$46,Reporting!$E$4:$L$4,0)+1,FALSE)</f>
        <v>0</v>
      </c>
      <c r="B55" s="250">
        <f>VLOOKUP($D55,Reporting!$D:$T,MATCH($A$46,Reporting!$V$4:$AC$4,0)+9,FALSE)</f>
        <v>0</v>
      </c>
      <c r="C55" s="238">
        <f>(B55*0.5)+A55</f>
        <v>0</v>
      </c>
      <c r="D55" s="148" t="s">
        <v>391</v>
      </c>
      <c r="E55" s="99">
        <v>0.14000000000000001</v>
      </c>
      <c r="F55" s="6">
        <v>0.61</v>
      </c>
      <c r="G55" s="7">
        <f t="shared" si="50"/>
        <v>8.5400000000000004E-2</v>
      </c>
      <c r="H55" s="7">
        <f t="shared" si="46"/>
        <v>0</v>
      </c>
      <c r="I55" s="8">
        <f t="shared" si="51"/>
        <v>0</v>
      </c>
      <c r="J55" s="9">
        <f t="shared" si="47"/>
        <v>3.5000000000000003E-2</v>
      </c>
      <c r="K55" s="10">
        <v>0.61</v>
      </c>
      <c r="L55" s="10">
        <f t="shared" si="52"/>
        <v>2.1350000000000001E-2</v>
      </c>
      <c r="M55" s="10">
        <f t="shared" si="48"/>
        <v>0</v>
      </c>
      <c r="N55" s="11">
        <f t="shared" si="53"/>
        <v>0</v>
      </c>
      <c r="O55" s="12">
        <f t="shared" si="54"/>
        <v>3.5000000000000003E-2</v>
      </c>
      <c r="P55" s="13">
        <v>0.55000000000000004</v>
      </c>
      <c r="Q55" s="13">
        <f t="shared" si="55"/>
        <v>1.9250000000000003E-2</v>
      </c>
      <c r="R55" s="13">
        <f t="shared" si="49"/>
        <v>0</v>
      </c>
      <c r="S55" s="14">
        <f t="shared" si="56"/>
        <v>0</v>
      </c>
    </row>
    <row r="56" spans="1:19" x14ac:dyDescent="0.3">
      <c r="A56" s="250">
        <f>VLOOKUP($D56,Reporting!$D:$T,MATCH($A$46,Reporting!$E$4:$L$4,0)+1,FALSE)</f>
        <v>0</v>
      </c>
      <c r="B56" s="250">
        <f>VLOOKUP($D56,Reporting!$D:$T,MATCH($A$46,Reporting!$V$4:$AC$4,0)+9,FALSE)</f>
        <v>0</v>
      </c>
      <c r="C56" s="238">
        <f>(B56*0.5)+A56</f>
        <v>0</v>
      </c>
      <c r="D56" s="148" t="s">
        <v>392</v>
      </c>
      <c r="E56" s="99">
        <v>0.18</v>
      </c>
      <c r="F56" s="6">
        <v>0.61</v>
      </c>
      <c r="G56" s="7">
        <f t="shared" si="50"/>
        <v>0.10979999999999999</v>
      </c>
      <c r="H56" s="7">
        <f t="shared" si="46"/>
        <v>0</v>
      </c>
      <c r="I56" s="8">
        <f t="shared" si="51"/>
        <v>0</v>
      </c>
      <c r="J56" s="9">
        <f t="shared" si="47"/>
        <v>4.4999999999999998E-2</v>
      </c>
      <c r="K56" s="10">
        <v>0.61</v>
      </c>
      <c r="L56" s="10">
        <f t="shared" si="52"/>
        <v>2.7449999999999999E-2</v>
      </c>
      <c r="M56" s="10">
        <f t="shared" si="48"/>
        <v>0</v>
      </c>
      <c r="N56" s="11">
        <f t="shared" si="53"/>
        <v>0</v>
      </c>
      <c r="O56" s="12">
        <f t="shared" si="54"/>
        <v>4.4999999999999998E-2</v>
      </c>
      <c r="P56" s="13">
        <v>0.55000000000000004</v>
      </c>
      <c r="Q56" s="13">
        <f t="shared" si="55"/>
        <v>2.4750000000000001E-2</v>
      </c>
      <c r="R56" s="13">
        <f t="shared" si="49"/>
        <v>0</v>
      </c>
      <c r="S56" s="14">
        <f t="shared" si="56"/>
        <v>0</v>
      </c>
    </row>
    <row r="57" spans="1:19" x14ac:dyDescent="0.3">
      <c r="A57" s="250">
        <f>VLOOKUP($D57,Reporting!$D:$T,MATCH($A$46,Reporting!$E$4:$L$4,0)+1,FALSE)</f>
        <v>0</v>
      </c>
      <c r="B57" s="250">
        <f>VLOOKUP($D57,Reporting!$D:$T,MATCH($A$46,Reporting!$V$4:$AC$4,0)+9,FALSE)</f>
        <v>0</v>
      </c>
      <c r="C57" s="238">
        <f>(B57*0.75)+A57</f>
        <v>0</v>
      </c>
      <c r="D57" s="148" t="s">
        <v>393</v>
      </c>
      <c r="E57" s="99">
        <v>0.23</v>
      </c>
      <c r="F57" s="6">
        <v>0.61</v>
      </c>
      <c r="G57" s="7">
        <f t="shared" si="50"/>
        <v>0.14030000000000001</v>
      </c>
      <c r="H57" s="7">
        <f t="shared" si="46"/>
        <v>0</v>
      </c>
      <c r="I57" s="8">
        <f t="shared" si="51"/>
        <v>0</v>
      </c>
      <c r="J57" s="9">
        <f t="shared" si="47"/>
        <v>5.7500000000000002E-2</v>
      </c>
      <c r="K57" s="10">
        <v>0.61</v>
      </c>
      <c r="L57" s="10">
        <f t="shared" si="52"/>
        <v>3.5075000000000002E-2</v>
      </c>
      <c r="M57" s="10">
        <f t="shared" si="48"/>
        <v>0</v>
      </c>
      <c r="N57" s="11">
        <f t="shared" si="53"/>
        <v>0</v>
      </c>
      <c r="O57" s="12">
        <f t="shared" si="54"/>
        <v>5.7500000000000002E-2</v>
      </c>
      <c r="P57" s="13">
        <v>0.55000000000000004</v>
      </c>
      <c r="Q57" s="13">
        <f t="shared" si="55"/>
        <v>3.1625000000000007E-2</v>
      </c>
      <c r="R57" s="13">
        <f t="shared" si="49"/>
        <v>0</v>
      </c>
      <c r="S57" s="14">
        <f t="shared" si="56"/>
        <v>0</v>
      </c>
    </row>
    <row r="58" spans="1:19" x14ac:dyDescent="0.3">
      <c r="A58" s="250">
        <f>VLOOKUP($D58,Reporting!$D:$T,MATCH($A$46,Reporting!$E$4:$L$4,0)+1,FALSE)</f>
        <v>0</v>
      </c>
      <c r="B58" s="250">
        <f>VLOOKUP($D58,Reporting!$D:$T,MATCH($A$46,Reporting!$V$4:$AC$4,0)+9,FALSE)</f>
        <v>0</v>
      </c>
      <c r="C58" s="238">
        <f>(B58*0.75)+A58</f>
        <v>0</v>
      </c>
      <c r="D58" s="148" t="s">
        <v>394</v>
      </c>
      <c r="E58" s="99">
        <v>0.27</v>
      </c>
      <c r="F58" s="6">
        <v>0.61</v>
      </c>
      <c r="G58" s="7">
        <f t="shared" si="50"/>
        <v>0.16470000000000001</v>
      </c>
      <c r="H58" s="7">
        <f t="shared" si="46"/>
        <v>0</v>
      </c>
      <c r="I58" s="8">
        <f t="shared" si="51"/>
        <v>0</v>
      </c>
      <c r="J58" s="9">
        <f t="shared" si="47"/>
        <v>6.7500000000000004E-2</v>
      </c>
      <c r="K58" s="10">
        <v>0.61</v>
      </c>
      <c r="L58" s="10">
        <f t="shared" si="52"/>
        <v>4.1175000000000003E-2</v>
      </c>
      <c r="M58" s="10">
        <f t="shared" si="48"/>
        <v>0</v>
      </c>
      <c r="N58" s="11">
        <f t="shared" si="53"/>
        <v>0</v>
      </c>
      <c r="O58" s="12">
        <f t="shared" si="54"/>
        <v>6.7500000000000004E-2</v>
      </c>
      <c r="P58" s="13">
        <v>0.55000000000000004</v>
      </c>
      <c r="Q58" s="13">
        <f t="shared" si="55"/>
        <v>3.7125000000000005E-2</v>
      </c>
      <c r="R58" s="13">
        <f t="shared" si="49"/>
        <v>0</v>
      </c>
      <c r="S58" s="14">
        <f t="shared" si="56"/>
        <v>0</v>
      </c>
    </row>
    <row r="59" spans="1:19" x14ac:dyDescent="0.3">
      <c r="A59" s="250">
        <f>VLOOKUP($D59,Reporting!$D:$T,MATCH($A$46,Reporting!$E$4:$L$4,0)+1,FALSE)</f>
        <v>0</v>
      </c>
      <c r="B59" s="250">
        <f>VLOOKUP($D59,Reporting!$D:$T,MATCH($A$46,Reporting!$V$4:$AC$4,0)+9,FALSE)</f>
        <v>0</v>
      </c>
      <c r="C59" s="238">
        <f>(B59*1)+A59</f>
        <v>0</v>
      </c>
      <c r="D59" s="148" t="s">
        <v>395</v>
      </c>
      <c r="E59" s="99">
        <v>0.39</v>
      </c>
      <c r="F59" s="6">
        <v>0.61</v>
      </c>
      <c r="G59" s="7">
        <f t="shared" si="50"/>
        <v>0.2379</v>
      </c>
      <c r="H59" s="7">
        <f t="shared" si="46"/>
        <v>0</v>
      </c>
      <c r="I59" s="8">
        <f t="shared" si="51"/>
        <v>0</v>
      </c>
      <c r="J59" s="9">
        <f t="shared" si="47"/>
        <v>9.7500000000000003E-2</v>
      </c>
      <c r="K59" s="10">
        <v>0.61</v>
      </c>
      <c r="L59" s="10">
        <f t="shared" si="52"/>
        <v>5.9475E-2</v>
      </c>
      <c r="M59" s="10">
        <f t="shared" si="48"/>
        <v>0</v>
      </c>
      <c r="N59" s="11">
        <f t="shared" si="53"/>
        <v>0</v>
      </c>
      <c r="O59" s="12">
        <f t="shared" si="54"/>
        <v>9.7500000000000003E-2</v>
      </c>
      <c r="P59" s="13">
        <v>0.55000000000000004</v>
      </c>
      <c r="Q59" s="13">
        <f t="shared" si="55"/>
        <v>5.3625000000000006E-2</v>
      </c>
      <c r="R59" s="13">
        <f t="shared" si="49"/>
        <v>0</v>
      </c>
      <c r="S59" s="14">
        <f t="shared" si="56"/>
        <v>0</v>
      </c>
    </row>
    <row r="60" spans="1:19" ht="15" thickBot="1" x14ac:dyDescent="0.35">
      <c r="A60" s="254"/>
      <c r="B60" s="22">
        <f>SUM(B48:B59)</f>
        <v>37</v>
      </c>
      <c r="C60" s="239"/>
      <c r="D60" s="269"/>
      <c r="E60" s="22"/>
      <c r="F60" s="644" t="s">
        <v>9</v>
      </c>
      <c r="G60" s="645"/>
      <c r="H60" s="645"/>
      <c r="I60" s="16">
        <f>SUM(I48:I59)</f>
        <v>1.3347562500000001</v>
      </c>
      <c r="J60" s="1"/>
      <c r="K60" s="646" t="s">
        <v>10</v>
      </c>
      <c r="L60" s="646"/>
      <c r="M60" s="646"/>
      <c r="N60" s="17">
        <f>SUM(N48:N59)</f>
        <v>0.33368906250000002</v>
      </c>
      <c r="O60" s="15"/>
      <c r="P60" s="647" t="s">
        <v>11</v>
      </c>
      <c r="Q60" s="647"/>
      <c r="R60" s="647"/>
      <c r="S60" s="18">
        <f>SUM(S48:S59)</f>
        <v>0.30086718750000002</v>
      </c>
    </row>
    <row r="61" spans="1:19" ht="15" thickBot="1" x14ac:dyDescent="0.35"/>
    <row r="62" spans="1:19" ht="15" customHeight="1" x14ac:dyDescent="0.3">
      <c r="A62" s="687" t="s">
        <v>159</v>
      </c>
      <c r="B62" s="687"/>
      <c r="C62" s="687"/>
      <c r="D62" s="687"/>
      <c r="E62" s="687"/>
      <c r="F62" s="640" t="s">
        <v>255</v>
      </c>
      <c r="G62" s="640"/>
      <c r="H62" s="640"/>
      <c r="I62" s="640"/>
      <c r="J62" s="640"/>
      <c r="K62" s="23"/>
      <c r="L62" s="23"/>
      <c r="M62" s="23"/>
      <c r="N62" s="23"/>
      <c r="O62" s="23"/>
      <c r="P62" s="23"/>
      <c r="Q62" s="23"/>
      <c r="R62" s="23"/>
      <c r="S62" s="24"/>
    </row>
    <row r="63" spans="1:19" ht="15" customHeight="1" x14ac:dyDescent="0.3">
      <c r="A63" s="688"/>
      <c r="B63" s="688"/>
      <c r="C63" s="688"/>
      <c r="D63" s="688"/>
      <c r="E63" s="688"/>
      <c r="F63" s="641"/>
      <c r="G63" s="641"/>
      <c r="H63" s="641"/>
      <c r="I63" s="641"/>
      <c r="J63" s="641"/>
      <c r="K63" s="42"/>
      <c r="L63" s="42"/>
      <c r="M63" s="42"/>
      <c r="N63" s="42"/>
      <c r="O63" s="42"/>
      <c r="P63" s="42"/>
      <c r="Q63" s="42"/>
      <c r="R63" s="42"/>
      <c r="S63" s="43"/>
    </row>
    <row r="64" spans="1:19" ht="15" customHeight="1" x14ac:dyDescent="0.3">
      <c r="A64" s="250">
        <f>VLOOKUP($D64,Reporting!$D:$T,MATCH($A$62,Reporting!$E$4:$L$4,0)+1,FALSE)</f>
        <v>0</v>
      </c>
      <c r="B64" s="250">
        <f>VLOOKUP($D64,Reporting!$D:$T,MATCH($A$62,Reporting!$V$4:$AC$4,0)+9,FALSE)</f>
        <v>0</v>
      </c>
      <c r="C64" s="238">
        <f t="shared" ref="C64:C69" si="57">(B64*0.25)+A64</f>
        <v>0</v>
      </c>
      <c r="D64" s="263" t="s">
        <v>371</v>
      </c>
      <c r="E64" s="98">
        <v>0.06</v>
      </c>
      <c r="F64" s="6">
        <v>0.61</v>
      </c>
      <c r="G64" s="7">
        <f t="shared" ref="G64:G72" si="58">E64*F64</f>
        <v>3.6600000000000001E-2</v>
      </c>
      <c r="H64" s="7">
        <f>C64*G64</f>
        <v>0</v>
      </c>
      <c r="I64" s="8">
        <f t="shared" ref="I64:I72" si="59">H64/8</f>
        <v>0</v>
      </c>
      <c r="J64" s="9">
        <f>E64*0.25</f>
        <v>1.4999999999999999E-2</v>
      </c>
      <c r="K64" s="10">
        <v>0.61</v>
      </c>
      <c r="L64" s="10">
        <f t="shared" ref="L64:L72" si="60">J64*K64</f>
        <v>9.1500000000000001E-3</v>
      </c>
      <c r="M64" s="10">
        <f>C64*L64</f>
        <v>0</v>
      </c>
      <c r="N64" s="11">
        <f t="shared" ref="N64:N72" si="61">M64/8</f>
        <v>0</v>
      </c>
      <c r="O64" s="12">
        <f t="shared" ref="O64:O72" si="62">J64</f>
        <v>1.4999999999999999E-2</v>
      </c>
      <c r="P64" s="13">
        <v>0.55000000000000004</v>
      </c>
      <c r="Q64" s="13">
        <f t="shared" ref="Q64:Q72" si="63">O64*P64</f>
        <v>8.2500000000000004E-3</v>
      </c>
      <c r="R64" s="13">
        <f>C64*Q64</f>
        <v>0</v>
      </c>
      <c r="S64" s="14">
        <f t="shared" ref="S64:S72" si="64">R64/8</f>
        <v>0</v>
      </c>
    </row>
    <row r="65" spans="1:19" ht="15" customHeight="1" x14ac:dyDescent="0.3">
      <c r="A65" s="250">
        <f>VLOOKUP($D65,Reporting!$D:$T,MATCH($A$62,Reporting!$E$4:$L$4,0)+1,FALSE)</f>
        <v>0</v>
      </c>
      <c r="B65" s="250">
        <f>VLOOKUP($D65,Reporting!$D:$T,MATCH($A$62,Reporting!$V$4:$AC$4,0)+9,FALSE)</f>
        <v>0</v>
      </c>
      <c r="C65" s="238">
        <f t="shared" si="57"/>
        <v>0</v>
      </c>
      <c r="D65" s="263" t="s">
        <v>372</v>
      </c>
      <c r="E65" s="98">
        <v>0.06</v>
      </c>
      <c r="F65" s="6">
        <v>0.61</v>
      </c>
      <c r="G65" s="7">
        <f t="shared" si="58"/>
        <v>3.6600000000000001E-2</v>
      </c>
      <c r="H65" s="7">
        <f t="shared" ref="H65:H72" si="65">C65*G65</f>
        <v>0</v>
      </c>
      <c r="I65" s="8">
        <f t="shared" si="59"/>
        <v>0</v>
      </c>
      <c r="J65" s="9">
        <f t="shared" ref="J65:J72" si="66">E65*0.25</f>
        <v>1.4999999999999999E-2</v>
      </c>
      <c r="K65" s="10">
        <v>0.61</v>
      </c>
      <c r="L65" s="10">
        <f t="shared" si="60"/>
        <v>9.1500000000000001E-3</v>
      </c>
      <c r="M65" s="10">
        <f t="shared" ref="M65:M72" si="67">C65*L65</f>
        <v>0</v>
      </c>
      <c r="N65" s="11">
        <f t="shared" si="61"/>
        <v>0</v>
      </c>
      <c r="O65" s="12">
        <f t="shared" si="62"/>
        <v>1.4999999999999999E-2</v>
      </c>
      <c r="P65" s="13">
        <v>0.55000000000000004</v>
      </c>
      <c r="Q65" s="13">
        <f t="shared" si="63"/>
        <v>8.2500000000000004E-3</v>
      </c>
      <c r="R65" s="13">
        <f t="shared" ref="R65:R72" si="68">C65*Q65</f>
        <v>0</v>
      </c>
      <c r="S65" s="14">
        <f t="shared" si="64"/>
        <v>0</v>
      </c>
    </row>
    <row r="66" spans="1:19" ht="15" customHeight="1" x14ac:dyDescent="0.3">
      <c r="A66" s="250">
        <f>VLOOKUP($D66,Reporting!$D:$T,MATCH($A$62,Reporting!$E$4:$L$4,0)+1,FALSE)</f>
        <v>0</v>
      </c>
      <c r="B66" s="250">
        <f>VLOOKUP($D66,Reporting!$D:$T,MATCH($A$62,Reporting!$V$4:$AC$4,0)+9,FALSE)</f>
        <v>0</v>
      </c>
      <c r="C66" s="238">
        <f t="shared" si="57"/>
        <v>0</v>
      </c>
      <c r="D66" s="20" t="s">
        <v>389</v>
      </c>
      <c r="E66" s="98">
        <v>0.08</v>
      </c>
      <c r="F66" s="6">
        <v>0.61</v>
      </c>
      <c r="G66" s="7">
        <f t="shared" si="58"/>
        <v>4.8800000000000003E-2</v>
      </c>
      <c r="H66" s="7">
        <f t="shared" si="65"/>
        <v>0</v>
      </c>
      <c r="I66" s="8">
        <f t="shared" si="59"/>
        <v>0</v>
      </c>
      <c r="J66" s="9">
        <f t="shared" si="66"/>
        <v>0.02</v>
      </c>
      <c r="K66" s="10">
        <v>0.61</v>
      </c>
      <c r="L66" s="10">
        <f t="shared" si="60"/>
        <v>1.2200000000000001E-2</v>
      </c>
      <c r="M66" s="10">
        <f t="shared" si="67"/>
        <v>0</v>
      </c>
      <c r="N66" s="11">
        <f t="shared" si="61"/>
        <v>0</v>
      </c>
      <c r="O66" s="12">
        <f t="shared" si="62"/>
        <v>0.02</v>
      </c>
      <c r="P66" s="13">
        <v>0.55000000000000004</v>
      </c>
      <c r="Q66" s="13">
        <f t="shared" si="63"/>
        <v>1.1000000000000001E-2</v>
      </c>
      <c r="R66" s="13">
        <f t="shared" si="68"/>
        <v>0</v>
      </c>
      <c r="S66" s="14">
        <f t="shared" si="64"/>
        <v>0</v>
      </c>
    </row>
    <row r="67" spans="1:19" ht="15" customHeight="1" x14ac:dyDescent="0.3">
      <c r="A67" s="250">
        <f>VLOOKUP($D67,Reporting!$D:$T,MATCH($A$62,Reporting!$E$4:$L$4,0)+1,FALSE)</f>
        <v>0</v>
      </c>
      <c r="B67" s="250">
        <f>VLOOKUP($D67,Reporting!$D:$T,MATCH($A$62,Reporting!$V$4:$AC$4,0)+9,FALSE)</f>
        <v>0</v>
      </c>
      <c r="C67" s="238">
        <f t="shared" si="57"/>
        <v>0</v>
      </c>
      <c r="D67" s="263" t="s">
        <v>373</v>
      </c>
      <c r="E67" s="98">
        <v>0.08</v>
      </c>
      <c r="F67" s="6">
        <v>0.61</v>
      </c>
      <c r="G67" s="7">
        <f t="shared" si="58"/>
        <v>4.8800000000000003E-2</v>
      </c>
      <c r="H67" s="7">
        <f t="shared" si="65"/>
        <v>0</v>
      </c>
      <c r="I67" s="8">
        <f t="shared" si="59"/>
        <v>0</v>
      </c>
      <c r="J67" s="9">
        <f t="shared" si="66"/>
        <v>0.02</v>
      </c>
      <c r="K67" s="10">
        <v>0.61</v>
      </c>
      <c r="L67" s="10">
        <f t="shared" si="60"/>
        <v>1.2200000000000001E-2</v>
      </c>
      <c r="M67" s="10">
        <f t="shared" si="67"/>
        <v>0</v>
      </c>
      <c r="N67" s="11">
        <f t="shared" si="61"/>
        <v>0</v>
      </c>
      <c r="O67" s="12">
        <f t="shared" si="62"/>
        <v>0.02</v>
      </c>
      <c r="P67" s="13">
        <v>0.55000000000000004</v>
      </c>
      <c r="Q67" s="13">
        <f t="shared" si="63"/>
        <v>1.1000000000000001E-2</v>
      </c>
      <c r="R67" s="13">
        <f t="shared" si="68"/>
        <v>0</v>
      </c>
      <c r="S67" s="14">
        <f t="shared" si="64"/>
        <v>0</v>
      </c>
    </row>
    <row r="68" spans="1:19" ht="15" customHeight="1" x14ac:dyDescent="0.3">
      <c r="A68" s="250">
        <f>VLOOKUP($D68,Reporting!$D:$T,MATCH($A$62,Reporting!$E$4:$L$4,0)+1,FALSE)</f>
        <v>0</v>
      </c>
      <c r="B68" s="250">
        <f>VLOOKUP($D68,Reporting!$D:$T,MATCH($A$62,Reporting!$V$4:$AC$4,0)+9,FALSE)</f>
        <v>0</v>
      </c>
      <c r="C68" s="238">
        <f t="shared" si="57"/>
        <v>0</v>
      </c>
      <c r="D68" s="263" t="s">
        <v>374</v>
      </c>
      <c r="E68" s="98">
        <v>0.08</v>
      </c>
      <c r="F68" s="6">
        <v>0.61</v>
      </c>
      <c r="G68" s="7">
        <f t="shared" si="58"/>
        <v>4.8800000000000003E-2</v>
      </c>
      <c r="H68" s="7">
        <f t="shared" si="65"/>
        <v>0</v>
      </c>
      <c r="I68" s="8">
        <f t="shared" si="59"/>
        <v>0</v>
      </c>
      <c r="J68" s="9">
        <f t="shared" si="66"/>
        <v>0.02</v>
      </c>
      <c r="K68" s="10">
        <v>0.61</v>
      </c>
      <c r="L68" s="10">
        <f t="shared" si="60"/>
        <v>1.2200000000000001E-2</v>
      </c>
      <c r="M68" s="10">
        <f t="shared" si="67"/>
        <v>0</v>
      </c>
      <c r="N68" s="11">
        <f t="shared" si="61"/>
        <v>0</v>
      </c>
      <c r="O68" s="12">
        <f t="shared" si="62"/>
        <v>0.02</v>
      </c>
      <c r="P68" s="13">
        <v>0.55000000000000004</v>
      </c>
      <c r="Q68" s="13">
        <f t="shared" si="63"/>
        <v>1.1000000000000001E-2</v>
      </c>
      <c r="R68" s="13">
        <f t="shared" si="68"/>
        <v>0</v>
      </c>
      <c r="S68" s="14">
        <f t="shared" si="64"/>
        <v>0</v>
      </c>
    </row>
    <row r="69" spans="1:19" ht="15.75" customHeight="1" x14ac:dyDescent="0.3">
      <c r="A69" s="250">
        <f>VLOOKUP($D69,Reporting!$D:$T,MATCH($A$62,Reporting!$E$4:$L$4,0)+1,FALSE)</f>
        <v>0</v>
      </c>
      <c r="B69" s="250">
        <f>VLOOKUP($D69,Reporting!$D:$T,MATCH($A$62,Reporting!$V$4:$AC$4,0)+9,FALSE)</f>
        <v>0</v>
      </c>
      <c r="C69" s="238">
        <f t="shared" si="57"/>
        <v>0</v>
      </c>
      <c r="D69" s="148" t="s">
        <v>390</v>
      </c>
      <c r="E69" s="99">
        <v>0.09</v>
      </c>
      <c r="F69" s="6">
        <v>0.61</v>
      </c>
      <c r="G69" s="7">
        <f t="shared" si="58"/>
        <v>5.4899999999999997E-2</v>
      </c>
      <c r="H69" s="7">
        <f t="shared" si="65"/>
        <v>0</v>
      </c>
      <c r="I69" s="8">
        <f t="shared" si="59"/>
        <v>0</v>
      </c>
      <c r="J69" s="9">
        <f t="shared" si="66"/>
        <v>2.2499999999999999E-2</v>
      </c>
      <c r="K69" s="10">
        <v>0.61</v>
      </c>
      <c r="L69" s="10">
        <f t="shared" si="60"/>
        <v>1.3724999999999999E-2</v>
      </c>
      <c r="M69" s="10">
        <f t="shared" si="67"/>
        <v>0</v>
      </c>
      <c r="N69" s="11">
        <f t="shared" si="61"/>
        <v>0</v>
      </c>
      <c r="O69" s="12">
        <f t="shared" si="62"/>
        <v>2.2499999999999999E-2</v>
      </c>
      <c r="P69" s="13">
        <v>0.55000000000000004</v>
      </c>
      <c r="Q69" s="13">
        <f t="shared" si="63"/>
        <v>1.2375000000000001E-2</v>
      </c>
      <c r="R69" s="13">
        <f t="shared" si="68"/>
        <v>0</v>
      </c>
      <c r="S69" s="14">
        <f t="shared" si="64"/>
        <v>0</v>
      </c>
    </row>
    <row r="70" spans="1:19" x14ac:dyDescent="0.3">
      <c r="A70" s="250">
        <f>VLOOKUP($D70,Reporting!$D:$T,MATCH($A$62,Reporting!$E$4:$L$4,0)+1,FALSE)</f>
        <v>0</v>
      </c>
      <c r="B70" s="250">
        <f>VLOOKUP($D70,Reporting!$D:$T,MATCH($A$62,Reporting!$V$4:$AC$4,0)+9,FALSE)</f>
        <v>0</v>
      </c>
      <c r="C70" s="238">
        <f>(B70*0.5)+A70</f>
        <v>0</v>
      </c>
      <c r="D70" s="268" t="s">
        <v>376</v>
      </c>
      <c r="E70" s="99">
        <v>0.12</v>
      </c>
      <c r="F70" s="6">
        <v>0.61</v>
      </c>
      <c r="G70" s="7">
        <f t="shared" si="58"/>
        <v>7.3200000000000001E-2</v>
      </c>
      <c r="H70" s="7">
        <f t="shared" si="65"/>
        <v>0</v>
      </c>
      <c r="I70" s="8">
        <f t="shared" si="59"/>
        <v>0</v>
      </c>
      <c r="J70" s="9">
        <f t="shared" si="66"/>
        <v>0.03</v>
      </c>
      <c r="K70" s="10">
        <v>0.61</v>
      </c>
      <c r="L70" s="10">
        <f t="shared" si="60"/>
        <v>1.83E-2</v>
      </c>
      <c r="M70" s="10">
        <f t="shared" si="67"/>
        <v>0</v>
      </c>
      <c r="N70" s="11">
        <f t="shared" si="61"/>
        <v>0</v>
      </c>
      <c r="O70" s="12">
        <f t="shared" si="62"/>
        <v>0.03</v>
      </c>
      <c r="P70" s="13">
        <v>0.55000000000000004</v>
      </c>
      <c r="Q70" s="13">
        <f t="shared" si="63"/>
        <v>1.6500000000000001E-2</v>
      </c>
      <c r="R70" s="13">
        <f t="shared" si="68"/>
        <v>0</v>
      </c>
      <c r="S70" s="14">
        <f t="shared" si="64"/>
        <v>0</v>
      </c>
    </row>
    <row r="71" spans="1:19" x14ac:dyDescent="0.3">
      <c r="A71" s="250">
        <f>VLOOKUP($D71,Reporting!$D:$T,MATCH($A$62,Reporting!$E$4:$L$4,0)+1,FALSE)</f>
        <v>0</v>
      </c>
      <c r="B71" s="250">
        <f>VLOOKUP($D71,Reporting!$D:$T,MATCH($A$62,Reporting!$V$4:$AC$4,0)+9,FALSE)</f>
        <v>0</v>
      </c>
      <c r="C71" s="238">
        <f>(B71*0.5)+A71</f>
        <v>0</v>
      </c>
      <c r="D71" s="148" t="s">
        <v>391</v>
      </c>
      <c r="E71" s="99">
        <v>0.15</v>
      </c>
      <c r="F71" s="6">
        <v>0.61</v>
      </c>
      <c r="G71" s="7">
        <f t="shared" si="58"/>
        <v>9.1499999999999998E-2</v>
      </c>
      <c r="H71" s="7">
        <f t="shared" si="65"/>
        <v>0</v>
      </c>
      <c r="I71" s="8">
        <f t="shared" si="59"/>
        <v>0</v>
      </c>
      <c r="J71" s="9">
        <f t="shared" si="66"/>
        <v>3.7499999999999999E-2</v>
      </c>
      <c r="K71" s="10">
        <v>0.61</v>
      </c>
      <c r="L71" s="10">
        <f t="shared" si="60"/>
        <v>2.2875E-2</v>
      </c>
      <c r="M71" s="10">
        <f t="shared" si="67"/>
        <v>0</v>
      </c>
      <c r="N71" s="11">
        <f t="shared" si="61"/>
        <v>0</v>
      </c>
      <c r="O71" s="12">
        <f t="shared" si="62"/>
        <v>3.7499999999999999E-2</v>
      </c>
      <c r="P71" s="13">
        <v>0.55000000000000004</v>
      </c>
      <c r="Q71" s="13">
        <f t="shared" si="63"/>
        <v>2.0625000000000001E-2</v>
      </c>
      <c r="R71" s="13">
        <f t="shared" si="68"/>
        <v>0</v>
      </c>
      <c r="S71" s="14">
        <f t="shared" si="64"/>
        <v>0</v>
      </c>
    </row>
    <row r="72" spans="1:19" x14ac:dyDescent="0.3">
      <c r="A72" s="250">
        <f>VLOOKUP($D72,Reporting!$D:$T,MATCH($A$62,Reporting!$E$4:$L$4,0)+1,FALSE)</f>
        <v>0</v>
      </c>
      <c r="B72" s="250">
        <f>VLOOKUP($D72,Reporting!$D:$T,MATCH($A$62,Reporting!$V$4:$AC$4,0)+9,FALSE)</f>
        <v>0</v>
      </c>
      <c r="C72" s="238">
        <f>(B72*0.5)+A72</f>
        <v>0</v>
      </c>
      <c r="D72" s="148" t="s">
        <v>392</v>
      </c>
      <c r="E72" s="99">
        <v>0.2</v>
      </c>
      <c r="F72" s="6">
        <v>0.61</v>
      </c>
      <c r="G72" s="7">
        <f t="shared" si="58"/>
        <v>0.122</v>
      </c>
      <c r="H72" s="7">
        <f t="shared" si="65"/>
        <v>0</v>
      </c>
      <c r="I72" s="8">
        <f t="shared" si="59"/>
        <v>0</v>
      </c>
      <c r="J72" s="9">
        <f t="shared" si="66"/>
        <v>0.05</v>
      </c>
      <c r="K72" s="10">
        <v>0.61</v>
      </c>
      <c r="L72" s="10">
        <f t="shared" si="60"/>
        <v>3.0499999999999999E-2</v>
      </c>
      <c r="M72" s="10">
        <f t="shared" si="67"/>
        <v>0</v>
      </c>
      <c r="N72" s="11">
        <f t="shared" si="61"/>
        <v>0</v>
      </c>
      <c r="O72" s="12">
        <f t="shared" si="62"/>
        <v>0.05</v>
      </c>
      <c r="P72" s="13">
        <v>0.55000000000000004</v>
      </c>
      <c r="Q72" s="13">
        <f t="shared" si="63"/>
        <v>2.7500000000000004E-2</v>
      </c>
      <c r="R72" s="13">
        <f t="shared" si="68"/>
        <v>0</v>
      </c>
      <c r="S72" s="14">
        <f t="shared" si="64"/>
        <v>0</v>
      </c>
    </row>
    <row r="73" spans="1:19" ht="15" thickBot="1" x14ac:dyDescent="0.35">
      <c r="A73" s="254"/>
      <c r="B73" s="22">
        <f>SUM(B64:B72)</f>
        <v>0</v>
      </c>
      <c r="C73" s="239"/>
      <c r="D73" s="269"/>
      <c r="E73" s="22"/>
      <c r="F73" s="644" t="s">
        <v>9</v>
      </c>
      <c r="G73" s="645"/>
      <c r="H73" s="645"/>
      <c r="I73" s="16">
        <f>SUM(I64:I72)</f>
        <v>0</v>
      </c>
      <c r="J73" s="1"/>
      <c r="K73" s="646" t="s">
        <v>10</v>
      </c>
      <c r="L73" s="646"/>
      <c r="M73" s="646"/>
      <c r="N73" s="17">
        <f>SUM(N64:N72)</f>
        <v>0</v>
      </c>
      <c r="O73" s="15"/>
      <c r="P73" s="647" t="s">
        <v>11</v>
      </c>
      <c r="Q73" s="647"/>
      <c r="R73" s="647"/>
      <c r="S73" s="18">
        <f>SUM(S64:S72)</f>
        <v>0</v>
      </c>
    </row>
    <row r="74" spans="1:19" ht="15" thickBot="1" x14ac:dyDescent="0.35"/>
    <row r="75" spans="1:19" ht="15" customHeight="1" x14ac:dyDescent="0.3">
      <c r="A75" s="642" t="s">
        <v>16</v>
      </c>
      <c r="B75" s="642"/>
      <c r="C75" s="642"/>
      <c r="D75" s="642"/>
      <c r="E75" s="642"/>
      <c r="F75" s="638" t="s">
        <v>84</v>
      </c>
      <c r="G75" s="638"/>
      <c r="H75" s="638"/>
      <c r="I75" s="638"/>
      <c r="J75" s="638"/>
      <c r="K75" s="25"/>
      <c r="L75" s="25"/>
      <c r="M75" s="25"/>
      <c r="N75" s="25"/>
      <c r="O75" s="25"/>
      <c r="P75" s="25"/>
      <c r="Q75" s="25"/>
      <c r="R75" s="25"/>
      <c r="S75" s="26"/>
    </row>
    <row r="76" spans="1:19" ht="15" customHeight="1" x14ac:dyDescent="0.3">
      <c r="A76" s="643"/>
      <c r="B76" s="643"/>
      <c r="C76" s="643"/>
      <c r="D76" s="643"/>
      <c r="E76" s="643"/>
      <c r="F76" s="639"/>
      <c r="G76" s="639"/>
      <c r="H76" s="639"/>
      <c r="I76" s="639"/>
      <c r="J76" s="639"/>
      <c r="K76" s="54"/>
      <c r="L76" s="54"/>
      <c r="M76" s="54"/>
      <c r="N76" s="54"/>
      <c r="O76" s="54"/>
      <c r="P76" s="54"/>
      <c r="Q76" s="54"/>
      <c r="R76" s="54"/>
      <c r="S76" s="55"/>
    </row>
    <row r="77" spans="1:19" ht="15" customHeight="1" x14ac:dyDescent="0.3">
      <c r="A77" s="250">
        <f>VLOOKUP($D77,Reporting!$D:$T,MATCH($A$75,Reporting!$E$4:$L$4,0)+1,FALSE)</f>
        <v>0</v>
      </c>
      <c r="B77" s="250">
        <f>VLOOKUP($D77,Reporting!$D:$T,MATCH($A$75,Reporting!$V$4:$AC$4,0)+9,FALSE)</f>
        <v>0</v>
      </c>
      <c r="C77" s="240">
        <f>(B77*0.25)+A77</f>
        <v>0</v>
      </c>
      <c r="D77" s="264" t="s">
        <v>374</v>
      </c>
      <c r="E77" s="100">
        <v>0.1</v>
      </c>
      <c r="F77" s="6">
        <v>0.61</v>
      </c>
      <c r="G77" s="7">
        <f t="shared" ref="G77:G86" si="69">E77*F77</f>
        <v>6.0999999999999999E-2</v>
      </c>
      <c r="H77" s="7">
        <f>C77*G77</f>
        <v>0</v>
      </c>
      <c r="I77" s="8">
        <f t="shared" ref="I77:I86" si="70">H77/8</f>
        <v>0</v>
      </c>
      <c r="J77" s="9">
        <f>E77*0.25</f>
        <v>2.5000000000000001E-2</v>
      </c>
      <c r="K77" s="10">
        <v>0.61</v>
      </c>
      <c r="L77" s="10">
        <f t="shared" ref="L77:L86" si="71">J77*K77</f>
        <v>1.525E-2</v>
      </c>
      <c r="M77" s="10">
        <f>C77*L77</f>
        <v>0</v>
      </c>
      <c r="N77" s="11">
        <f t="shared" ref="N77:N86" si="72">M77/8</f>
        <v>0</v>
      </c>
      <c r="O77" s="12">
        <f t="shared" ref="O77:O86" si="73">J77</f>
        <v>2.5000000000000001E-2</v>
      </c>
      <c r="P77" s="13">
        <v>0.55000000000000004</v>
      </c>
      <c r="Q77" s="13">
        <f t="shared" ref="Q77:Q86" si="74">O77*P77</f>
        <v>1.3750000000000002E-2</v>
      </c>
      <c r="R77" s="13">
        <f>C77*Q77</f>
        <v>0</v>
      </c>
      <c r="S77" s="14">
        <f t="shared" ref="S77:S86" si="75">R77/8</f>
        <v>0</v>
      </c>
    </row>
    <row r="78" spans="1:19" ht="15" customHeight="1" x14ac:dyDescent="0.3">
      <c r="A78" s="250">
        <f>VLOOKUP($D78,Reporting!$D:$T,MATCH($A$75,Reporting!$E$4:$L$4,0)+1,FALSE)</f>
        <v>0</v>
      </c>
      <c r="B78" s="250">
        <f>VLOOKUP($D78,Reporting!$D:$T,MATCH($A$75,Reporting!$V$4:$AC$4,0)+9,FALSE)</f>
        <v>0</v>
      </c>
      <c r="C78" s="240">
        <f>(B78*0.25)+A78</f>
        <v>0</v>
      </c>
      <c r="D78" s="51" t="s">
        <v>390</v>
      </c>
      <c r="E78" s="100">
        <v>0.12</v>
      </c>
      <c r="F78" s="6">
        <v>0.61</v>
      </c>
      <c r="G78" s="7">
        <f t="shared" si="69"/>
        <v>7.3200000000000001E-2</v>
      </c>
      <c r="H78" s="7">
        <f t="shared" ref="H78:H86" si="76">C78*G78</f>
        <v>0</v>
      </c>
      <c r="I78" s="8">
        <f t="shared" si="70"/>
        <v>0</v>
      </c>
      <c r="J78" s="9">
        <f t="shared" ref="J78:J86" si="77">E78*0.25</f>
        <v>0.03</v>
      </c>
      <c r="K78" s="10">
        <v>0.61</v>
      </c>
      <c r="L78" s="10">
        <f t="shared" si="71"/>
        <v>1.83E-2</v>
      </c>
      <c r="M78" s="10">
        <f t="shared" ref="M78:M86" si="78">C78*L78</f>
        <v>0</v>
      </c>
      <c r="N78" s="11">
        <f t="shared" si="72"/>
        <v>0</v>
      </c>
      <c r="O78" s="12">
        <f t="shared" si="73"/>
        <v>0.03</v>
      </c>
      <c r="P78" s="13">
        <v>0.55000000000000004</v>
      </c>
      <c r="Q78" s="13">
        <f t="shared" si="74"/>
        <v>1.6500000000000001E-2</v>
      </c>
      <c r="R78" s="13">
        <f t="shared" ref="R78:R86" si="79">C78*Q78</f>
        <v>0</v>
      </c>
      <c r="S78" s="14">
        <f t="shared" si="75"/>
        <v>0</v>
      </c>
    </row>
    <row r="79" spans="1:19" ht="15" customHeight="1" x14ac:dyDescent="0.3">
      <c r="A79" s="250">
        <f>VLOOKUP($D79,Reporting!$D:$T,MATCH($A$75,Reporting!$E$4:$L$4,0)+1,FALSE)</f>
        <v>0</v>
      </c>
      <c r="B79" s="250">
        <f>VLOOKUP($D79,Reporting!$D:$T,MATCH($A$75,Reporting!$V$4:$AC$4,0)+9,FALSE)</f>
        <v>0</v>
      </c>
      <c r="C79" s="240">
        <f>(B79*0.25)+A79</f>
        <v>0</v>
      </c>
      <c r="D79" s="51" t="s">
        <v>391</v>
      </c>
      <c r="E79" s="100">
        <v>0.16</v>
      </c>
      <c r="F79" s="6">
        <v>0.61</v>
      </c>
      <c r="G79" s="7">
        <f t="shared" si="69"/>
        <v>9.7600000000000006E-2</v>
      </c>
      <c r="H79" s="7">
        <f t="shared" si="76"/>
        <v>0</v>
      </c>
      <c r="I79" s="8">
        <f t="shared" si="70"/>
        <v>0</v>
      </c>
      <c r="J79" s="9">
        <f t="shared" si="77"/>
        <v>0.04</v>
      </c>
      <c r="K79" s="10">
        <v>0.61</v>
      </c>
      <c r="L79" s="10">
        <f t="shared" si="71"/>
        <v>2.4400000000000002E-2</v>
      </c>
      <c r="M79" s="10">
        <f t="shared" si="78"/>
        <v>0</v>
      </c>
      <c r="N79" s="11">
        <f t="shared" si="72"/>
        <v>0</v>
      </c>
      <c r="O79" s="12">
        <f t="shared" si="73"/>
        <v>0.04</v>
      </c>
      <c r="P79" s="13">
        <v>0.55000000000000004</v>
      </c>
      <c r="Q79" s="13">
        <f t="shared" si="74"/>
        <v>2.2000000000000002E-2</v>
      </c>
      <c r="R79" s="13">
        <f t="shared" si="79"/>
        <v>0</v>
      </c>
      <c r="S79" s="14">
        <f t="shared" si="75"/>
        <v>0</v>
      </c>
    </row>
    <row r="80" spans="1:19" ht="15" customHeight="1" x14ac:dyDescent="0.3">
      <c r="A80" s="250">
        <f>VLOOKUP($D80,Reporting!$D:$T,MATCH($A$75,Reporting!$E$4:$L$4,0)+1,FALSE)</f>
        <v>0</v>
      </c>
      <c r="B80" s="250">
        <f>VLOOKUP($D80,Reporting!$D:$T,MATCH($A$75,Reporting!$V$4:$AC$4,0)+9,FALSE)</f>
        <v>0</v>
      </c>
      <c r="C80" s="240">
        <f>(B80*0.5)+A80</f>
        <v>0</v>
      </c>
      <c r="D80" s="51" t="s">
        <v>392</v>
      </c>
      <c r="E80" s="100">
        <v>0.2</v>
      </c>
      <c r="F80" s="6">
        <v>0.61</v>
      </c>
      <c r="G80" s="7">
        <f t="shared" si="69"/>
        <v>0.122</v>
      </c>
      <c r="H80" s="7">
        <f t="shared" si="76"/>
        <v>0</v>
      </c>
      <c r="I80" s="8">
        <f t="shared" si="70"/>
        <v>0</v>
      </c>
      <c r="J80" s="9">
        <f t="shared" si="77"/>
        <v>0.05</v>
      </c>
      <c r="K80" s="10">
        <v>0.61</v>
      </c>
      <c r="L80" s="10">
        <f t="shared" si="71"/>
        <v>3.0499999999999999E-2</v>
      </c>
      <c r="M80" s="10">
        <f t="shared" si="78"/>
        <v>0</v>
      </c>
      <c r="N80" s="11">
        <f t="shared" si="72"/>
        <v>0</v>
      </c>
      <c r="O80" s="12">
        <f t="shared" si="73"/>
        <v>0.05</v>
      </c>
      <c r="P80" s="13">
        <v>0.55000000000000004</v>
      </c>
      <c r="Q80" s="13">
        <f t="shared" si="74"/>
        <v>2.7500000000000004E-2</v>
      </c>
      <c r="R80" s="13">
        <f t="shared" si="79"/>
        <v>0</v>
      </c>
      <c r="S80" s="14">
        <f t="shared" si="75"/>
        <v>0</v>
      </c>
    </row>
    <row r="81" spans="1:27" ht="15.75" customHeight="1" x14ac:dyDescent="0.3">
      <c r="A81" s="250">
        <f>VLOOKUP($D81,Reporting!$D:$T,MATCH($A$75,Reporting!$E$4:$L$4,0)+1,FALSE)</f>
        <v>0</v>
      </c>
      <c r="B81" s="250">
        <f>VLOOKUP($D81,Reporting!$D:$T,MATCH($A$75,Reporting!$V$4:$AC$4,0)+9,FALSE)</f>
        <v>0</v>
      </c>
      <c r="C81" s="240">
        <f>(B81*0.5)+A81</f>
        <v>0</v>
      </c>
      <c r="D81" s="270" t="s">
        <v>393</v>
      </c>
      <c r="E81" s="101">
        <v>0.23</v>
      </c>
      <c r="F81" s="6">
        <v>0.61</v>
      </c>
      <c r="G81" s="7">
        <f t="shared" si="69"/>
        <v>0.14030000000000001</v>
      </c>
      <c r="H81" s="7">
        <f t="shared" si="76"/>
        <v>0</v>
      </c>
      <c r="I81" s="8">
        <f t="shared" si="70"/>
        <v>0</v>
      </c>
      <c r="J81" s="9">
        <f t="shared" si="77"/>
        <v>5.7500000000000002E-2</v>
      </c>
      <c r="K81" s="10">
        <v>0.61</v>
      </c>
      <c r="L81" s="10">
        <f t="shared" si="71"/>
        <v>3.5075000000000002E-2</v>
      </c>
      <c r="M81" s="10">
        <f t="shared" si="78"/>
        <v>0</v>
      </c>
      <c r="N81" s="11">
        <f t="shared" si="72"/>
        <v>0</v>
      </c>
      <c r="O81" s="12">
        <f t="shared" si="73"/>
        <v>5.7500000000000002E-2</v>
      </c>
      <c r="P81" s="13">
        <v>0.55000000000000004</v>
      </c>
      <c r="Q81" s="13">
        <f t="shared" si="74"/>
        <v>3.1625000000000007E-2</v>
      </c>
      <c r="R81" s="13">
        <f t="shared" si="79"/>
        <v>0</v>
      </c>
      <c r="S81" s="14">
        <f t="shared" si="75"/>
        <v>0</v>
      </c>
    </row>
    <row r="82" spans="1:27" x14ac:dyDescent="0.3">
      <c r="A82" s="250">
        <f>VLOOKUP($D82,Reporting!$D:$T,MATCH($A$75,Reporting!$E$4:$L$4,0)+1,FALSE)</f>
        <v>0</v>
      </c>
      <c r="B82" s="250">
        <f>VLOOKUP($D82,Reporting!$D:$T,MATCH($A$75,Reporting!$V$4:$AC$4,0)+9,FALSE)</f>
        <v>0</v>
      </c>
      <c r="C82" s="240">
        <f>(B82*0.75)+A82</f>
        <v>0</v>
      </c>
      <c r="D82" s="270" t="s">
        <v>394</v>
      </c>
      <c r="E82" s="101">
        <v>0.27</v>
      </c>
      <c r="F82" s="6">
        <v>0.61</v>
      </c>
      <c r="G82" s="7">
        <f t="shared" si="69"/>
        <v>0.16470000000000001</v>
      </c>
      <c r="H82" s="7">
        <f t="shared" si="76"/>
        <v>0</v>
      </c>
      <c r="I82" s="8">
        <f t="shared" si="70"/>
        <v>0</v>
      </c>
      <c r="J82" s="9">
        <f t="shared" si="77"/>
        <v>6.7500000000000004E-2</v>
      </c>
      <c r="K82" s="10">
        <v>0.61</v>
      </c>
      <c r="L82" s="10">
        <f t="shared" si="71"/>
        <v>4.1175000000000003E-2</v>
      </c>
      <c r="M82" s="10">
        <f t="shared" si="78"/>
        <v>0</v>
      </c>
      <c r="N82" s="11">
        <f t="shared" si="72"/>
        <v>0</v>
      </c>
      <c r="O82" s="12">
        <f t="shared" si="73"/>
        <v>6.7500000000000004E-2</v>
      </c>
      <c r="P82" s="13">
        <v>0.55000000000000004</v>
      </c>
      <c r="Q82" s="13">
        <f t="shared" si="74"/>
        <v>3.7125000000000005E-2</v>
      </c>
      <c r="R82" s="13">
        <f t="shared" si="79"/>
        <v>0</v>
      </c>
      <c r="S82" s="14">
        <f t="shared" si="75"/>
        <v>0</v>
      </c>
    </row>
    <row r="83" spans="1:27" x14ac:dyDescent="0.3">
      <c r="A83" s="250">
        <f>VLOOKUP($D83,Reporting!$D:$T,MATCH($A$75,Reporting!$E$4:$L$4,0)+1,FALSE)</f>
        <v>0</v>
      </c>
      <c r="B83" s="250">
        <f>VLOOKUP($D83,Reporting!$D:$T,MATCH($A$75,Reporting!$V$4:$AC$4,0)+9,FALSE)</f>
        <v>0</v>
      </c>
      <c r="C83" s="240">
        <f>(B83*0.75)+A83</f>
        <v>0</v>
      </c>
      <c r="D83" s="270" t="s">
        <v>395</v>
      </c>
      <c r="E83" s="101">
        <v>0.36</v>
      </c>
      <c r="F83" s="6">
        <v>0.61</v>
      </c>
      <c r="G83" s="7">
        <f t="shared" si="69"/>
        <v>0.21959999999999999</v>
      </c>
      <c r="H83" s="7">
        <f t="shared" si="76"/>
        <v>0</v>
      </c>
      <c r="I83" s="8">
        <f t="shared" si="70"/>
        <v>0</v>
      </c>
      <c r="J83" s="9">
        <f t="shared" si="77"/>
        <v>0.09</v>
      </c>
      <c r="K83" s="10">
        <v>0.61</v>
      </c>
      <c r="L83" s="10">
        <f t="shared" si="71"/>
        <v>5.4899999999999997E-2</v>
      </c>
      <c r="M83" s="10">
        <f t="shared" si="78"/>
        <v>0</v>
      </c>
      <c r="N83" s="11">
        <f t="shared" si="72"/>
        <v>0</v>
      </c>
      <c r="O83" s="12">
        <f t="shared" si="73"/>
        <v>0.09</v>
      </c>
      <c r="P83" s="13">
        <v>0.55000000000000004</v>
      </c>
      <c r="Q83" s="13">
        <f t="shared" si="74"/>
        <v>4.9500000000000002E-2</v>
      </c>
      <c r="R83" s="13">
        <f t="shared" si="79"/>
        <v>0</v>
      </c>
      <c r="S83" s="14">
        <f t="shared" si="75"/>
        <v>0</v>
      </c>
    </row>
    <row r="84" spans="1:27" x14ac:dyDescent="0.3">
      <c r="A84" s="250">
        <f>VLOOKUP($D84,Reporting!$D:$T,MATCH($A$75,Reporting!$E$4:$L$4,0)+1,FALSE)</f>
        <v>0</v>
      </c>
      <c r="B84" s="250">
        <f>VLOOKUP($D84,Reporting!$D:$T,MATCH($A$75,Reporting!$V$4:$AC$4,0)+9,FALSE)</f>
        <v>0</v>
      </c>
      <c r="C84" s="240">
        <f>(B84*1)+A84</f>
        <v>0</v>
      </c>
      <c r="D84" s="270" t="s">
        <v>396</v>
      </c>
      <c r="E84" s="101">
        <v>0.5</v>
      </c>
      <c r="F84" s="6">
        <v>0.61</v>
      </c>
      <c r="G84" s="7">
        <f t="shared" si="69"/>
        <v>0.30499999999999999</v>
      </c>
      <c r="H84" s="7">
        <f t="shared" si="76"/>
        <v>0</v>
      </c>
      <c r="I84" s="8">
        <f t="shared" si="70"/>
        <v>0</v>
      </c>
      <c r="J84" s="9">
        <f t="shared" si="77"/>
        <v>0.125</v>
      </c>
      <c r="K84" s="10">
        <v>0.61</v>
      </c>
      <c r="L84" s="10">
        <f t="shared" si="71"/>
        <v>7.6249999999999998E-2</v>
      </c>
      <c r="M84" s="10">
        <f t="shared" si="78"/>
        <v>0</v>
      </c>
      <c r="N84" s="11">
        <f t="shared" si="72"/>
        <v>0</v>
      </c>
      <c r="O84" s="12">
        <f t="shared" si="73"/>
        <v>0.125</v>
      </c>
      <c r="P84" s="13">
        <v>0.55000000000000004</v>
      </c>
      <c r="Q84" s="13">
        <f t="shared" si="74"/>
        <v>6.8750000000000006E-2</v>
      </c>
      <c r="R84" s="13">
        <f t="shared" si="79"/>
        <v>0</v>
      </c>
      <c r="S84" s="14">
        <f t="shared" si="75"/>
        <v>0</v>
      </c>
    </row>
    <row r="85" spans="1:27" x14ac:dyDescent="0.3">
      <c r="A85" s="250">
        <f>VLOOKUP($D85,Reporting!$D:$T,MATCH($A$75,Reporting!$E$4:$L$4,0)+1,FALSE)</f>
        <v>0</v>
      </c>
      <c r="B85" s="250">
        <f>VLOOKUP($D85,Reporting!$D:$T,MATCH($A$75,Reporting!$V$4:$AC$4,0)+9,FALSE)</f>
        <v>0</v>
      </c>
      <c r="C85" s="240">
        <f>(B85*1)+A85</f>
        <v>0</v>
      </c>
      <c r="D85" s="270" t="s">
        <v>397</v>
      </c>
      <c r="E85" s="101">
        <v>0.56999999999999995</v>
      </c>
      <c r="F85" s="6">
        <v>0.61</v>
      </c>
      <c r="G85" s="7">
        <f t="shared" si="69"/>
        <v>0.34769999999999995</v>
      </c>
      <c r="H85" s="7">
        <f t="shared" si="76"/>
        <v>0</v>
      </c>
      <c r="I85" s="8">
        <f t="shared" si="70"/>
        <v>0</v>
      </c>
      <c r="J85" s="9">
        <f t="shared" si="77"/>
        <v>0.14249999999999999</v>
      </c>
      <c r="K85" s="10">
        <v>0.61</v>
      </c>
      <c r="L85" s="10">
        <f t="shared" si="71"/>
        <v>8.6924999999999988E-2</v>
      </c>
      <c r="M85" s="10">
        <f t="shared" si="78"/>
        <v>0</v>
      </c>
      <c r="N85" s="11">
        <f t="shared" si="72"/>
        <v>0</v>
      </c>
      <c r="O85" s="12">
        <f t="shared" si="73"/>
        <v>0.14249999999999999</v>
      </c>
      <c r="P85" s="13">
        <v>0.55000000000000004</v>
      </c>
      <c r="Q85" s="13">
        <f t="shared" si="74"/>
        <v>7.8375E-2</v>
      </c>
      <c r="R85" s="13">
        <f t="shared" si="79"/>
        <v>0</v>
      </c>
      <c r="S85" s="14">
        <f t="shared" si="75"/>
        <v>0</v>
      </c>
    </row>
    <row r="86" spans="1:27" x14ac:dyDescent="0.3">
      <c r="A86" s="250">
        <f>VLOOKUP($D86,Reporting!$D:$T,MATCH($A$75,Reporting!$E$4:$L$4,0)+1,FALSE)</f>
        <v>0</v>
      </c>
      <c r="B86" s="250">
        <f>VLOOKUP($D86,Reporting!$D:$T,MATCH($A$75,Reporting!$V$4:$AC$4,0)+9,FALSE)</f>
        <v>0</v>
      </c>
      <c r="C86" s="240">
        <f>(B86*1)+A86</f>
        <v>0</v>
      </c>
      <c r="D86" s="445" t="s">
        <v>405</v>
      </c>
      <c r="E86" s="101">
        <v>0.67</v>
      </c>
      <c r="F86" s="6">
        <v>0.61</v>
      </c>
      <c r="G86" s="7">
        <f t="shared" si="69"/>
        <v>0.40870000000000001</v>
      </c>
      <c r="H86" s="7">
        <f t="shared" si="76"/>
        <v>0</v>
      </c>
      <c r="I86" s="8">
        <f t="shared" si="70"/>
        <v>0</v>
      </c>
      <c r="J86" s="9">
        <f t="shared" si="77"/>
        <v>0.16750000000000001</v>
      </c>
      <c r="K86" s="10">
        <v>0.61</v>
      </c>
      <c r="L86" s="10">
        <f t="shared" si="71"/>
        <v>0.102175</v>
      </c>
      <c r="M86" s="10">
        <f t="shared" si="78"/>
        <v>0</v>
      </c>
      <c r="N86" s="11">
        <f t="shared" si="72"/>
        <v>0</v>
      </c>
      <c r="O86" s="12">
        <f t="shared" si="73"/>
        <v>0.16750000000000001</v>
      </c>
      <c r="P86" s="13">
        <v>0.55000000000000004</v>
      </c>
      <c r="Q86" s="13">
        <f t="shared" si="74"/>
        <v>9.2125000000000012E-2</v>
      </c>
      <c r="R86" s="13">
        <f t="shared" si="79"/>
        <v>0</v>
      </c>
      <c r="S86" s="14">
        <f t="shared" si="75"/>
        <v>0</v>
      </c>
      <c r="U86" s="598" t="s">
        <v>55</v>
      </c>
      <c r="V86" s="598"/>
      <c r="W86" s="598"/>
      <c r="Y86" s="681" t="s">
        <v>55</v>
      </c>
      <c r="Z86" s="681"/>
      <c r="AA86" s="681"/>
    </row>
    <row r="87" spans="1:27" ht="15" thickBot="1" x14ac:dyDescent="0.35">
      <c r="A87" s="255"/>
      <c r="B87" s="53">
        <f>SUM(B77:B86)</f>
        <v>0</v>
      </c>
      <c r="C87" s="241"/>
      <c r="D87" s="271"/>
      <c r="E87" s="53"/>
      <c r="F87" s="644" t="s">
        <v>9</v>
      </c>
      <c r="G87" s="645"/>
      <c r="H87" s="645"/>
      <c r="I87" s="16">
        <f>SUM(I77:I86)</f>
        <v>0</v>
      </c>
      <c r="J87" s="1"/>
      <c r="K87" s="646" t="s">
        <v>10</v>
      </c>
      <c r="L87" s="646"/>
      <c r="M87" s="646"/>
      <c r="N87" s="17">
        <f>SUM(N77:N86)</f>
        <v>0</v>
      </c>
      <c r="O87" s="15"/>
      <c r="P87" s="647" t="s">
        <v>11</v>
      </c>
      <c r="Q87" s="647"/>
      <c r="R87" s="647"/>
      <c r="S87" s="18">
        <f>SUM(S77:S86)</f>
        <v>0</v>
      </c>
      <c r="U87" s="664">
        <f>S87+S100</f>
        <v>0</v>
      </c>
      <c r="V87" s="665"/>
      <c r="W87" s="665"/>
      <c r="Y87" s="682">
        <f>N87+N100</f>
        <v>0</v>
      </c>
      <c r="Z87" s="683"/>
      <c r="AA87" s="683"/>
    </row>
    <row r="88" spans="1:27" ht="15" thickBot="1" x14ac:dyDescent="0.35">
      <c r="U88" s="665"/>
      <c r="V88" s="665"/>
      <c r="W88" s="665"/>
      <c r="Y88" s="683"/>
      <c r="Z88" s="683"/>
      <c r="AA88" s="683"/>
    </row>
    <row r="89" spans="1:27" ht="15" customHeight="1" x14ac:dyDescent="0.3">
      <c r="A89" s="654" t="s">
        <v>17</v>
      </c>
      <c r="B89" s="654"/>
      <c r="C89" s="654"/>
      <c r="D89" s="654"/>
      <c r="E89" s="654"/>
      <c r="F89" s="648" t="s">
        <v>85</v>
      </c>
      <c r="G89" s="648"/>
      <c r="H89" s="648"/>
      <c r="I89" s="648"/>
      <c r="J89" s="648"/>
      <c r="K89" s="47"/>
      <c r="L89" s="47"/>
      <c r="M89" s="47"/>
      <c r="N89" s="47"/>
      <c r="O89" s="47"/>
      <c r="P89" s="47"/>
      <c r="Q89" s="47"/>
      <c r="R89" s="47"/>
      <c r="S89" s="48"/>
      <c r="U89" s="665"/>
      <c r="V89" s="665"/>
      <c r="W89" s="665"/>
      <c r="Y89" s="683"/>
      <c r="Z89" s="683"/>
      <c r="AA89" s="683"/>
    </row>
    <row r="90" spans="1:27" ht="15" customHeight="1" x14ac:dyDescent="0.3">
      <c r="A90" s="655"/>
      <c r="B90" s="655"/>
      <c r="C90" s="655"/>
      <c r="D90" s="655"/>
      <c r="E90" s="655"/>
      <c r="F90" s="649"/>
      <c r="G90" s="649"/>
      <c r="H90" s="649"/>
      <c r="I90" s="649"/>
      <c r="J90" s="649"/>
      <c r="K90" s="49"/>
      <c r="L90" s="49"/>
      <c r="M90" s="49"/>
      <c r="N90" s="49"/>
      <c r="O90" s="49"/>
      <c r="P90" s="49"/>
      <c r="Q90" s="49"/>
      <c r="R90" s="49"/>
      <c r="S90" s="50"/>
    </row>
    <row r="91" spans="1:27" ht="15" customHeight="1" x14ac:dyDescent="0.3">
      <c r="A91" s="250">
        <f>VLOOKUP($D91,Reporting!$D:$T,MATCH($A$89,Reporting!$E$4:$L$4,0)+1,FALSE)</f>
        <v>0</v>
      </c>
      <c r="B91" s="250">
        <f>VLOOKUP($D91,Reporting!$D:$T,MATCH($A$89,Reporting!$V$4:$AC$4,0)+9,FALSE)</f>
        <v>0</v>
      </c>
      <c r="C91" s="242">
        <f>(B91*0.25)+A91</f>
        <v>0</v>
      </c>
      <c r="D91" s="51" t="s">
        <v>390</v>
      </c>
      <c r="E91" s="102">
        <v>0.14000000000000001</v>
      </c>
      <c r="F91" s="6">
        <v>0.61</v>
      </c>
      <c r="G91" s="7">
        <f t="shared" ref="G91:G99" si="80">E91*F91</f>
        <v>8.5400000000000004E-2</v>
      </c>
      <c r="H91" s="7">
        <f t="shared" ref="H91:H99" si="81">C91*G91</f>
        <v>0</v>
      </c>
      <c r="I91" s="8">
        <f t="shared" ref="I91:I99" si="82">H91/8</f>
        <v>0</v>
      </c>
      <c r="J91" s="9">
        <f>E91*0.25</f>
        <v>3.5000000000000003E-2</v>
      </c>
      <c r="K91" s="10">
        <v>0.61</v>
      </c>
      <c r="L91" s="10">
        <f t="shared" ref="L91:L99" si="83">J91*K91</f>
        <v>2.1350000000000001E-2</v>
      </c>
      <c r="M91" s="10">
        <f t="shared" ref="M91:M99" si="84">C91*L91</f>
        <v>0</v>
      </c>
      <c r="N91" s="11">
        <f t="shared" ref="N91:N99" si="85">M91/8</f>
        <v>0</v>
      </c>
      <c r="O91" s="12">
        <f t="shared" ref="O91:O99" si="86">J91</f>
        <v>3.5000000000000003E-2</v>
      </c>
      <c r="P91" s="13">
        <v>0.55000000000000004</v>
      </c>
      <c r="Q91" s="13">
        <f t="shared" ref="Q91:Q99" si="87">O91*P91</f>
        <v>1.9250000000000003E-2</v>
      </c>
      <c r="R91" s="13">
        <f t="shared" ref="R91:R99" si="88">C91*Q91</f>
        <v>0</v>
      </c>
      <c r="S91" s="14">
        <f t="shared" ref="S91:S99" si="89">R91/8</f>
        <v>0</v>
      </c>
    </row>
    <row r="92" spans="1:27" ht="15" customHeight="1" x14ac:dyDescent="0.3">
      <c r="A92" s="250">
        <f>VLOOKUP($D92,Reporting!$D:$T,MATCH($A$89,Reporting!$E$4:$L$4,0)+1,FALSE)</f>
        <v>0</v>
      </c>
      <c r="B92" s="250">
        <f>VLOOKUP($D92,Reporting!$D:$T,MATCH($A$89,Reporting!$V$4:$AC$4,0)+9,FALSE)</f>
        <v>0</v>
      </c>
      <c r="C92" s="242">
        <f>(B92*0.25)+A92</f>
        <v>0</v>
      </c>
      <c r="D92" s="51" t="s">
        <v>391</v>
      </c>
      <c r="E92" s="102">
        <v>0.18</v>
      </c>
      <c r="F92" s="6">
        <v>0.61</v>
      </c>
      <c r="G92" s="7">
        <f t="shared" si="80"/>
        <v>0.10979999999999999</v>
      </c>
      <c r="H92" s="7">
        <f t="shared" si="81"/>
        <v>0</v>
      </c>
      <c r="I92" s="8">
        <f t="shared" si="82"/>
        <v>0</v>
      </c>
      <c r="J92" s="9">
        <f t="shared" ref="J92:J99" si="90">E92*0.25</f>
        <v>4.4999999999999998E-2</v>
      </c>
      <c r="K92" s="10">
        <v>0.61</v>
      </c>
      <c r="L92" s="10">
        <f t="shared" si="83"/>
        <v>2.7449999999999999E-2</v>
      </c>
      <c r="M92" s="10">
        <f t="shared" si="84"/>
        <v>0</v>
      </c>
      <c r="N92" s="11">
        <f t="shared" si="85"/>
        <v>0</v>
      </c>
      <c r="O92" s="12">
        <f t="shared" si="86"/>
        <v>4.4999999999999998E-2</v>
      </c>
      <c r="P92" s="13">
        <v>0.55000000000000004</v>
      </c>
      <c r="Q92" s="13">
        <f t="shared" si="87"/>
        <v>2.4750000000000001E-2</v>
      </c>
      <c r="R92" s="13">
        <f t="shared" si="88"/>
        <v>0</v>
      </c>
      <c r="S92" s="14">
        <f t="shared" si="89"/>
        <v>0</v>
      </c>
    </row>
    <row r="93" spans="1:27" ht="15" customHeight="1" x14ac:dyDescent="0.3">
      <c r="A93" s="250">
        <f>VLOOKUP($D93,Reporting!$D:$T,MATCH($A$89,Reporting!$E$4:$L$4,0)+1,FALSE)</f>
        <v>0</v>
      </c>
      <c r="B93" s="250">
        <f>VLOOKUP($D93,Reporting!$D:$T,MATCH($A$89,Reporting!$V$4:$AC$4,0)+9,FALSE)</f>
        <v>0</v>
      </c>
      <c r="C93" s="242">
        <f>(B93*0.5)+A93</f>
        <v>0</v>
      </c>
      <c r="D93" s="51" t="s">
        <v>392</v>
      </c>
      <c r="E93" s="102">
        <v>0.23</v>
      </c>
      <c r="F93" s="6">
        <v>0.61</v>
      </c>
      <c r="G93" s="7">
        <f t="shared" si="80"/>
        <v>0.14030000000000001</v>
      </c>
      <c r="H93" s="7">
        <f t="shared" si="81"/>
        <v>0</v>
      </c>
      <c r="I93" s="8">
        <f t="shared" si="82"/>
        <v>0</v>
      </c>
      <c r="J93" s="9">
        <f t="shared" si="90"/>
        <v>5.7500000000000002E-2</v>
      </c>
      <c r="K93" s="10">
        <v>0.61</v>
      </c>
      <c r="L93" s="10">
        <f t="shared" si="83"/>
        <v>3.5075000000000002E-2</v>
      </c>
      <c r="M93" s="10">
        <f t="shared" si="84"/>
        <v>0</v>
      </c>
      <c r="N93" s="11">
        <f t="shared" si="85"/>
        <v>0</v>
      </c>
      <c r="O93" s="12">
        <f t="shared" si="86"/>
        <v>5.7500000000000002E-2</v>
      </c>
      <c r="P93" s="13">
        <v>0.55000000000000004</v>
      </c>
      <c r="Q93" s="13">
        <f t="shared" si="87"/>
        <v>3.1625000000000007E-2</v>
      </c>
      <c r="R93" s="13">
        <f t="shared" si="88"/>
        <v>0</v>
      </c>
      <c r="S93" s="14">
        <f t="shared" si="89"/>
        <v>0</v>
      </c>
    </row>
    <row r="94" spans="1:27" ht="15.75" customHeight="1" x14ac:dyDescent="0.3">
      <c r="A94" s="250">
        <f>VLOOKUP($D94,Reporting!$D:$T,MATCH($A$89,Reporting!$E$4:$L$4,0)+1,FALSE)</f>
        <v>0</v>
      </c>
      <c r="B94" s="250">
        <f>VLOOKUP($D94,Reporting!$D:$T,MATCH($A$89,Reporting!$V$4:$AC$4,0)+9,FALSE)</f>
        <v>0</v>
      </c>
      <c r="C94" s="242">
        <f>(B94*0.5)+A94</f>
        <v>0</v>
      </c>
      <c r="D94" s="270" t="s">
        <v>393</v>
      </c>
      <c r="E94" s="103">
        <v>0.27</v>
      </c>
      <c r="F94" s="6">
        <v>0.61</v>
      </c>
      <c r="G94" s="7">
        <f t="shared" si="80"/>
        <v>0.16470000000000001</v>
      </c>
      <c r="H94" s="7">
        <f t="shared" si="81"/>
        <v>0</v>
      </c>
      <c r="I94" s="8">
        <f t="shared" si="82"/>
        <v>0</v>
      </c>
      <c r="J94" s="9">
        <f t="shared" si="90"/>
        <v>6.7500000000000004E-2</v>
      </c>
      <c r="K94" s="10">
        <v>0.61</v>
      </c>
      <c r="L94" s="10">
        <f t="shared" si="83"/>
        <v>4.1175000000000003E-2</v>
      </c>
      <c r="M94" s="10">
        <f t="shared" si="84"/>
        <v>0</v>
      </c>
      <c r="N94" s="11">
        <f t="shared" si="85"/>
        <v>0</v>
      </c>
      <c r="O94" s="12">
        <f t="shared" si="86"/>
        <v>6.7500000000000004E-2</v>
      </c>
      <c r="P94" s="13">
        <v>0.55000000000000004</v>
      </c>
      <c r="Q94" s="13">
        <f t="shared" si="87"/>
        <v>3.7125000000000005E-2</v>
      </c>
      <c r="R94" s="13">
        <f t="shared" si="88"/>
        <v>0</v>
      </c>
      <c r="S94" s="14">
        <f t="shared" si="89"/>
        <v>0</v>
      </c>
    </row>
    <row r="95" spans="1:27" x14ac:dyDescent="0.3">
      <c r="A95" s="250">
        <f>VLOOKUP($D95,Reporting!$D:$T,MATCH($A$89,Reporting!$E$4:$L$4,0)+1,FALSE)</f>
        <v>0</v>
      </c>
      <c r="B95" s="250">
        <f>VLOOKUP($D95,Reporting!$D:$T,MATCH($A$89,Reporting!$V$4:$AC$4,0)+9,FALSE)</f>
        <v>0</v>
      </c>
      <c r="C95" s="242">
        <f>(B95*0.75)+A95</f>
        <v>0</v>
      </c>
      <c r="D95" s="270" t="s">
        <v>394</v>
      </c>
      <c r="E95" s="103">
        <v>0.32</v>
      </c>
      <c r="F95" s="6">
        <v>0.61</v>
      </c>
      <c r="G95" s="7">
        <f t="shared" si="80"/>
        <v>0.19520000000000001</v>
      </c>
      <c r="H95" s="7">
        <f t="shared" si="81"/>
        <v>0</v>
      </c>
      <c r="I95" s="8">
        <f t="shared" si="82"/>
        <v>0</v>
      </c>
      <c r="J95" s="9">
        <f t="shared" si="90"/>
        <v>0.08</v>
      </c>
      <c r="K95" s="10">
        <v>0.61</v>
      </c>
      <c r="L95" s="10">
        <f t="shared" si="83"/>
        <v>4.8800000000000003E-2</v>
      </c>
      <c r="M95" s="10">
        <f t="shared" si="84"/>
        <v>0</v>
      </c>
      <c r="N95" s="11">
        <f t="shared" si="85"/>
        <v>0</v>
      </c>
      <c r="O95" s="12">
        <f t="shared" si="86"/>
        <v>0.08</v>
      </c>
      <c r="P95" s="13">
        <v>0.55000000000000004</v>
      </c>
      <c r="Q95" s="13">
        <f t="shared" si="87"/>
        <v>4.4000000000000004E-2</v>
      </c>
      <c r="R95" s="13">
        <f t="shared" si="88"/>
        <v>0</v>
      </c>
      <c r="S95" s="14">
        <f t="shared" si="89"/>
        <v>0</v>
      </c>
    </row>
    <row r="96" spans="1:27" x14ac:dyDescent="0.3">
      <c r="A96" s="250">
        <f>VLOOKUP($D96,Reporting!$D:$T,MATCH($A$89,Reporting!$E$4:$L$4,0)+1,FALSE)</f>
        <v>0</v>
      </c>
      <c r="B96" s="250">
        <f>VLOOKUP($D96,Reporting!$D:$T,MATCH($A$89,Reporting!$V$4:$AC$4,0)+9,FALSE)</f>
        <v>0</v>
      </c>
      <c r="C96" s="242">
        <f>(B96*0.75)+A96</f>
        <v>0</v>
      </c>
      <c r="D96" s="270" t="s">
        <v>395</v>
      </c>
      <c r="E96" s="103">
        <v>0.44</v>
      </c>
      <c r="F96" s="6">
        <v>0.61</v>
      </c>
      <c r="G96" s="7">
        <f t="shared" si="80"/>
        <v>0.26839999999999997</v>
      </c>
      <c r="H96" s="7">
        <f t="shared" si="81"/>
        <v>0</v>
      </c>
      <c r="I96" s="8">
        <f t="shared" si="82"/>
        <v>0</v>
      </c>
      <c r="J96" s="9">
        <f t="shared" si="90"/>
        <v>0.11</v>
      </c>
      <c r="K96" s="10">
        <v>0.61</v>
      </c>
      <c r="L96" s="10">
        <f t="shared" si="83"/>
        <v>6.7099999999999993E-2</v>
      </c>
      <c r="M96" s="10">
        <f t="shared" si="84"/>
        <v>0</v>
      </c>
      <c r="N96" s="11">
        <f t="shared" si="85"/>
        <v>0</v>
      </c>
      <c r="O96" s="12">
        <f t="shared" si="86"/>
        <v>0.11</v>
      </c>
      <c r="P96" s="13">
        <v>0.55000000000000004</v>
      </c>
      <c r="Q96" s="13">
        <f t="shared" si="87"/>
        <v>6.0500000000000005E-2</v>
      </c>
      <c r="R96" s="13">
        <f t="shared" si="88"/>
        <v>0</v>
      </c>
      <c r="S96" s="14">
        <f t="shared" si="89"/>
        <v>0</v>
      </c>
    </row>
    <row r="97" spans="1:19" x14ac:dyDescent="0.3">
      <c r="A97" s="250">
        <f>VLOOKUP($D97,Reporting!$D:$T,MATCH($A$89,Reporting!$E$4:$L$4,0)+1,FALSE)</f>
        <v>0</v>
      </c>
      <c r="B97" s="250">
        <f>VLOOKUP($D97,Reporting!$D:$T,MATCH($A$89,Reporting!$V$4:$AC$4,0)+9,FALSE)</f>
        <v>0</v>
      </c>
      <c r="C97" s="242">
        <f>(B97*1)+A97</f>
        <v>0</v>
      </c>
      <c r="D97" s="270" t="s">
        <v>396</v>
      </c>
      <c r="E97" s="103">
        <v>0.56999999999999995</v>
      </c>
      <c r="F97" s="6">
        <v>0.61</v>
      </c>
      <c r="G97" s="7">
        <f t="shared" si="80"/>
        <v>0.34769999999999995</v>
      </c>
      <c r="H97" s="7">
        <f t="shared" si="81"/>
        <v>0</v>
      </c>
      <c r="I97" s="8">
        <f t="shared" si="82"/>
        <v>0</v>
      </c>
      <c r="J97" s="9">
        <f t="shared" si="90"/>
        <v>0.14249999999999999</v>
      </c>
      <c r="K97" s="10">
        <v>0.61</v>
      </c>
      <c r="L97" s="10">
        <f t="shared" si="83"/>
        <v>8.6924999999999988E-2</v>
      </c>
      <c r="M97" s="10">
        <f t="shared" si="84"/>
        <v>0</v>
      </c>
      <c r="N97" s="11">
        <f t="shared" si="85"/>
        <v>0</v>
      </c>
      <c r="O97" s="12">
        <f t="shared" si="86"/>
        <v>0.14249999999999999</v>
      </c>
      <c r="P97" s="13">
        <v>0.55000000000000004</v>
      </c>
      <c r="Q97" s="13">
        <f t="shared" si="87"/>
        <v>7.8375E-2</v>
      </c>
      <c r="R97" s="13">
        <f t="shared" si="88"/>
        <v>0</v>
      </c>
      <c r="S97" s="14">
        <f t="shared" si="89"/>
        <v>0</v>
      </c>
    </row>
    <row r="98" spans="1:19" x14ac:dyDescent="0.3">
      <c r="A98" s="250">
        <f>VLOOKUP($D98,Reporting!$D:$T,MATCH($A$89,Reporting!$E$4:$L$4,0)+1,FALSE)</f>
        <v>0</v>
      </c>
      <c r="B98" s="250">
        <f>VLOOKUP($D98,Reporting!$D:$T,MATCH($A$89,Reporting!$V$4:$AC$4,0)+9,FALSE)</f>
        <v>0</v>
      </c>
      <c r="C98" s="242">
        <f>(B98*1)+A98</f>
        <v>0</v>
      </c>
      <c r="D98" s="270" t="s">
        <v>397</v>
      </c>
      <c r="E98" s="103">
        <v>0.63</v>
      </c>
      <c r="F98" s="6">
        <v>0.61</v>
      </c>
      <c r="G98" s="7">
        <f t="shared" si="80"/>
        <v>0.38429999999999997</v>
      </c>
      <c r="H98" s="7">
        <f t="shared" si="81"/>
        <v>0</v>
      </c>
      <c r="I98" s="8">
        <f t="shared" si="82"/>
        <v>0</v>
      </c>
      <c r="J98" s="9">
        <f t="shared" si="90"/>
        <v>0.1575</v>
      </c>
      <c r="K98" s="10">
        <v>0.61</v>
      </c>
      <c r="L98" s="10">
        <f t="shared" si="83"/>
        <v>9.6074999999999994E-2</v>
      </c>
      <c r="M98" s="10">
        <f t="shared" si="84"/>
        <v>0</v>
      </c>
      <c r="N98" s="11">
        <f t="shared" si="85"/>
        <v>0</v>
      </c>
      <c r="O98" s="12">
        <f t="shared" si="86"/>
        <v>0.1575</v>
      </c>
      <c r="P98" s="13">
        <v>0.55000000000000004</v>
      </c>
      <c r="Q98" s="13">
        <f t="shared" si="87"/>
        <v>8.6625000000000008E-2</v>
      </c>
      <c r="R98" s="13">
        <f t="shared" si="88"/>
        <v>0</v>
      </c>
      <c r="S98" s="14">
        <f t="shared" si="89"/>
        <v>0</v>
      </c>
    </row>
    <row r="99" spans="1:19" x14ac:dyDescent="0.3">
      <c r="A99" s="250">
        <f>VLOOKUP($D99,Reporting!$D:$T,MATCH($A$89,Reporting!$E$4:$L$4,0)+1,FALSE)</f>
        <v>0</v>
      </c>
      <c r="B99" s="250">
        <f>VLOOKUP($D99,Reporting!$D:$T,MATCH($A$89,Reporting!$V$4:$AC$4,0)+9,FALSE)</f>
        <v>0</v>
      </c>
      <c r="C99" s="242">
        <f>(B99*1)+A99</f>
        <v>0</v>
      </c>
      <c r="D99" s="445" t="s">
        <v>405</v>
      </c>
      <c r="E99" s="103">
        <v>0.72</v>
      </c>
      <c r="F99" s="6">
        <v>0.61</v>
      </c>
      <c r="G99" s="7">
        <f t="shared" si="80"/>
        <v>0.43919999999999998</v>
      </c>
      <c r="H99" s="7">
        <f t="shared" si="81"/>
        <v>0</v>
      </c>
      <c r="I99" s="8">
        <f t="shared" si="82"/>
        <v>0</v>
      </c>
      <c r="J99" s="9">
        <f t="shared" si="90"/>
        <v>0.18</v>
      </c>
      <c r="K99" s="10">
        <v>0.61</v>
      </c>
      <c r="L99" s="10">
        <f t="shared" si="83"/>
        <v>0.10979999999999999</v>
      </c>
      <c r="M99" s="10">
        <f t="shared" si="84"/>
        <v>0</v>
      </c>
      <c r="N99" s="11">
        <f t="shared" si="85"/>
        <v>0</v>
      </c>
      <c r="O99" s="12">
        <f t="shared" si="86"/>
        <v>0.18</v>
      </c>
      <c r="P99" s="13">
        <v>0.55000000000000004</v>
      </c>
      <c r="Q99" s="13">
        <f t="shared" si="87"/>
        <v>9.9000000000000005E-2</v>
      </c>
      <c r="R99" s="13">
        <f t="shared" si="88"/>
        <v>0</v>
      </c>
      <c r="S99" s="14">
        <f t="shared" si="89"/>
        <v>0</v>
      </c>
    </row>
    <row r="100" spans="1:19" ht="15" thickBot="1" x14ac:dyDescent="0.35">
      <c r="A100" s="256"/>
      <c r="B100" s="46">
        <f>SUM(B91:B99)</f>
        <v>0</v>
      </c>
      <c r="C100" s="243"/>
      <c r="D100" s="273"/>
      <c r="E100" s="46"/>
      <c r="F100" s="644" t="s">
        <v>9</v>
      </c>
      <c r="G100" s="645"/>
      <c r="H100" s="645"/>
      <c r="I100" s="16">
        <f>SUM(I91:I99)</f>
        <v>0</v>
      </c>
      <c r="J100" s="1"/>
      <c r="K100" s="646" t="s">
        <v>10</v>
      </c>
      <c r="L100" s="646"/>
      <c r="M100" s="646"/>
      <c r="N100" s="17">
        <f>SUM(N91:N99)</f>
        <v>0</v>
      </c>
      <c r="O100" s="15"/>
      <c r="P100" s="647" t="s">
        <v>11</v>
      </c>
      <c r="Q100" s="647"/>
      <c r="R100" s="647"/>
      <c r="S100" s="18">
        <f>SUM(S91:S99)</f>
        <v>0</v>
      </c>
    </row>
    <row r="101" spans="1:19" ht="15" thickBot="1" x14ac:dyDescent="0.35"/>
    <row r="102" spans="1:19" ht="15" customHeight="1" x14ac:dyDescent="0.3">
      <c r="A102" s="650" t="s">
        <v>18</v>
      </c>
      <c r="B102" s="650"/>
      <c r="C102" s="650"/>
      <c r="D102" s="650"/>
      <c r="E102" s="650"/>
      <c r="F102" s="652" t="s">
        <v>86</v>
      </c>
      <c r="G102" s="652"/>
      <c r="H102" s="652"/>
      <c r="I102" s="652"/>
      <c r="J102" s="652"/>
      <c r="K102" s="60"/>
      <c r="L102" s="60"/>
      <c r="M102" s="60"/>
      <c r="N102" s="60"/>
      <c r="O102" s="60"/>
      <c r="P102" s="60"/>
      <c r="Q102" s="60"/>
      <c r="R102" s="60"/>
      <c r="S102" s="61"/>
    </row>
    <row r="103" spans="1:19" ht="15" customHeight="1" x14ac:dyDescent="0.3">
      <c r="A103" s="651"/>
      <c r="B103" s="651"/>
      <c r="C103" s="651"/>
      <c r="D103" s="651"/>
      <c r="E103" s="651"/>
      <c r="F103" s="653"/>
      <c r="G103" s="653"/>
      <c r="H103" s="653"/>
      <c r="I103" s="653"/>
      <c r="J103" s="653"/>
      <c r="K103" s="62"/>
      <c r="L103" s="62"/>
      <c r="M103" s="62"/>
      <c r="N103" s="62"/>
      <c r="O103" s="62"/>
      <c r="P103" s="62"/>
      <c r="Q103" s="62"/>
      <c r="R103" s="62"/>
      <c r="S103" s="63"/>
    </row>
    <row r="104" spans="1:19" ht="15" customHeight="1" x14ac:dyDescent="0.3">
      <c r="A104" s="250">
        <f>VLOOKUP($D104,Reporting!$D:$T,MATCH($A$102,Reporting!$E$4:$L$4,0)+1,FALSE)</f>
        <v>0</v>
      </c>
      <c r="B104" s="250">
        <f>VLOOKUP($D104,Reporting!$D:$T,MATCH($A$102,Reporting!$V$4:$AC$4,0)+9,FALSE)</f>
        <v>0</v>
      </c>
      <c r="C104" s="244">
        <f>(B104*0.25)+A104</f>
        <v>0</v>
      </c>
      <c r="D104" s="261" t="s">
        <v>374</v>
      </c>
      <c r="E104" s="104">
        <v>0.06</v>
      </c>
      <c r="F104" s="6">
        <v>0.61</v>
      </c>
      <c r="G104" s="7">
        <f t="shared" ref="G104:G112" si="91">E104*F104</f>
        <v>3.6600000000000001E-2</v>
      </c>
      <c r="H104" s="7">
        <f>C104*G104</f>
        <v>0</v>
      </c>
      <c r="I104" s="8">
        <f t="shared" ref="I104:I112" si="92">H104/8</f>
        <v>0</v>
      </c>
      <c r="J104" s="9">
        <f>E104*0.25</f>
        <v>1.4999999999999999E-2</v>
      </c>
      <c r="K104" s="10">
        <v>0.61</v>
      </c>
      <c r="L104" s="10">
        <f t="shared" ref="L104:L112" si="93">J104*K104</f>
        <v>9.1500000000000001E-3</v>
      </c>
      <c r="M104" s="10">
        <f>C104*L104</f>
        <v>0</v>
      </c>
      <c r="N104" s="11">
        <f t="shared" ref="N104:N112" si="94">M104/8</f>
        <v>0</v>
      </c>
      <c r="O104" s="12">
        <f t="shared" ref="O104:O112" si="95">J104</f>
        <v>1.4999999999999999E-2</v>
      </c>
      <c r="P104" s="13">
        <v>0.55000000000000004</v>
      </c>
      <c r="Q104" s="13">
        <f t="shared" ref="Q104:Q112" si="96">O104*P104</f>
        <v>8.2500000000000004E-3</v>
      </c>
      <c r="R104" s="13">
        <f>C104*Q104</f>
        <v>0</v>
      </c>
      <c r="S104" s="14">
        <f t="shared" ref="S104:S112" si="97">R104/8</f>
        <v>0</v>
      </c>
    </row>
    <row r="105" spans="1:19" ht="15" customHeight="1" x14ac:dyDescent="0.3">
      <c r="A105" s="250">
        <f>VLOOKUP($D105,Reporting!$D:$T,MATCH($A$102,Reporting!$E$4:$L$4,0)+1,FALSE)</f>
        <v>0</v>
      </c>
      <c r="B105" s="250">
        <f>VLOOKUP($D105,Reporting!$D:$T,MATCH($A$102,Reporting!$V$4:$AC$4,0)+9,FALSE)</f>
        <v>0</v>
      </c>
      <c r="C105" s="244">
        <f>(B105*0.25)+A105</f>
        <v>0</v>
      </c>
      <c r="D105" s="56" t="s">
        <v>390</v>
      </c>
      <c r="E105" s="104">
        <v>0.06</v>
      </c>
      <c r="F105" s="6">
        <v>0.61</v>
      </c>
      <c r="G105" s="7">
        <f t="shared" si="91"/>
        <v>3.6600000000000001E-2</v>
      </c>
      <c r="H105" s="7">
        <f t="shared" ref="H105:H112" si="98">C105*G105</f>
        <v>0</v>
      </c>
      <c r="I105" s="8">
        <f t="shared" si="92"/>
        <v>0</v>
      </c>
      <c r="J105" s="9">
        <f t="shared" ref="J105:J112" si="99">E105*0.25</f>
        <v>1.4999999999999999E-2</v>
      </c>
      <c r="K105" s="10">
        <v>0.61</v>
      </c>
      <c r="L105" s="10">
        <f t="shared" si="93"/>
        <v>9.1500000000000001E-3</v>
      </c>
      <c r="M105" s="10">
        <f t="shared" ref="M105:M112" si="100">C105*L105</f>
        <v>0</v>
      </c>
      <c r="N105" s="11">
        <f t="shared" si="94"/>
        <v>0</v>
      </c>
      <c r="O105" s="12">
        <f t="shared" si="95"/>
        <v>1.4999999999999999E-2</v>
      </c>
      <c r="P105" s="13">
        <v>0.55000000000000004</v>
      </c>
      <c r="Q105" s="13">
        <f t="shared" si="96"/>
        <v>8.2500000000000004E-3</v>
      </c>
      <c r="R105" s="13">
        <f t="shared" ref="R105:R112" si="101">C105*Q105</f>
        <v>0</v>
      </c>
      <c r="S105" s="14">
        <f t="shared" si="97"/>
        <v>0</v>
      </c>
    </row>
    <row r="106" spans="1:19" ht="15" customHeight="1" x14ac:dyDescent="0.3">
      <c r="A106" s="250">
        <f>VLOOKUP($D106,Reporting!$D:$T,MATCH($A$102,Reporting!$E$4:$L$4,0)+1,FALSE)</f>
        <v>0</v>
      </c>
      <c r="B106" s="250">
        <f>VLOOKUP($D106,Reporting!$D:$T,MATCH($A$102,Reporting!$V$4:$AC$4,0)+9,FALSE)</f>
        <v>0</v>
      </c>
      <c r="C106" s="244">
        <f>(B106*0.25)+A106</f>
        <v>0</v>
      </c>
      <c r="D106" s="56" t="s">
        <v>391</v>
      </c>
      <c r="E106" s="104">
        <v>7.0000000000000007E-2</v>
      </c>
      <c r="F106" s="6">
        <v>0.61</v>
      </c>
      <c r="G106" s="7">
        <f t="shared" si="91"/>
        <v>4.2700000000000002E-2</v>
      </c>
      <c r="H106" s="7">
        <f t="shared" si="98"/>
        <v>0</v>
      </c>
      <c r="I106" s="8">
        <f t="shared" si="92"/>
        <v>0</v>
      </c>
      <c r="J106" s="9">
        <f t="shared" si="99"/>
        <v>1.7500000000000002E-2</v>
      </c>
      <c r="K106" s="10">
        <v>0.61</v>
      </c>
      <c r="L106" s="10">
        <f t="shared" si="93"/>
        <v>1.0675E-2</v>
      </c>
      <c r="M106" s="10">
        <f t="shared" si="100"/>
        <v>0</v>
      </c>
      <c r="N106" s="11">
        <f t="shared" si="94"/>
        <v>0</v>
      </c>
      <c r="O106" s="12">
        <f t="shared" si="95"/>
        <v>1.7500000000000002E-2</v>
      </c>
      <c r="P106" s="13">
        <v>0.55000000000000004</v>
      </c>
      <c r="Q106" s="13">
        <f t="shared" si="96"/>
        <v>9.6250000000000016E-3</v>
      </c>
      <c r="R106" s="13">
        <f t="shared" si="101"/>
        <v>0</v>
      </c>
      <c r="S106" s="14">
        <f t="shared" si="97"/>
        <v>0</v>
      </c>
    </row>
    <row r="107" spans="1:19" ht="15" customHeight="1" x14ac:dyDescent="0.3">
      <c r="A107" s="250">
        <f>VLOOKUP($D107,Reporting!$D:$T,MATCH($A$102,Reporting!$E$4:$L$4,0)+1,FALSE)</f>
        <v>0</v>
      </c>
      <c r="B107" s="250">
        <f>VLOOKUP($D107,Reporting!$D:$T,MATCH($A$102,Reporting!$V$4:$AC$4,0)+9,FALSE)</f>
        <v>0</v>
      </c>
      <c r="C107" s="244">
        <f>(B107*0.5)+A107</f>
        <v>0</v>
      </c>
      <c r="D107" s="56" t="s">
        <v>392</v>
      </c>
      <c r="E107" s="104">
        <v>0.08</v>
      </c>
      <c r="F107" s="6">
        <v>0.61</v>
      </c>
      <c r="G107" s="7">
        <f t="shared" si="91"/>
        <v>4.8800000000000003E-2</v>
      </c>
      <c r="H107" s="7">
        <f t="shared" si="98"/>
        <v>0</v>
      </c>
      <c r="I107" s="8">
        <f t="shared" si="92"/>
        <v>0</v>
      </c>
      <c r="J107" s="9">
        <f t="shared" si="99"/>
        <v>0.02</v>
      </c>
      <c r="K107" s="10">
        <v>0.61</v>
      </c>
      <c r="L107" s="10">
        <f t="shared" si="93"/>
        <v>1.2200000000000001E-2</v>
      </c>
      <c r="M107" s="10">
        <f t="shared" si="100"/>
        <v>0</v>
      </c>
      <c r="N107" s="11">
        <f t="shared" si="94"/>
        <v>0</v>
      </c>
      <c r="O107" s="12">
        <f t="shared" si="95"/>
        <v>0.02</v>
      </c>
      <c r="P107" s="13">
        <v>0.55000000000000004</v>
      </c>
      <c r="Q107" s="13">
        <f t="shared" si="96"/>
        <v>1.1000000000000001E-2</v>
      </c>
      <c r="R107" s="13">
        <f t="shared" si="101"/>
        <v>0</v>
      </c>
      <c r="S107" s="14">
        <f t="shared" si="97"/>
        <v>0</v>
      </c>
    </row>
    <row r="108" spans="1:19" x14ac:dyDescent="0.3">
      <c r="A108" s="250">
        <f>VLOOKUP($D108,Reporting!$D:$T,MATCH($A$102,Reporting!$E$4:$L$4,0)+1,FALSE)</f>
        <v>0</v>
      </c>
      <c r="B108" s="250">
        <f>VLOOKUP($D108,Reporting!$D:$T,MATCH($A$102,Reporting!$V$4:$AC$4,0)+9,FALSE)</f>
        <v>0</v>
      </c>
      <c r="C108" s="244">
        <f>(B108*0.5)+A108</f>
        <v>0</v>
      </c>
      <c r="D108" s="274" t="s">
        <v>393</v>
      </c>
      <c r="E108" s="105">
        <v>0.12</v>
      </c>
      <c r="F108" s="6">
        <v>0.61</v>
      </c>
      <c r="G108" s="7">
        <f t="shared" si="91"/>
        <v>7.3200000000000001E-2</v>
      </c>
      <c r="H108" s="7">
        <f t="shared" si="98"/>
        <v>0</v>
      </c>
      <c r="I108" s="8">
        <f t="shared" si="92"/>
        <v>0</v>
      </c>
      <c r="J108" s="9">
        <f t="shared" si="99"/>
        <v>0.03</v>
      </c>
      <c r="K108" s="10">
        <v>0.61</v>
      </c>
      <c r="L108" s="10">
        <f t="shared" si="93"/>
        <v>1.83E-2</v>
      </c>
      <c r="M108" s="10">
        <f t="shared" si="100"/>
        <v>0</v>
      </c>
      <c r="N108" s="11">
        <f t="shared" si="94"/>
        <v>0</v>
      </c>
      <c r="O108" s="12">
        <f t="shared" si="95"/>
        <v>0.03</v>
      </c>
      <c r="P108" s="13">
        <v>0.55000000000000004</v>
      </c>
      <c r="Q108" s="13">
        <f t="shared" si="96"/>
        <v>1.6500000000000001E-2</v>
      </c>
      <c r="R108" s="13">
        <f t="shared" si="101"/>
        <v>0</v>
      </c>
      <c r="S108" s="14">
        <f t="shared" si="97"/>
        <v>0</v>
      </c>
    </row>
    <row r="109" spans="1:19" x14ac:dyDescent="0.3">
      <c r="A109" s="250">
        <f>VLOOKUP($D109,Reporting!$D:$T,MATCH($A$102,Reporting!$E$4:$L$4,0)+1,FALSE)</f>
        <v>0</v>
      </c>
      <c r="B109" s="250">
        <f>VLOOKUP($D109,Reporting!$D:$T,MATCH($A$102,Reporting!$V$4:$AC$4,0)+9,FALSE)</f>
        <v>0</v>
      </c>
      <c r="C109" s="244">
        <f>(B109*0.75)+A109</f>
        <v>0</v>
      </c>
      <c r="D109" s="274" t="s">
        <v>394</v>
      </c>
      <c r="E109" s="105">
        <v>0.14000000000000001</v>
      </c>
      <c r="F109" s="6">
        <v>0.61</v>
      </c>
      <c r="G109" s="7">
        <f t="shared" si="91"/>
        <v>8.5400000000000004E-2</v>
      </c>
      <c r="H109" s="7">
        <f t="shared" si="98"/>
        <v>0</v>
      </c>
      <c r="I109" s="8">
        <f t="shared" si="92"/>
        <v>0</v>
      </c>
      <c r="J109" s="9">
        <f t="shared" si="99"/>
        <v>3.5000000000000003E-2</v>
      </c>
      <c r="K109" s="10">
        <v>0.61</v>
      </c>
      <c r="L109" s="10">
        <f t="shared" si="93"/>
        <v>2.1350000000000001E-2</v>
      </c>
      <c r="M109" s="10">
        <f t="shared" si="100"/>
        <v>0</v>
      </c>
      <c r="N109" s="11">
        <f t="shared" si="94"/>
        <v>0</v>
      </c>
      <c r="O109" s="12">
        <f t="shared" si="95"/>
        <v>3.5000000000000003E-2</v>
      </c>
      <c r="P109" s="13">
        <v>0.55000000000000004</v>
      </c>
      <c r="Q109" s="13">
        <f t="shared" si="96"/>
        <v>1.9250000000000003E-2</v>
      </c>
      <c r="R109" s="13">
        <f t="shared" si="101"/>
        <v>0</v>
      </c>
      <c r="S109" s="14">
        <f t="shared" si="97"/>
        <v>0</v>
      </c>
    </row>
    <row r="110" spans="1:19" x14ac:dyDescent="0.3">
      <c r="A110" s="250">
        <f>VLOOKUP($D110,Reporting!$D:$T,MATCH($A$102,Reporting!$E$4:$L$4,0)+1,FALSE)</f>
        <v>0</v>
      </c>
      <c r="B110" s="250">
        <f>VLOOKUP($D110,Reporting!$D:$T,MATCH($A$102,Reporting!$V$4:$AC$4,0)+9,FALSE)</f>
        <v>0</v>
      </c>
      <c r="C110" s="244">
        <f>(B110*1)+A110</f>
        <v>0</v>
      </c>
      <c r="D110" s="274" t="s">
        <v>395</v>
      </c>
      <c r="E110" s="105">
        <v>0.17</v>
      </c>
      <c r="F110" s="6">
        <v>0.61</v>
      </c>
      <c r="G110" s="7">
        <f t="shared" si="91"/>
        <v>0.1037</v>
      </c>
      <c r="H110" s="7">
        <f t="shared" si="98"/>
        <v>0</v>
      </c>
      <c r="I110" s="8">
        <f t="shared" si="92"/>
        <v>0</v>
      </c>
      <c r="J110" s="9">
        <f t="shared" si="99"/>
        <v>4.2500000000000003E-2</v>
      </c>
      <c r="K110" s="10">
        <v>0.61</v>
      </c>
      <c r="L110" s="10">
        <f t="shared" si="93"/>
        <v>2.5925E-2</v>
      </c>
      <c r="M110" s="10">
        <f t="shared" si="100"/>
        <v>0</v>
      </c>
      <c r="N110" s="11">
        <f t="shared" si="94"/>
        <v>0</v>
      </c>
      <c r="O110" s="12">
        <f t="shared" si="95"/>
        <v>4.2500000000000003E-2</v>
      </c>
      <c r="P110" s="13">
        <v>0.55000000000000004</v>
      </c>
      <c r="Q110" s="13">
        <f t="shared" si="96"/>
        <v>2.3375000000000003E-2</v>
      </c>
      <c r="R110" s="13">
        <f t="shared" si="101"/>
        <v>0</v>
      </c>
      <c r="S110" s="14">
        <f t="shared" si="97"/>
        <v>0</v>
      </c>
    </row>
    <row r="111" spans="1:19" x14ac:dyDescent="0.3">
      <c r="A111" s="250">
        <f>VLOOKUP($D111,Reporting!$D:$T,MATCH($A$102,Reporting!$E$4:$L$4,0)+1,FALSE)</f>
        <v>0</v>
      </c>
      <c r="B111" s="250">
        <f>VLOOKUP($D111,Reporting!$D:$T,MATCH($A$102,Reporting!$V$4:$AC$4,0)+9,FALSE)</f>
        <v>0</v>
      </c>
      <c r="C111" s="244">
        <f>(B111*1)+A111</f>
        <v>0</v>
      </c>
      <c r="D111" s="274" t="s">
        <v>396</v>
      </c>
      <c r="E111" s="105">
        <v>0.19</v>
      </c>
      <c r="F111" s="6">
        <v>0.61</v>
      </c>
      <c r="G111" s="7">
        <f t="shared" si="91"/>
        <v>0.1159</v>
      </c>
      <c r="H111" s="7">
        <f t="shared" si="98"/>
        <v>0</v>
      </c>
      <c r="I111" s="8">
        <f t="shared" si="92"/>
        <v>0</v>
      </c>
      <c r="J111" s="9">
        <f t="shared" si="99"/>
        <v>4.7500000000000001E-2</v>
      </c>
      <c r="K111" s="10">
        <v>0.61</v>
      </c>
      <c r="L111" s="10">
        <f t="shared" si="93"/>
        <v>2.8975000000000001E-2</v>
      </c>
      <c r="M111" s="10">
        <f t="shared" si="100"/>
        <v>0</v>
      </c>
      <c r="N111" s="11">
        <f t="shared" si="94"/>
        <v>0</v>
      </c>
      <c r="O111" s="12">
        <f t="shared" si="95"/>
        <v>4.7500000000000001E-2</v>
      </c>
      <c r="P111" s="13">
        <v>0.55000000000000004</v>
      </c>
      <c r="Q111" s="13">
        <f t="shared" si="96"/>
        <v>2.6125000000000002E-2</v>
      </c>
      <c r="R111" s="13">
        <f t="shared" si="101"/>
        <v>0</v>
      </c>
      <c r="S111" s="14">
        <f t="shared" si="97"/>
        <v>0</v>
      </c>
    </row>
    <row r="112" spans="1:19" x14ac:dyDescent="0.3">
      <c r="A112" s="250">
        <f>VLOOKUP($D112,Reporting!$D:$T,MATCH($A$102,Reporting!$E$4:$L$4,0)+1,FALSE)</f>
        <v>0</v>
      </c>
      <c r="B112" s="250">
        <f>VLOOKUP($D112,Reporting!$D:$T,MATCH($A$102,Reporting!$V$4:$AC$4,0)+9,FALSE)</f>
        <v>0</v>
      </c>
      <c r="C112" s="244">
        <f>(B112*1)+A112</f>
        <v>0</v>
      </c>
      <c r="D112" s="274" t="s">
        <v>397</v>
      </c>
      <c r="E112" s="105">
        <v>0.22</v>
      </c>
      <c r="F112" s="6">
        <v>0.61</v>
      </c>
      <c r="G112" s="7">
        <f t="shared" si="91"/>
        <v>0.13419999999999999</v>
      </c>
      <c r="H112" s="7">
        <f t="shared" si="98"/>
        <v>0</v>
      </c>
      <c r="I112" s="8">
        <f t="shared" si="92"/>
        <v>0</v>
      </c>
      <c r="J112" s="9">
        <f t="shared" si="99"/>
        <v>5.5E-2</v>
      </c>
      <c r="K112" s="10">
        <v>0.61</v>
      </c>
      <c r="L112" s="10">
        <f t="shared" si="93"/>
        <v>3.3549999999999996E-2</v>
      </c>
      <c r="M112" s="10">
        <f t="shared" si="100"/>
        <v>0</v>
      </c>
      <c r="N112" s="11">
        <f t="shared" si="94"/>
        <v>0</v>
      </c>
      <c r="O112" s="12">
        <f t="shared" si="95"/>
        <v>5.5E-2</v>
      </c>
      <c r="P112" s="13">
        <v>0.55000000000000004</v>
      </c>
      <c r="Q112" s="13">
        <f t="shared" si="96"/>
        <v>3.0250000000000003E-2</v>
      </c>
      <c r="R112" s="13">
        <f t="shared" si="101"/>
        <v>0</v>
      </c>
      <c r="S112" s="14">
        <f t="shared" si="97"/>
        <v>0</v>
      </c>
    </row>
    <row r="113" spans="1:19" ht="15" thickBot="1" x14ac:dyDescent="0.35">
      <c r="A113" s="257"/>
      <c r="B113" s="59">
        <f>SUM(B104:B112)</f>
        <v>0</v>
      </c>
      <c r="C113" s="245"/>
      <c r="D113" s="275"/>
      <c r="E113" s="59"/>
      <c r="F113" s="644" t="s">
        <v>9</v>
      </c>
      <c r="G113" s="645"/>
      <c r="H113" s="645"/>
      <c r="I113" s="16">
        <f>SUM(I104:I112)</f>
        <v>0</v>
      </c>
      <c r="J113" s="1"/>
      <c r="K113" s="646" t="s">
        <v>10</v>
      </c>
      <c r="L113" s="646"/>
      <c r="M113" s="646"/>
      <c r="N113" s="17">
        <f>SUM(N104:N112)</f>
        <v>0</v>
      </c>
      <c r="O113" s="15"/>
      <c r="P113" s="647" t="s">
        <v>11</v>
      </c>
      <c r="Q113" s="647"/>
      <c r="R113" s="647"/>
      <c r="S113" s="18">
        <f>SUM(S104:S112)</f>
        <v>0</v>
      </c>
    </row>
    <row r="114" spans="1:19" ht="15" thickBot="1" x14ac:dyDescent="0.35"/>
    <row r="115" spans="1:19" ht="15" customHeight="1" x14ac:dyDescent="0.3">
      <c r="A115" s="662" t="s">
        <v>21</v>
      </c>
      <c r="B115" s="662"/>
      <c r="C115" s="662"/>
      <c r="D115" s="662"/>
      <c r="E115" s="662"/>
      <c r="F115" s="658" t="s">
        <v>87</v>
      </c>
      <c r="G115" s="658"/>
      <c r="H115" s="658"/>
      <c r="I115" s="658"/>
      <c r="J115" s="658"/>
      <c r="K115" s="75"/>
      <c r="L115" s="75"/>
      <c r="M115" s="75"/>
      <c r="N115" s="75"/>
      <c r="O115" s="75"/>
      <c r="P115" s="75"/>
      <c r="Q115" s="75"/>
      <c r="R115" s="75"/>
      <c r="S115" s="76"/>
    </row>
    <row r="116" spans="1:19" ht="15" customHeight="1" x14ac:dyDescent="0.3">
      <c r="A116" s="663"/>
      <c r="B116" s="663"/>
      <c r="C116" s="663"/>
      <c r="D116" s="663"/>
      <c r="E116" s="663"/>
      <c r="F116" s="659"/>
      <c r="G116" s="659"/>
      <c r="H116" s="659"/>
      <c r="I116" s="659"/>
      <c r="J116" s="659"/>
      <c r="K116" s="77"/>
      <c r="L116" s="77"/>
      <c r="M116" s="77"/>
      <c r="N116" s="77"/>
      <c r="O116" s="77"/>
      <c r="P116" s="77"/>
      <c r="Q116" s="77"/>
      <c r="R116" s="77"/>
      <c r="S116" s="78"/>
    </row>
    <row r="117" spans="1:19" ht="15" customHeight="1" x14ac:dyDescent="0.3">
      <c r="A117" s="250">
        <f>VLOOKUP($D117,Reporting!$D:$T,MATCH($A$115,Reporting!$E$4:$L$4,0)+1,FALSE)</f>
        <v>0</v>
      </c>
      <c r="B117" s="250">
        <f>VLOOKUP($D117,Reporting!$D:$T,MATCH($A$115,Reporting!$V$4:$AC$4,0)+9,FALSE)</f>
        <v>0</v>
      </c>
      <c r="C117" s="246">
        <f t="shared" ref="C117:C122" si="102">(B117*0.25)+A117</f>
        <v>0</v>
      </c>
      <c r="D117" s="265" t="s">
        <v>371</v>
      </c>
      <c r="E117" s="106">
        <v>0.06</v>
      </c>
      <c r="F117" s="6">
        <v>0.61</v>
      </c>
      <c r="G117" s="7">
        <f t="shared" ref="G117:G123" si="103">E117*F117</f>
        <v>3.6600000000000001E-2</v>
      </c>
      <c r="H117" s="7">
        <f>C117*G117</f>
        <v>0</v>
      </c>
      <c r="I117" s="8">
        <f t="shared" ref="I117:I123" si="104">H117/8</f>
        <v>0</v>
      </c>
      <c r="J117" s="9">
        <f>E117*0.25</f>
        <v>1.4999999999999999E-2</v>
      </c>
      <c r="K117" s="10">
        <v>0.61</v>
      </c>
      <c r="L117" s="10">
        <f t="shared" ref="L117:L123" si="105">J117*K117</f>
        <v>9.1500000000000001E-3</v>
      </c>
      <c r="M117" s="10">
        <f>C117*L117</f>
        <v>0</v>
      </c>
      <c r="N117" s="11">
        <f t="shared" ref="N117:N123" si="106">M117/8</f>
        <v>0</v>
      </c>
      <c r="O117" s="12">
        <f t="shared" ref="O117:O123" si="107">J117</f>
        <v>1.4999999999999999E-2</v>
      </c>
      <c r="P117" s="13">
        <v>0.55000000000000004</v>
      </c>
      <c r="Q117" s="13">
        <f t="shared" ref="Q117:Q123" si="108">O117*P117</f>
        <v>8.2500000000000004E-3</v>
      </c>
      <c r="R117" s="13">
        <f>C117*Q117</f>
        <v>0</v>
      </c>
      <c r="S117" s="14">
        <f t="shared" ref="S117:S123" si="109">R117/8</f>
        <v>0</v>
      </c>
    </row>
    <row r="118" spans="1:19" ht="15" customHeight="1" x14ac:dyDescent="0.3">
      <c r="A118" s="250">
        <f>VLOOKUP($D118,Reporting!$D:$T,MATCH($A$115,Reporting!$E$4:$L$4,0)+1,FALSE)</f>
        <v>0</v>
      </c>
      <c r="B118" s="250">
        <f>VLOOKUP($D118,Reporting!$D:$T,MATCH($A$115,Reporting!$V$4:$AC$4,0)+9,FALSE)</f>
        <v>0</v>
      </c>
      <c r="C118" s="246">
        <f t="shared" si="102"/>
        <v>0</v>
      </c>
      <c r="D118" s="265" t="s">
        <v>372</v>
      </c>
      <c r="E118" s="106">
        <v>0.06</v>
      </c>
      <c r="F118" s="6">
        <v>0.61</v>
      </c>
      <c r="G118" s="7">
        <f t="shared" si="103"/>
        <v>3.6600000000000001E-2</v>
      </c>
      <c r="H118" s="7">
        <f t="shared" ref="H118:H123" si="110">C118*G118</f>
        <v>0</v>
      </c>
      <c r="I118" s="8">
        <f t="shared" si="104"/>
        <v>0</v>
      </c>
      <c r="J118" s="9">
        <f t="shared" ref="J118:J131" si="111">E118*0.25</f>
        <v>1.4999999999999999E-2</v>
      </c>
      <c r="K118" s="10">
        <v>0.61</v>
      </c>
      <c r="L118" s="10">
        <f t="shared" si="105"/>
        <v>9.1500000000000001E-3</v>
      </c>
      <c r="M118" s="10">
        <f t="shared" ref="M118:M123" si="112">C118*L118</f>
        <v>0</v>
      </c>
      <c r="N118" s="11">
        <f t="shared" si="106"/>
        <v>0</v>
      </c>
      <c r="O118" s="12">
        <f t="shared" si="107"/>
        <v>1.4999999999999999E-2</v>
      </c>
      <c r="P118" s="13">
        <v>0.55000000000000004</v>
      </c>
      <c r="Q118" s="13">
        <f t="shared" si="108"/>
        <v>8.2500000000000004E-3</v>
      </c>
      <c r="R118" s="13">
        <f t="shared" ref="R118:R123" si="113">C118*Q118</f>
        <v>0</v>
      </c>
      <c r="S118" s="14">
        <f t="shared" si="109"/>
        <v>0</v>
      </c>
    </row>
    <row r="119" spans="1:19" ht="15" customHeight="1" x14ac:dyDescent="0.3">
      <c r="A119" s="250">
        <f>VLOOKUP($D119,Reporting!$D:$T,MATCH($A$115,Reporting!$E$4:$L$4,0)+1,FALSE)</f>
        <v>0</v>
      </c>
      <c r="B119" s="250">
        <f>VLOOKUP($D119,Reporting!$D:$T,MATCH($A$115,Reporting!$V$4:$AC$4,0)+9,FALSE)</f>
        <v>0</v>
      </c>
      <c r="C119" s="246">
        <f t="shared" si="102"/>
        <v>0</v>
      </c>
      <c r="D119" s="72" t="s">
        <v>389</v>
      </c>
      <c r="E119" s="106">
        <v>7.0000000000000007E-2</v>
      </c>
      <c r="F119" s="6">
        <v>0.61</v>
      </c>
      <c r="G119" s="7">
        <f t="shared" si="103"/>
        <v>4.2700000000000002E-2</v>
      </c>
      <c r="H119" s="7">
        <f t="shared" si="110"/>
        <v>0</v>
      </c>
      <c r="I119" s="8">
        <f t="shared" si="104"/>
        <v>0</v>
      </c>
      <c r="J119" s="9">
        <f t="shared" si="111"/>
        <v>1.7500000000000002E-2</v>
      </c>
      <c r="K119" s="10">
        <v>0.61</v>
      </c>
      <c r="L119" s="10">
        <f t="shared" si="105"/>
        <v>1.0675E-2</v>
      </c>
      <c r="M119" s="10">
        <f t="shared" si="112"/>
        <v>0</v>
      </c>
      <c r="N119" s="11">
        <f t="shared" si="106"/>
        <v>0</v>
      </c>
      <c r="O119" s="12">
        <f t="shared" si="107"/>
        <v>1.7500000000000002E-2</v>
      </c>
      <c r="P119" s="13">
        <v>0.55000000000000004</v>
      </c>
      <c r="Q119" s="13">
        <f t="shared" si="108"/>
        <v>9.6250000000000016E-3</v>
      </c>
      <c r="R119" s="13">
        <f t="shared" si="113"/>
        <v>0</v>
      </c>
      <c r="S119" s="14">
        <f t="shared" si="109"/>
        <v>0</v>
      </c>
    </row>
    <row r="120" spans="1:19" ht="15" customHeight="1" x14ac:dyDescent="0.3">
      <c r="A120" s="250">
        <f>VLOOKUP($D120,Reporting!$D:$T,MATCH($A$115,Reporting!$E$4:$L$4,0)+1,FALSE)</f>
        <v>0</v>
      </c>
      <c r="B120" s="250">
        <f>VLOOKUP($D120,Reporting!$D:$T,MATCH($A$115,Reporting!$V$4:$AC$4,0)+9,FALSE)</f>
        <v>0</v>
      </c>
      <c r="C120" s="246">
        <f t="shared" si="102"/>
        <v>0</v>
      </c>
      <c r="D120" s="265" t="s">
        <v>373</v>
      </c>
      <c r="E120" s="106">
        <v>7.0000000000000007E-2</v>
      </c>
      <c r="F120" s="6">
        <v>0.61</v>
      </c>
      <c r="G120" s="7">
        <f t="shared" si="103"/>
        <v>4.2700000000000002E-2</v>
      </c>
      <c r="H120" s="7">
        <f t="shared" si="110"/>
        <v>0</v>
      </c>
      <c r="I120" s="8">
        <f t="shared" si="104"/>
        <v>0</v>
      </c>
      <c r="J120" s="9">
        <f t="shared" si="111"/>
        <v>1.7500000000000002E-2</v>
      </c>
      <c r="K120" s="10">
        <v>0.61</v>
      </c>
      <c r="L120" s="10">
        <f t="shared" si="105"/>
        <v>1.0675E-2</v>
      </c>
      <c r="M120" s="10">
        <f t="shared" si="112"/>
        <v>0</v>
      </c>
      <c r="N120" s="11">
        <f t="shared" si="106"/>
        <v>0</v>
      </c>
      <c r="O120" s="12">
        <f t="shared" si="107"/>
        <v>1.7500000000000002E-2</v>
      </c>
      <c r="P120" s="13">
        <v>0.55000000000000004</v>
      </c>
      <c r="Q120" s="13">
        <f t="shared" si="108"/>
        <v>9.6250000000000016E-3</v>
      </c>
      <c r="R120" s="13">
        <f t="shared" si="113"/>
        <v>0</v>
      </c>
      <c r="S120" s="14">
        <f t="shared" si="109"/>
        <v>0</v>
      </c>
    </row>
    <row r="121" spans="1:19" x14ac:dyDescent="0.3">
      <c r="A121" s="250">
        <f>VLOOKUP($D121,Reporting!$D:$T,MATCH($A$115,Reporting!$E$4:$L$4,0)+1,FALSE)</f>
        <v>0</v>
      </c>
      <c r="B121" s="250">
        <f>VLOOKUP($D121,Reporting!$D:$T,MATCH($A$115,Reporting!$V$4:$AC$4,0)+9,FALSE)</f>
        <v>0</v>
      </c>
      <c r="C121" s="246">
        <f t="shared" si="102"/>
        <v>0</v>
      </c>
      <c r="D121" s="276" t="s">
        <v>374</v>
      </c>
      <c r="E121" s="107">
        <v>7.0000000000000007E-2</v>
      </c>
      <c r="F121" s="6">
        <v>0.61</v>
      </c>
      <c r="G121" s="7">
        <f t="shared" si="103"/>
        <v>4.2700000000000002E-2</v>
      </c>
      <c r="H121" s="7">
        <f t="shared" si="110"/>
        <v>0</v>
      </c>
      <c r="I121" s="8">
        <f t="shared" si="104"/>
        <v>0</v>
      </c>
      <c r="J121" s="9">
        <f t="shared" si="111"/>
        <v>1.7500000000000002E-2</v>
      </c>
      <c r="K121" s="10">
        <v>0.61</v>
      </c>
      <c r="L121" s="10">
        <f t="shared" si="105"/>
        <v>1.0675E-2</v>
      </c>
      <c r="M121" s="10">
        <f t="shared" si="112"/>
        <v>0</v>
      </c>
      <c r="N121" s="11">
        <f t="shared" si="106"/>
        <v>0</v>
      </c>
      <c r="O121" s="12">
        <f t="shared" si="107"/>
        <v>1.7500000000000002E-2</v>
      </c>
      <c r="P121" s="13">
        <v>0.55000000000000004</v>
      </c>
      <c r="Q121" s="13">
        <f t="shared" si="108"/>
        <v>9.6250000000000016E-3</v>
      </c>
      <c r="R121" s="13">
        <f t="shared" si="113"/>
        <v>0</v>
      </c>
      <c r="S121" s="14">
        <f t="shared" si="109"/>
        <v>0</v>
      </c>
    </row>
    <row r="122" spans="1:19" x14ac:dyDescent="0.3">
      <c r="A122" s="250">
        <f>VLOOKUP($D122,Reporting!$D:$T,MATCH($A$115,Reporting!$E$4:$L$4,0)+1,FALSE)</f>
        <v>0</v>
      </c>
      <c r="B122" s="250">
        <f>VLOOKUP($D122,Reporting!$D:$T,MATCH($A$115,Reporting!$V$4:$AC$4,0)+9,FALSE)</f>
        <v>0</v>
      </c>
      <c r="C122" s="246">
        <f t="shared" si="102"/>
        <v>0</v>
      </c>
      <c r="D122" s="277" t="s">
        <v>390</v>
      </c>
      <c r="E122" s="107">
        <v>0.08</v>
      </c>
      <c r="F122" s="6">
        <v>0.61</v>
      </c>
      <c r="G122" s="7">
        <f t="shared" si="103"/>
        <v>4.8800000000000003E-2</v>
      </c>
      <c r="H122" s="7">
        <f t="shared" si="110"/>
        <v>0</v>
      </c>
      <c r="I122" s="8">
        <f t="shared" si="104"/>
        <v>0</v>
      </c>
      <c r="J122" s="9">
        <f t="shared" si="111"/>
        <v>0.02</v>
      </c>
      <c r="K122" s="10">
        <v>0.61</v>
      </c>
      <c r="L122" s="10">
        <f t="shared" si="105"/>
        <v>1.2200000000000001E-2</v>
      </c>
      <c r="M122" s="10">
        <f t="shared" si="112"/>
        <v>0</v>
      </c>
      <c r="N122" s="11">
        <f t="shared" si="106"/>
        <v>0</v>
      </c>
      <c r="O122" s="12">
        <f t="shared" si="107"/>
        <v>0.02</v>
      </c>
      <c r="P122" s="13">
        <v>0.55000000000000004</v>
      </c>
      <c r="Q122" s="13">
        <f t="shared" si="108"/>
        <v>1.1000000000000001E-2</v>
      </c>
      <c r="R122" s="13">
        <f t="shared" si="113"/>
        <v>0</v>
      </c>
      <c r="S122" s="14">
        <f t="shared" si="109"/>
        <v>0</v>
      </c>
    </row>
    <row r="123" spans="1:19" x14ac:dyDescent="0.3">
      <c r="A123" s="250">
        <f>VLOOKUP($D123,Reporting!$D:$T,MATCH($A$115,Reporting!$E$4:$L$4,0)+1,FALSE)</f>
        <v>0</v>
      </c>
      <c r="B123" s="250">
        <f>VLOOKUP($D123,Reporting!$D:$T,MATCH($A$115,Reporting!$V$4:$AC$4,0)+9,FALSE)</f>
        <v>0</v>
      </c>
      <c r="C123" s="246">
        <f>(B123*0.5)+A123</f>
        <v>0</v>
      </c>
      <c r="D123" s="276" t="s">
        <v>376</v>
      </c>
      <c r="E123" s="107">
        <v>0.08</v>
      </c>
      <c r="F123" s="6">
        <v>0.61</v>
      </c>
      <c r="G123" s="7">
        <f t="shared" si="103"/>
        <v>4.8800000000000003E-2</v>
      </c>
      <c r="H123" s="7">
        <f t="shared" si="110"/>
        <v>0</v>
      </c>
      <c r="I123" s="8">
        <f t="shared" si="104"/>
        <v>0</v>
      </c>
      <c r="J123" s="9">
        <f t="shared" si="111"/>
        <v>0.02</v>
      </c>
      <c r="K123" s="10">
        <v>0.61</v>
      </c>
      <c r="L123" s="10">
        <f t="shared" si="105"/>
        <v>1.2200000000000001E-2</v>
      </c>
      <c r="M123" s="10">
        <f t="shared" si="112"/>
        <v>0</v>
      </c>
      <c r="N123" s="11">
        <f t="shared" si="106"/>
        <v>0</v>
      </c>
      <c r="O123" s="12">
        <f t="shared" si="107"/>
        <v>0.02</v>
      </c>
      <c r="P123" s="13">
        <v>0.55000000000000004</v>
      </c>
      <c r="Q123" s="13">
        <f t="shared" si="108"/>
        <v>1.1000000000000001E-2</v>
      </c>
      <c r="R123" s="13">
        <f t="shared" si="113"/>
        <v>0</v>
      </c>
      <c r="S123" s="14">
        <f t="shared" si="109"/>
        <v>0</v>
      </c>
    </row>
    <row r="124" spans="1:19" x14ac:dyDescent="0.3">
      <c r="A124" s="250">
        <f>VLOOKUP($D124,Reporting!$D:$T,MATCH($A$115,Reporting!$E$4:$L$4,0)+1,FALSE)</f>
        <v>0</v>
      </c>
      <c r="B124" s="250">
        <f>VLOOKUP($D124,Reporting!$D:$T,MATCH($A$115,Reporting!$V$4:$AC$4,0)+9,FALSE)</f>
        <v>0</v>
      </c>
      <c r="C124" s="246">
        <f>(B124*0.5)+A124</f>
        <v>0</v>
      </c>
      <c r="D124" s="277" t="s">
        <v>391</v>
      </c>
      <c r="E124" s="107">
        <v>0.09</v>
      </c>
      <c r="F124" s="6">
        <v>0.61</v>
      </c>
      <c r="G124" s="7">
        <f t="shared" ref="G124:G131" si="114">E124*F124</f>
        <v>5.4899999999999997E-2</v>
      </c>
      <c r="H124" s="7">
        <f t="shared" ref="H124:H131" si="115">C124*G124</f>
        <v>0</v>
      </c>
      <c r="I124" s="8">
        <f t="shared" ref="I124:I131" si="116">H124/8</f>
        <v>0</v>
      </c>
      <c r="J124" s="9">
        <f t="shared" si="111"/>
        <v>2.2499999999999999E-2</v>
      </c>
      <c r="K124" s="10">
        <v>0.61</v>
      </c>
      <c r="L124" s="10">
        <f t="shared" ref="L124:L131" si="117">J124*K124</f>
        <v>1.3724999999999999E-2</v>
      </c>
      <c r="M124" s="10">
        <f t="shared" ref="M124:M131" si="118">C124*L124</f>
        <v>0</v>
      </c>
      <c r="N124" s="11">
        <f t="shared" ref="N124:N131" si="119">M124/8</f>
        <v>0</v>
      </c>
      <c r="O124" s="12">
        <f t="shared" ref="O124:O131" si="120">J124</f>
        <v>2.2499999999999999E-2</v>
      </c>
      <c r="P124" s="13">
        <v>0.55000000000000004</v>
      </c>
      <c r="Q124" s="13">
        <f t="shared" ref="Q124:Q131" si="121">O124*P124</f>
        <v>1.2375000000000001E-2</v>
      </c>
      <c r="R124" s="13">
        <f t="shared" ref="R124:R131" si="122">C124*Q124</f>
        <v>0</v>
      </c>
      <c r="S124" s="14">
        <f t="shared" ref="S124:S131" si="123">R124/8</f>
        <v>0</v>
      </c>
    </row>
    <row r="125" spans="1:19" x14ac:dyDescent="0.3">
      <c r="A125" s="250">
        <f>VLOOKUP($D125,Reporting!$D:$T,MATCH($A$115,Reporting!$E$4:$L$4,0)+1,FALSE)</f>
        <v>0</v>
      </c>
      <c r="B125" s="250">
        <f>VLOOKUP($D125,Reporting!$D:$T,MATCH($A$115,Reporting!$V$4:$AC$4,0)+9,FALSE)</f>
        <v>0</v>
      </c>
      <c r="C125" s="246">
        <f>(B125*0.5)+A125</f>
        <v>0</v>
      </c>
      <c r="D125" s="277" t="s">
        <v>392</v>
      </c>
      <c r="E125" s="107">
        <v>0.11</v>
      </c>
      <c r="F125" s="6">
        <v>0.61</v>
      </c>
      <c r="G125" s="7">
        <f t="shared" si="114"/>
        <v>6.7099999999999993E-2</v>
      </c>
      <c r="H125" s="7">
        <f t="shared" si="115"/>
        <v>0</v>
      </c>
      <c r="I125" s="8">
        <f t="shared" si="116"/>
        <v>0</v>
      </c>
      <c r="J125" s="9">
        <f t="shared" si="111"/>
        <v>2.75E-2</v>
      </c>
      <c r="K125" s="10">
        <v>0.61</v>
      </c>
      <c r="L125" s="10">
        <f t="shared" si="117"/>
        <v>1.6774999999999998E-2</v>
      </c>
      <c r="M125" s="10">
        <f t="shared" si="118"/>
        <v>0</v>
      </c>
      <c r="N125" s="11">
        <f t="shared" si="119"/>
        <v>0</v>
      </c>
      <c r="O125" s="12">
        <f t="shared" si="120"/>
        <v>2.75E-2</v>
      </c>
      <c r="P125" s="13">
        <v>0.55000000000000004</v>
      </c>
      <c r="Q125" s="13">
        <f t="shared" si="121"/>
        <v>1.5125000000000001E-2</v>
      </c>
      <c r="R125" s="13">
        <f t="shared" si="122"/>
        <v>0</v>
      </c>
      <c r="S125" s="14">
        <f t="shared" si="123"/>
        <v>0</v>
      </c>
    </row>
    <row r="126" spans="1:19" x14ac:dyDescent="0.3">
      <c r="A126" s="250">
        <f>VLOOKUP($D126,Reporting!$D:$T,MATCH($A$115,Reporting!$E$4:$L$4,0)+1,FALSE)</f>
        <v>0</v>
      </c>
      <c r="B126" s="250">
        <f>VLOOKUP($D126,Reporting!$D:$T,MATCH($A$115,Reporting!$V$4:$AC$4,0)+9,FALSE)</f>
        <v>0</v>
      </c>
      <c r="C126" s="246">
        <f>(B126*0.5)+A126</f>
        <v>0</v>
      </c>
      <c r="D126" s="277" t="s">
        <v>393</v>
      </c>
      <c r="E126" s="107">
        <v>0.14000000000000001</v>
      </c>
      <c r="F126" s="6">
        <v>0.61</v>
      </c>
      <c r="G126" s="7">
        <f t="shared" si="114"/>
        <v>8.5400000000000004E-2</v>
      </c>
      <c r="H126" s="7">
        <f t="shared" si="115"/>
        <v>0</v>
      </c>
      <c r="I126" s="8">
        <f t="shared" si="116"/>
        <v>0</v>
      </c>
      <c r="J126" s="9">
        <f t="shared" si="111"/>
        <v>3.5000000000000003E-2</v>
      </c>
      <c r="K126" s="10">
        <v>0.61</v>
      </c>
      <c r="L126" s="10">
        <f t="shared" si="117"/>
        <v>2.1350000000000001E-2</v>
      </c>
      <c r="M126" s="10">
        <f t="shared" si="118"/>
        <v>0</v>
      </c>
      <c r="N126" s="11">
        <f t="shared" si="119"/>
        <v>0</v>
      </c>
      <c r="O126" s="12">
        <f t="shared" si="120"/>
        <v>3.5000000000000003E-2</v>
      </c>
      <c r="P126" s="13">
        <v>0.55000000000000004</v>
      </c>
      <c r="Q126" s="13">
        <f t="shared" si="121"/>
        <v>1.9250000000000003E-2</v>
      </c>
      <c r="R126" s="13">
        <f t="shared" si="122"/>
        <v>0</v>
      </c>
      <c r="S126" s="14">
        <f t="shared" si="123"/>
        <v>0</v>
      </c>
    </row>
    <row r="127" spans="1:19" x14ac:dyDescent="0.3">
      <c r="A127" s="250">
        <f>VLOOKUP($D127,Reporting!$D:$T,MATCH($A$115,Reporting!$E$4:$L$4,0)+1,FALSE)</f>
        <v>0</v>
      </c>
      <c r="B127" s="250">
        <f>VLOOKUP($D127,Reporting!$D:$T,MATCH($A$115,Reporting!$V$4:$AC$4,0)+9,FALSE)</f>
        <v>0</v>
      </c>
      <c r="C127" s="246">
        <f>(B127*0.75)+A127</f>
        <v>0</v>
      </c>
      <c r="D127" s="277" t="s">
        <v>394</v>
      </c>
      <c r="E127" s="107">
        <v>0.16</v>
      </c>
      <c r="F127" s="6">
        <v>0.61</v>
      </c>
      <c r="G127" s="7">
        <f t="shared" si="114"/>
        <v>9.7600000000000006E-2</v>
      </c>
      <c r="H127" s="7">
        <f t="shared" si="115"/>
        <v>0</v>
      </c>
      <c r="I127" s="8">
        <f t="shared" si="116"/>
        <v>0</v>
      </c>
      <c r="J127" s="9">
        <f t="shared" si="111"/>
        <v>0.04</v>
      </c>
      <c r="K127" s="10">
        <v>0.61</v>
      </c>
      <c r="L127" s="10">
        <f t="shared" si="117"/>
        <v>2.4400000000000002E-2</v>
      </c>
      <c r="M127" s="10">
        <f t="shared" si="118"/>
        <v>0</v>
      </c>
      <c r="N127" s="11">
        <f t="shared" si="119"/>
        <v>0</v>
      </c>
      <c r="O127" s="12">
        <f t="shared" si="120"/>
        <v>0.04</v>
      </c>
      <c r="P127" s="13">
        <v>0.55000000000000004</v>
      </c>
      <c r="Q127" s="13">
        <f t="shared" si="121"/>
        <v>2.2000000000000002E-2</v>
      </c>
      <c r="R127" s="13">
        <f t="shared" si="122"/>
        <v>0</v>
      </c>
      <c r="S127" s="14">
        <f t="shared" si="123"/>
        <v>0</v>
      </c>
    </row>
    <row r="128" spans="1:19" x14ac:dyDescent="0.3">
      <c r="A128" s="250">
        <f>VLOOKUP($D128,Reporting!$D:$T,MATCH($A$115,Reporting!$E$4:$L$4,0)+1,FALSE)</f>
        <v>0</v>
      </c>
      <c r="B128" s="250">
        <f>VLOOKUP($D128,Reporting!$D:$T,MATCH($A$115,Reporting!$V$4:$AC$4,0)+9,FALSE)</f>
        <v>0</v>
      </c>
      <c r="C128" s="246">
        <f>(B128*0.75)+A128</f>
        <v>0</v>
      </c>
      <c r="D128" s="277" t="s">
        <v>395</v>
      </c>
      <c r="E128" s="107">
        <v>0.21</v>
      </c>
      <c r="F128" s="6">
        <v>0.61</v>
      </c>
      <c r="G128" s="7">
        <f t="shared" si="114"/>
        <v>0.12809999999999999</v>
      </c>
      <c r="H128" s="7">
        <f t="shared" si="115"/>
        <v>0</v>
      </c>
      <c r="I128" s="8">
        <f t="shared" si="116"/>
        <v>0</v>
      </c>
      <c r="J128" s="9">
        <f t="shared" si="111"/>
        <v>5.2499999999999998E-2</v>
      </c>
      <c r="K128" s="10">
        <v>0.61</v>
      </c>
      <c r="L128" s="10">
        <f t="shared" si="117"/>
        <v>3.2024999999999998E-2</v>
      </c>
      <c r="M128" s="10">
        <f t="shared" si="118"/>
        <v>0</v>
      </c>
      <c r="N128" s="11">
        <f t="shared" si="119"/>
        <v>0</v>
      </c>
      <c r="O128" s="12">
        <f t="shared" si="120"/>
        <v>5.2499999999999998E-2</v>
      </c>
      <c r="P128" s="13">
        <v>0.55000000000000004</v>
      </c>
      <c r="Q128" s="13">
        <f t="shared" si="121"/>
        <v>2.8875000000000001E-2</v>
      </c>
      <c r="R128" s="13">
        <f t="shared" si="122"/>
        <v>0</v>
      </c>
      <c r="S128" s="14">
        <f t="shared" si="123"/>
        <v>0</v>
      </c>
    </row>
    <row r="129" spans="1:19" x14ac:dyDescent="0.3">
      <c r="A129" s="250">
        <f>VLOOKUP($D129,Reporting!$D:$T,MATCH($A$115,Reporting!$E$4:$L$4,0)+1,FALSE)</f>
        <v>0</v>
      </c>
      <c r="B129" s="250">
        <f>VLOOKUP($D129,Reporting!$D:$T,MATCH($A$115,Reporting!$V$4:$AC$4,0)+9,FALSE)</f>
        <v>0</v>
      </c>
      <c r="C129" s="246">
        <f>(B129*1)+A129</f>
        <v>0</v>
      </c>
      <c r="D129" s="277" t="s">
        <v>396</v>
      </c>
      <c r="E129" s="107">
        <v>0.28999999999999998</v>
      </c>
      <c r="F129" s="6">
        <v>0.61</v>
      </c>
      <c r="G129" s="7">
        <f t="shared" si="114"/>
        <v>0.17689999999999997</v>
      </c>
      <c r="H129" s="7">
        <f t="shared" si="115"/>
        <v>0</v>
      </c>
      <c r="I129" s="8">
        <f t="shared" si="116"/>
        <v>0</v>
      </c>
      <c r="J129" s="9">
        <f t="shared" si="111"/>
        <v>7.2499999999999995E-2</v>
      </c>
      <c r="K129" s="10">
        <v>0.61</v>
      </c>
      <c r="L129" s="10">
        <f t="shared" si="117"/>
        <v>4.4224999999999993E-2</v>
      </c>
      <c r="M129" s="10">
        <f t="shared" si="118"/>
        <v>0</v>
      </c>
      <c r="N129" s="11">
        <f t="shared" si="119"/>
        <v>0</v>
      </c>
      <c r="O129" s="12">
        <f t="shared" si="120"/>
        <v>7.2499999999999995E-2</v>
      </c>
      <c r="P129" s="13">
        <v>0.55000000000000004</v>
      </c>
      <c r="Q129" s="13">
        <f t="shared" si="121"/>
        <v>3.9875000000000001E-2</v>
      </c>
      <c r="R129" s="13">
        <f t="shared" si="122"/>
        <v>0</v>
      </c>
      <c r="S129" s="14">
        <f t="shared" si="123"/>
        <v>0</v>
      </c>
    </row>
    <row r="130" spans="1:19" x14ac:dyDescent="0.3">
      <c r="A130" s="250">
        <f>VLOOKUP($D130,Reporting!$D:$T,MATCH($A$115,Reporting!$E$4:$L$4,0)+1,FALSE)</f>
        <v>0</v>
      </c>
      <c r="B130" s="250">
        <f>VLOOKUP($D130,Reporting!$D:$T,MATCH($A$115,Reporting!$V$4:$AC$4,0)+9,FALSE)</f>
        <v>0</v>
      </c>
      <c r="C130" s="246">
        <f>(B130*1)+A130</f>
        <v>0</v>
      </c>
      <c r="D130" s="277" t="s">
        <v>397</v>
      </c>
      <c r="E130" s="107">
        <v>0.36</v>
      </c>
      <c r="F130" s="6">
        <v>0.61</v>
      </c>
      <c r="G130" s="7">
        <f t="shared" si="114"/>
        <v>0.21959999999999999</v>
      </c>
      <c r="H130" s="7">
        <f t="shared" si="115"/>
        <v>0</v>
      </c>
      <c r="I130" s="8">
        <f t="shared" si="116"/>
        <v>0</v>
      </c>
      <c r="J130" s="9">
        <f t="shared" si="111"/>
        <v>0.09</v>
      </c>
      <c r="K130" s="10">
        <v>0.61</v>
      </c>
      <c r="L130" s="10">
        <f t="shared" si="117"/>
        <v>5.4899999999999997E-2</v>
      </c>
      <c r="M130" s="10">
        <f t="shared" si="118"/>
        <v>0</v>
      </c>
      <c r="N130" s="11">
        <f t="shared" si="119"/>
        <v>0</v>
      </c>
      <c r="O130" s="12">
        <f t="shared" si="120"/>
        <v>0.09</v>
      </c>
      <c r="P130" s="13">
        <v>0.55000000000000004</v>
      </c>
      <c r="Q130" s="13">
        <f t="shared" si="121"/>
        <v>4.9500000000000002E-2</v>
      </c>
      <c r="R130" s="13">
        <f t="shared" si="122"/>
        <v>0</v>
      </c>
      <c r="S130" s="14">
        <f t="shared" si="123"/>
        <v>0</v>
      </c>
    </row>
    <row r="131" spans="1:19" x14ac:dyDescent="0.3">
      <c r="A131" s="250">
        <f>VLOOKUP($D131,Reporting!$D:$T,MATCH($A$115,Reporting!$E$4:$L$4,0)+1,FALSE)</f>
        <v>0</v>
      </c>
      <c r="B131" s="250">
        <f>VLOOKUP($D131,Reporting!$D:$T,MATCH($A$115,Reporting!$V$4:$AC$4,0)+9,FALSE)</f>
        <v>0</v>
      </c>
      <c r="C131" s="246">
        <f>(B131*1)+A131</f>
        <v>0</v>
      </c>
      <c r="D131" s="277" t="s">
        <v>398</v>
      </c>
      <c r="E131" s="107">
        <v>0.4</v>
      </c>
      <c r="F131" s="6">
        <v>0.61</v>
      </c>
      <c r="G131" s="7">
        <f t="shared" si="114"/>
        <v>0.24399999999999999</v>
      </c>
      <c r="H131" s="7">
        <f t="shared" si="115"/>
        <v>0</v>
      </c>
      <c r="I131" s="8">
        <f t="shared" si="116"/>
        <v>0</v>
      </c>
      <c r="J131" s="9">
        <f t="shared" si="111"/>
        <v>0.1</v>
      </c>
      <c r="K131" s="10">
        <v>0.61</v>
      </c>
      <c r="L131" s="10">
        <f t="shared" si="117"/>
        <v>6.0999999999999999E-2</v>
      </c>
      <c r="M131" s="10">
        <f t="shared" si="118"/>
        <v>0</v>
      </c>
      <c r="N131" s="11">
        <f t="shared" si="119"/>
        <v>0</v>
      </c>
      <c r="O131" s="12">
        <f t="shared" si="120"/>
        <v>0.1</v>
      </c>
      <c r="P131" s="13">
        <v>0.55000000000000004</v>
      </c>
      <c r="Q131" s="13">
        <f t="shared" si="121"/>
        <v>5.5000000000000007E-2</v>
      </c>
      <c r="R131" s="13">
        <f t="shared" si="122"/>
        <v>0</v>
      </c>
      <c r="S131" s="14">
        <f t="shared" si="123"/>
        <v>0</v>
      </c>
    </row>
    <row r="132" spans="1:19" ht="15" thickBot="1" x14ac:dyDescent="0.35">
      <c r="A132" s="258"/>
      <c r="B132" s="74">
        <f>SUM(B117:B131)</f>
        <v>0</v>
      </c>
      <c r="C132" s="247"/>
      <c r="D132" s="278"/>
      <c r="E132" s="74"/>
      <c r="F132" s="644" t="s">
        <v>9</v>
      </c>
      <c r="G132" s="645"/>
      <c r="H132" s="645"/>
      <c r="I132" s="16">
        <f>SUM(I117:I131)</f>
        <v>0</v>
      </c>
      <c r="J132" s="1"/>
      <c r="K132" s="646" t="s">
        <v>10</v>
      </c>
      <c r="L132" s="646"/>
      <c r="M132" s="646"/>
      <c r="N132" s="17">
        <f>SUM(N117:N131)</f>
        <v>0</v>
      </c>
      <c r="O132" s="15"/>
      <c r="P132" s="647" t="s">
        <v>11</v>
      </c>
      <c r="Q132" s="647"/>
      <c r="R132" s="647"/>
      <c r="S132" s="18">
        <f>SUM(S117:S131)</f>
        <v>0</v>
      </c>
    </row>
    <row r="133" spans="1:19" ht="15" thickBot="1" x14ac:dyDescent="0.35"/>
    <row r="134" spans="1:19" ht="15" customHeight="1" x14ac:dyDescent="0.3">
      <c r="A134" s="656" t="s">
        <v>19</v>
      </c>
      <c r="B134" s="656"/>
      <c r="C134" s="656"/>
      <c r="D134" s="656"/>
      <c r="E134" s="656"/>
      <c r="F134" s="660" t="s">
        <v>88</v>
      </c>
      <c r="G134" s="660"/>
      <c r="H134" s="660"/>
      <c r="I134" s="660"/>
      <c r="J134" s="66"/>
      <c r="K134" s="66"/>
      <c r="L134" s="66"/>
      <c r="M134" s="66"/>
      <c r="N134" s="66"/>
      <c r="O134" s="66"/>
      <c r="P134" s="66"/>
      <c r="Q134" s="66"/>
      <c r="R134" s="66"/>
      <c r="S134" s="67"/>
    </row>
    <row r="135" spans="1:19" ht="15" customHeight="1" x14ac:dyDescent="0.3">
      <c r="A135" s="657"/>
      <c r="B135" s="657"/>
      <c r="C135" s="657"/>
      <c r="D135" s="657"/>
      <c r="E135" s="657"/>
      <c r="F135" s="661"/>
      <c r="G135" s="661"/>
      <c r="H135" s="661"/>
      <c r="I135" s="661"/>
      <c r="J135" s="68"/>
      <c r="K135" s="68"/>
      <c r="L135" s="68"/>
      <c r="M135" s="68"/>
      <c r="N135" s="68"/>
      <c r="O135" s="68"/>
      <c r="P135" s="68"/>
      <c r="Q135" s="68"/>
      <c r="R135" s="68"/>
      <c r="S135" s="69"/>
    </row>
    <row r="136" spans="1:19" ht="15" customHeight="1" x14ac:dyDescent="0.3">
      <c r="A136" s="259"/>
      <c r="B136" s="129"/>
      <c r="C136" s="248">
        <f>(B136*0.25)+A136</f>
        <v>0</v>
      </c>
      <c r="D136" s="70" t="s">
        <v>20</v>
      </c>
      <c r="E136" s="108">
        <v>0.08</v>
      </c>
      <c r="F136" s="6">
        <v>0.61</v>
      </c>
      <c r="G136" s="7">
        <f t="shared" ref="G136:G145" si="124">E136*F136</f>
        <v>4.8800000000000003E-2</v>
      </c>
      <c r="H136" s="7">
        <f>C136*G136</f>
        <v>0</v>
      </c>
      <c r="I136" s="8">
        <f t="shared" ref="I136:I145" si="125">H136/8</f>
        <v>0</v>
      </c>
      <c r="J136" s="9">
        <f t="shared" ref="J136:J145" si="126">E136*0.25</f>
        <v>0.02</v>
      </c>
      <c r="K136" s="10">
        <v>0.61</v>
      </c>
      <c r="L136" s="10">
        <f t="shared" ref="L136:L145" si="127">J136*K136</f>
        <v>1.2200000000000001E-2</v>
      </c>
      <c r="M136" s="10">
        <f>C136*L136</f>
        <v>0</v>
      </c>
      <c r="N136" s="11">
        <f t="shared" ref="N136:N145" si="128">M136/8</f>
        <v>0</v>
      </c>
      <c r="O136" s="12">
        <f t="shared" ref="O136:O145" si="129">J136</f>
        <v>0.02</v>
      </c>
      <c r="P136" s="13">
        <v>0.55000000000000004</v>
      </c>
      <c r="Q136" s="13">
        <f t="shared" ref="Q136:Q145" si="130">O136*P136</f>
        <v>1.1000000000000001E-2</v>
      </c>
      <c r="R136" s="13">
        <f>C136*Q136</f>
        <v>0</v>
      </c>
      <c r="S136" s="14">
        <f t="shared" ref="S136:S145" si="131">R136/8</f>
        <v>0</v>
      </c>
    </row>
    <row r="137" spans="1:19" ht="15" customHeight="1" x14ac:dyDescent="0.3">
      <c r="A137" s="259"/>
      <c r="B137" s="129"/>
      <c r="C137" s="248">
        <f t="shared" ref="C137:C145" si="132">(B137*0.25)+A137</f>
        <v>0</v>
      </c>
      <c r="D137" s="70" t="s">
        <v>44</v>
      </c>
      <c r="E137" s="108">
        <v>0.48</v>
      </c>
      <c r="F137" s="6">
        <v>0.61</v>
      </c>
      <c r="G137" s="7">
        <f t="shared" si="124"/>
        <v>0.2928</v>
      </c>
      <c r="H137" s="7">
        <f t="shared" ref="H137:H145" si="133">C137*G137</f>
        <v>0</v>
      </c>
      <c r="I137" s="8">
        <f t="shared" si="125"/>
        <v>0</v>
      </c>
      <c r="J137" s="9">
        <f t="shared" si="126"/>
        <v>0.12</v>
      </c>
      <c r="K137" s="10">
        <v>0.61</v>
      </c>
      <c r="L137" s="10">
        <f t="shared" si="127"/>
        <v>7.3200000000000001E-2</v>
      </c>
      <c r="M137" s="10">
        <f t="shared" ref="M137:M145" si="134">C137*L137</f>
        <v>0</v>
      </c>
      <c r="N137" s="11">
        <f t="shared" si="128"/>
        <v>0</v>
      </c>
      <c r="O137" s="12">
        <f t="shared" si="129"/>
        <v>0.12</v>
      </c>
      <c r="P137" s="13">
        <v>0.55000000000000004</v>
      </c>
      <c r="Q137" s="13">
        <f t="shared" si="130"/>
        <v>6.6000000000000003E-2</v>
      </c>
      <c r="R137" s="13">
        <f t="shared" ref="R137:R145" si="135">C137*Q137</f>
        <v>0</v>
      </c>
      <c r="S137" s="14">
        <f t="shared" si="131"/>
        <v>0</v>
      </c>
    </row>
    <row r="138" spans="1:19" ht="15" customHeight="1" x14ac:dyDescent="0.3">
      <c r="A138" s="259"/>
      <c r="B138" s="129"/>
      <c r="C138" s="248">
        <f t="shared" si="132"/>
        <v>0</v>
      </c>
      <c r="D138" s="70" t="s">
        <v>45</v>
      </c>
      <c r="E138" s="108">
        <v>0.34</v>
      </c>
      <c r="F138" s="6">
        <v>0.61</v>
      </c>
      <c r="G138" s="7">
        <f t="shared" si="124"/>
        <v>0.2074</v>
      </c>
      <c r="H138" s="7">
        <f t="shared" si="133"/>
        <v>0</v>
      </c>
      <c r="I138" s="8">
        <f t="shared" si="125"/>
        <v>0</v>
      </c>
      <c r="J138" s="9">
        <f t="shared" si="126"/>
        <v>8.5000000000000006E-2</v>
      </c>
      <c r="K138" s="10">
        <v>0.61</v>
      </c>
      <c r="L138" s="10">
        <f t="shared" si="127"/>
        <v>5.185E-2</v>
      </c>
      <c r="M138" s="10">
        <f t="shared" si="134"/>
        <v>0</v>
      </c>
      <c r="N138" s="11">
        <f t="shared" si="128"/>
        <v>0</v>
      </c>
      <c r="O138" s="12">
        <f t="shared" si="129"/>
        <v>8.5000000000000006E-2</v>
      </c>
      <c r="P138" s="13">
        <v>0.55000000000000004</v>
      </c>
      <c r="Q138" s="13">
        <f t="shared" si="130"/>
        <v>4.6750000000000007E-2</v>
      </c>
      <c r="R138" s="13">
        <f t="shared" si="135"/>
        <v>0</v>
      </c>
      <c r="S138" s="14">
        <f t="shared" si="131"/>
        <v>0</v>
      </c>
    </row>
    <row r="139" spans="1:19" ht="15" customHeight="1" x14ac:dyDescent="0.3">
      <c r="A139" s="259"/>
      <c r="B139" s="129"/>
      <c r="C139" s="248">
        <f t="shared" si="132"/>
        <v>0</v>
      </c>
      <c r="D139" s="70" t="s">
        <v>46</v>
      </c>
      <c r="E139" s="108">
        <v>0.54</v>
      </c>
      <c r="F139" s="6">
        <v>0.61</v>
      </c>
      <c r="G139" s="7">
        <f t="shared" si="124"/>
        <v>0.32940000000000003</v>
      </c>
      <c r="H139" s="7">
        <f t="shared" si="133"/>
        <v>0</v>
      </c>
      <c r="I139" s="8">
        <f t="shared" si="125"/>
        <v>0</v>
      </c>
      <c r="J139" s="9">
        <f t="shared" si="126"/>
        <v>0.13500000000000001</v>
      </c>
      <c r="K139" s="10">
        <v>0.61</v>
      </c>
      <c r="L139" s="10">
        <f t="shared" si="127"/>
        <v>8.2350000000000007E-2</v>
      </c>
      <c r="M139" s="10">
        <f t="shared" si="134"/>
        <v>0</v>
      </c>
      <c r="N139" s="11">
        <f t="shared" si="128"/>
        <v>0</v>
      </c>
      <c r="O139" s="12">
        <f t="shared" si="129"/>
        <v>0.13500000000000001</v>
      </c>
      <c r="P139" s="13">
        <v>0.55000000000000004</v>
      </c>
      <c r="Q139" s="13">
        <f t="shared" si="130"/>
        <v>7.425000000000001E-2</v>
      </c>
      <c r="R139" s="13">
        <f t="shared" si="135"/>
        <v>0</v>
      </c>
      <c r="S139" s="14">
        <f t="shared" si="131"/>
        <v>0</v>
      </c>
    </row>
    <row r="140" spans="1:19" x14ac:dyDescent="0.3">
      <c r="A140" s="250"/>
      <c r="B140" s="130"/>
      <c r="C140" s="248">
        <f t="shared" si="132"/>
        <v>0</v>
      </c>
      <c r="D140" s="70" t="s">
        <v>47</v>
      </c>
      <c r="E140" s="109">
        <v>0.44</v>
      </c>
      <c r="F140" s="6">
        <v>0.61</v>
      </c>
      <c r="G140" s="7">
        <f t="shared" si="124"/>
        <v>0.26839999999999997</v>
      </c>
      <c r="H140" s="7">
        <f t="shared" si="133"/>
        <v>0</v>
      </c>
      <c r="I140" s="8">
        <f t="shared" si="125"/>
        <v>0</v>
      </c>
      <c r="J140" s="9">
        <f t="shared" si="126"/>
        <v>0.11</v>
      </c>
      <c r="K140" s="10">
        <v>0.61</v>
      </c>
      <c r="L140" s="10">
        <f t="shared" si="127"/>
        <v>6.7099999999999993E-2</v>
      </c>
      <c r="M140" s="10">
        <f t="shared" si="134"/>
        <v>0</v>
      </c>
      <c r="N140" s="11">
        <f t="shared" si="128"/>
        <v>0</v>
      </c>
      <c r="O140" s="12">
        <f t="shared" si="129"/>
        <v>0.11</v>
      </c>
      <c r="P140" s="13">
        <v>0.55000000000000004</v>
      </c>
      <c r="Q140" s="13">
        <f t="shared" si="130"/>
        <v>6.0500000000000005E-2</v>
      </c>
      <c r="R140" s="13">
        <f t="shared" si="135"/>
        <v>0</v>
      </c>
      <c r="S140" s="14">
        <f t="shared" si="131"/>
        <v>0</v>
      </c>
    </row>
    <row r="141" spans="1:19" x14ac:dyDescent="0.3">
      <c r="A141" s="250"/>
      <c r="B141" s="130"/>
      <c r="C141" s="248">
        <f t="shared" si="132"/>
        <v>0</v>
      </c>
      <c r="D141" s="71" t="s">
        <v>375</v>
      </c>
      <c r="E141" s="109">
        <v>0.23</v>
      </c>
      <c r="F141" s="6">
        <v>0.61</v>
      </c>
      <c r="G141" s="7">
        <f t="shared" si="124"/>
        <v>0.14030000000000001</v>
      </c>
      <c r="H141" s="7">
        <f t="shared" si="133"/>
        <v>0</v>
      </c>
      <c r="I141" s="8">
        <f t="shared" si="125"/>
        <v>0</v>
      </c>
      <c r="J141" s="9">
        <f t="shared" si="126"/>
        <v>5.7500000000000002E-2</v>
      </c>
      <c r="K141" s="10">
        <v>0.61</v>
      </c>
      <c r="L141" s="10">
        <f t="shared" si="127"/>
        <v>3.5075000000000002E-2</v>
      </c>
      <c r="M141" s="10">
        <f t="shared" si="134"/>
        <v>0</v>
      </c>
      <c r="N141" s="11">
        <f t="shared" si="128"/>
        <v>0</v>
      </c>
      <c r="O141" s="12">
        <f t="shared" si="129"/>
        <v>5.7500000000000002E-2</v>
      </c>
      <c r="P141" s="13">
        <v>0.55000000000000004</v>
      </c>
      <c r="Q141" s="13">
        <f t="shared" si="130"/>
        <v>3.1625000000000007E-2</v>
      </c>
      <c r="R141" s="13">
        <f t="shared" si="135"/>
        <v>0</v>
      </c>
      <c r="S141" s="14">
        <f t="shared" si="131"/>
        <v>0</v>
      </c>
    </row>
    <row r="142" spans="1:19" x14ac:dyDescent="0.3">
      <c r="A142" s="250"/>
      <c r="B142" s="130"/>
      <c r="C142" s="248">
        <f t="shared" si="132"/>
        <v>0</v>
      </c>
      <c r="D142" s="71" t="s">
        <v>48</v>
      </c>
      <c r="E142" s="109">
        <v>0.28000000000000003</v>
      </c>
      <c r="F142" s="6">
        <v>0.61</v>
      </c>
      <c r="G142" s="7">
        <f t="shared" si="124"/>
        <v>0.17080000000000001</v>
      </c>
      <c r="H142" s="7">
        <f t="shared" si="133"/>
        <v>0</v>
      </c>
      <c r="I142" s="8">
        <f t="shared" si="125"/>
        <v>0</v>
      </c>
      <c r="J142" s="9">
        <f t="shared" si="126"/>
        <v>7.0000000000000007E-2</v>
      </c>
      <c r="K142" s="10">
        <v>0.61</v>
      </c>
      <c r="L142" s="10">
        <f t="shared" si="127"/>
        <v>4.2700000000000002E-2</v>
      </c>
      <c r="M142" s="10">
        <f t="shared" si="134"/>
        <v>0</v>
      </c>
      <c r="N142" s="11">
        <f t="shared" si="128"/>
        <v>0</v>
      </c>
      <c r="O142" s="12">
        <f t="shared" si="129"/>
        <v>7.0000000000000007E-2</v>
      </c>
      <c r="P142" s="13">
        <v>0.55000000000000004</v>
      </c>
      <c r="Q142" s="13">
        <f t="shared" si="130"/>
        <v>3.8500000000000006E-2</v>
      </c>
      <c r="R142" s="13">
        <f t="shared" si="135"/>
        <v>0</v>
      </c>
      <c r="S142" s="14">
        <f t="shared" si="131"/>
        <v>0</v>
      </c>
    </row>
    <row r="143" spans="1:19" x14ac:dyDescent="0.3">
      <c r="A143" s="250"/>
      <c r="B143" s="130"/>
      <c r="C143" s="248">
        <f t="shared" si="132"/>
        <v>0</v>
      </c>
      <c r="D143" s="83" t="s">
        <v>124</v>
      </c>
      <c r="E143" s="109">
        <v>0.39</v>
      </c>
      <c r="F143" s="6">
        <v>0.61</v>
      </c>
      <c r="G143" s="7">
        <f>E143*F143</f>
        <v>0.2379</v>
      </c>
      <c r="H143" s="7">
        <f>C143*G143</f>
        <v>0</v>
      </c>
      <c r="I143" s="8">
        <f>H143/8</f>
        <v>0</v>
      </c>
      <c r="J143" s="9">
        <f t="shared" si="126"/>
        <v>9.7500000000000003E-2</v>
      </c>
      <c r="K143" s="10">
        <v>0.61</v>
      </c>
      <c r="L143" s="10">
        <f t="shared" si="127"/>
        <v>5.9475E-2</v>
      </c>
      <c r="M143" s="10">
        <f t="shared" si="134"/>
        <v>0</v>
      </c>
      <c r="N143" s="11">
        <f t="shared" si="128"/>
        <v>0</v>
      </c>
      <c r="O143" s="12">
        <f t="shared" si="129"/>
        <v>9.7500000000000003E-2</v>
      </c>
      <c r="P143" s="13">
        <v>0.55000000000000004</v>
      </c>
      <c r="Q143" s="13">
        <f t="shared" si="130"/>
        <v>5.3625000000000006E-2</v>
      </c>
      <c r="R143" s="13">
        <f t="shared" si="135"/>
        <v>0</v>
      </c>
      <c r="S143" s="14">
        <f t="shared" si="131"/>
        <v>0</v>
      </c>
    </row>
    <row r="144" spans="1:19" x14ac:dyDescent="0.3">
      <c r="A144" s="250"/>
      <c r="B144" s="130"/>
      <c r="C144" s="248">
        <f t="shared" si="132"/>
        <v>0</v>
      </c>
      <c r="D144" s="71" t="s">
        <v>50</v>
      </c>
      <c r="E144" s="109">
        <v>0.26</v>
      </c>
      <c r="F144" s="6">
        <v>0.61</v>
      </c>
      <c r="G144" s="7">
        <f t="shared" si="124"/>
        <v>0.15859999999999999</v>
      </c>
      <c r="H144" s="7">
        <f t="shared" si="133"/>
        <v>0</v>
      </c>
      <c r="I144" s="8">
        <f t="shared" si="125"/>
        <v>0</v>
      </c>
      <c r="J144" s="9">
        <f t="shared" si="126"/>
        <v>6.5000000000000002E-2</v>
      </c>
      <c r="K144" s="10">
        <v>0.61</v>
      </c>
      <c r="L144" s="10">
        <f t="shared" si="127"/>
        <v>3.9649999999999998E-2</v>
      </c>
      <c r="M144" s="10">
        <f t="shared" si="134"/>
        <v>0</v>
      </c>
      <c r="N144" s="11">
        <f t="shared" si="128"/>
        <v>0</v>
      </c>
      <c r="O144" s="12">
        <f t="shared" si="129"/>
        <v>6.5000000000000002E-2</v>
      </c>
      <c r="P144" s="13">
        <v>0.55000000000000004</v>
      </c>
      <c r="Q144" s="13">
        <f t="shared" si="130"/>
        <v>3.5750000000000004E-2</v>
      </c>
      <c r="R144" s="13">
        <f t="shared" si="135"/>
        <v>0</v>
      </c>
      <c r="S144" s="14">
        <f t="shared" si="131"/>
        <v>0</v>
      </c>
    </row>
    <row r="145" spans="1:19" x14ac:dyDescent="0.3">
      <c r="A145" s="250"/>
      <c r="B145" s="130"/>
      <c r="C145" s="248">
        <f t="shared" si="132"/>
        <v>0</v>
      </c>
      <c r="D145" s="83" t="s">
        <v>51</v>
      </c>
      <c r="E145" s="109">
        <v>0.26</v>
      </c>
      <c r="F145" s="6">
        <v>0.61</v>
      </c>
      <c r="G145" s="7">
        <f t="shared" si="124"/>
        <v>0.15859999999999999</v>
      </c>
      <c r="H145" s="7">
        <f t="shared" si="133"/>
        <v>0</v>
      </c>
      <c r="I145" s="8">
        <f t="shared" si="125"/>
        <v>0</v>
      </c>
      <c r="J145" s="9">
        <f t="shared" si="126"/>
        <v>6.5000000000000002E-2</v>
      </c>
      <c r="K145" s="10">
        <v>0.61</v>
      </c>
      <c r="L145" s="10">
        <f t="shared" si="127"/>
        <v>3.9649999999999998E-2</v>
      </c>
      <c r="M145" s="10">
        <f t="shared" si="134"/>
        <v>0</v>
      </c>
      <c r="N145" s="11">
        <f t="shared" si="128"/>
        <v>0</v>
      </c>
      <c r="O145" s="12">
        <f t="shared" si="129"/>
        <v>6.5000000000000002E-2</v>
      </c>
      <c r="P145" s="13">
        <v>0.55000000000000004</v>
      </c>
      <c r="Q145" s="13">
        <f t="shared" si="130"/>
        <v>3.5750000000000004E-2</v>
      </c>
      <c r="R145" s="13">
        <f t="shared" si="135"/>
        <v>0</v>
      </c>
      <c r="S145" s="14">
        <f t="shared" si="131"/>
        <v>0</v>
      </c>
    </row>
    <row r="146" spans="1:19" ht="15" thickBot="1" x14ac:dyDescent="0.35">
      <c r="A146" s="260"/>
      <c r="B146" s="65">
        <f>SUM(B136:B145)</f>
        <v>0</v>
      </c>
      <c r="C146" s="249"/>
      <c r="D146" s="279"/>
      <c r="E146" s="65"/>
      <c r="F146" s="644" t="s">
        <v>9</v>
      </c>
      <c r="G146" s="645"/>
      <c r="H146" s="645"/>
      <c r="I146" s="16">
        <f>SUM(I136:I145)</f>
        <v>0</v>
      </c>
      <c r="J146" s="1"/>
      <c r="K146" s="646" t="s">
        <v>10</v>
      </c>
      <c r="L146" s="646"/>
      <c r="M146" s="646"/>
      <c r="N146" s="17">
        <f>SUM(N136:N145)</f>
        <v>0</v>
      </c>
      <c r="O146" s="15"/>
      <c r="P146" s="647" t="s">
        <v>11</v>
      </c>
      <c r="Q146" s="647"/>
      <c r="R146" s="647"/>
      <c r="S146" s="18">
        <f>SUM(S136:S145)</f>
        <v>0</v>
      </c>
    </row>
  </sheetData>
  <sheetProtection algorithmName="SHA-512" hashValue="cueLeKZJm3Dk8xC9JTuwjZVdQ7UJGHR4NumefrKDnnp+Ess6XJfroq1NKWienn08Fw94N1hUqWrcteOvCHsThg==" saltValue="UG3yOC5sdMWvar/cgkuzSQ==" spinCount="100000" sheet="1" objects="1" scenarios="1"/>
  <mergeCells count="59">
    <mergeCell ref="O2:S2"/>
    <mergeCell ref="A62:E63"/>
    <mergeCell ref="F62:J63"/>
    <mergeCell ref="A29:D30"/>
    <mergeCell ref="F29:J30"/>
    <mergeCell ref="F44:H44"/>
    <mergeCell ref="A46:E47"/>
    <mergeCell ref="K60:M60"/>
    <mergeCell ref="P60:R60"/>
    <mergeCell ref="K27:M27"/>
    <mergeCell ref="P27:R27"/>
    <mergeCell ref="K44:M44"/>
    <mergeCell ref="P44:R44"/>
    <mergeCell ref="A1:E2"/>
    <mergeCell ref="F2:I2"/>
    <mergeCell ref="A5:D6"/>
    <mergeCell ref="U86:W86"/>
    <mergeCell ref="U87:W89"/>
    <mergeCell ref="AC2:AE2"/>
    <mergeCell ref="AC3:AD3"/>
    <mergeCell ref="U3:V3"/>
    <mergeCell ref="U2:W2"/>
    <mergeCell ref="Y2:AA2"/>
    <mergeCell ref="Y3:Z3"/>
    <mergeCell ref="Y86:AA86"/>
    <mergeCell ref="Y87:AA89"/>
    <mergeCell ref="F146:H146"/>
    <mergeCell ref="K146:M146"/>
    <mergeCell ref="P146:R146"/>
    <mergeCell ref="A115:E116"/>
    <mergeCell ref="F132:H132"/>
    <mergeCell ref="K132:M132"/>
    <mergeCell ref="P132:R132"/>
    <mergeCell ref="F113:H113"/>
    <mergeCell ref="K113:M113"/>
    <mergeCell ref="P113:R113"/>
    <mergeCell ref="A134:E135"/>
    <mergeCell ref="F115:J116"/>
    <mergeCell ref="F134:I135"/>
    <mergeCell ref="F100:H100"/>
    <mergeCell ref="K100:M100"/>
    <mergeCell ref="P100:R100"/>
    <mergeCell ref="F89:J90"/>
    <mergeCell ref="A102:E103"/>
    <mergeCell ref="F102:J103"/>
    <mergeCell ref="A89:E90"/>
    <mergeCell ref="K87:M87"/>
    <mergeCell ref="P87:R87"/>
    <mergeCell ref="F73:H73"/>
    <mergeCell ref="K73:M73"/>
    <mergeCell ref="P73:R73"/>
    <mergeCell ref="F87:H87"/>
    <mergeCell ref="J2:N2"/>
    <mergeCell ref="F5:J6"/>
    <mergeCell ref="F75:J76"/>
    <mergeCell ref="F46:J47"/>
    <mergeCell ref="A75:E76"/>
    <mergeCell ref="F60:H60"/>
    <mergeCell ref="F27:H27"/>
  </mergeCells>
  <printOptions horizontalCentered="1"/>
  <pageMargins left="0.25" right="0.25" top="0.4" bottom="0.3" header="0.3" footer="0.25"/>
  <pageSetup scale="58" fitToHeight="0" orientation="portrait" r:id="rId1"/>
  <headerFooter alignWithMargins="0">
    <oddFooter>&amp;F&amp;RPage &amp;P</oddFooter>
  </headerFooter>
  <rowBreaks count="1" manualBreakCount="1">
    <brk id="74" max="18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1"/>
    <pageSetUpPr fitToPage="1"/>
  </sheetPr>
  <dimension ref="A1:AC146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02" t="s">
        <v>24</v>
      </c>
      <c r="B1" s="703"/>
      <c r="C1" s="703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04"/>
      <c r="B2" s="705"/>
      <c r="C2" s="705"/>
      <c r="D2" s="695" t="s">
        <v>6</v>
      </c>
      <c r="E2" s="696"/>
      <c r="F2" s="696"/>
      <c r="G2" s="697"/>
      <c r="H2" s="633" t="s">
        <v>8</v>
      </c>
      <c r="I2" s="634"/>
      <c r="J2" s="634"/>
      <c r="K2" s="634"/>
      <c r="L2" s="635"/>
      <c r="M2" s="684" t="s">
        <v>257</v>
      </c>
      <c r="N2" s="685"/>
      <c r="O2" s="685"/>
      <c r="P2" s="685"/>
      <c r="Q2" s="686"/>
      <c r="S2" s="673" t="s">
        <v>41</v>
      </c>
      <c r="T2" s="674"/>
      <c r="U2" s="675"/>
      <c r="W2" s="676" t="s">
        <v>42</v>
      </c>
      <c r="X2" s="677"/>
      <c r="Y2" s="678"/>
      <c r="AA2" s="666" t="s">
        <v>22</v>
      </c>
      <c r="AB2" s="667"/>
      <c r="AC2" s="668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1">
        <f>G27+G60+G87+G100+G113+G132+G146+G44+G73</f>
        <v>0.21731249999999996</v>
      </c>
      <c r="T3" s="672"/>
      <c r="U3" s="80" t="s">
        <v>23</v>
      </c>
      <c r="W3" s="679">
        <f>L27+L60+L87+L100+L113+L132+L146+L44+L73</f>
        <v>0.21731249999999996</v>
      </c>
      <c r="X3" s="680"/>
      <c r="Y3" s="81" t="s">
        <v>23</v>
      </c>
      <c r="AA3" s="669">
        <f>Q27+Q60+Q87+Q100+Q113+Q132+Q146+Q44+Q73</f>
        <v>0.19593750000000004</v>
      </c>
      <c r="AB3" s="670"/>
      <c r="AC3" s="79" t="s">
        <v>23</v>
      </c>
    </row>
    <row r="4" spans="1:29" ht="15" thickBot="1" x14ac:dyDescent="0.35">
      <c r="A4">
        <f>A27+A44+A60+A73+A87+A100+A113+A132+A146</f>
        <v>31</v>
      </c>
    </row>
    <row r="5" spans="1:29" ht="15" customHeight="1" x14ac:dyDescent="0.3">
      <c r="A5" s="689" t="s">
        <v>156</v>
      </c>
      <c r="B5" s="689"/>
      <c r="C5" s="689"/>
      <c r="D5" s="689"/>
      <c r="E5" s="122"/>
      <c r="F5" s="122"/>
      <c r="G5" s="122"/>
      <c r="H5" s="698" t="s">
        <v>119</v>
      </c>
      <c r="I5" s="698"/>
      <c r="J5" s="698"/>
      <c r="K5" s="698"/>
      <c r="L5" s="2"/>
      <c r="M5" s="2"/>
      <c r="N5" s="2"/>
      <c r="O5" s="2"/>
      <c r="P5" s="2"/>
      <c r="Q5" s="5"/>
    </row>
    <row r="6" spans="1:29" ht="15" customHeight="1" x14ac:dyDescent="0.3">
      <c r="A6" s="690"/>
      <c r="B6" s="690"/>
      <c r="C6" s="690"/>
      <c r="D6" s="690"/>
      <c r="E6" s="123"/>
      <c r="F6" s="123"/>
      <c r="G6" s="123"/>
      <c r="H6" s="699"/>
      <c r="I6" s="699"/>
      <c r="J6" s="699"/>
      <c r="K6" s="69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VLOOKUP($B7,Reporting!$U:$AC,MATCH($A$5,Reporting!$V$4:$AC$4,0)+1,FALSE)</f>
        <v>0</v>
      </c>
      <c r="B7" s="262" t="s">
        <v>371</v>
      </c>
      <c r="C7" s="96">
        <v>0.08</v>
      </c>
      <c r="D7" s="6">
        <v>0.61</v>
      </c>
      <c r="E7" s="7">
        <f t="shared" ref="E7:E12" si="0">C7*D7</f>
        <v>4.8800000000000003E-2</v>
      </c>
      <c r="F7" s="7">
        <f>A7*E7</f>
        <v>0</v>
      </c>
      <c r="G7" s="8">
        <f t="shared" ref="G7:G12" si="1">F7/8</f>
        <v>0</v>
      </c>
      <c r="H7" s="9">
        <f>C7</f>
        <v>0.08</v>
      </c>
      <c r="I7" s="10">
        <v>0.61</v>
      </c>
      <c r="J7" s="10">
        <f t="shared" ref="J7:J12" si="2">H7*I7</f>
        <v>4.8800000000000003E-2</v>
      </c>
      <c r="K7" s="10">
        <f>A7*J7</f>
        <v>0</v>
      </c>
      <c r="L7" s="11">
        <f t="shared" ref="L7:L12" si="3">K7/8</f>
        <v>0</v>
      </c>
      <c r="M7" s="12">
        <f t="shared" ref="M7:M12" si="4">H7</f>
        <v>0.08</v>
      </c>
      <c r="N7" s="13">
        <v>0.55000000000000004</v>
      </c>
      <c r="O7" s="13">
        <f t="shared" ref="O7:O12" si="5">M7*N7</f>
        <v>4.4000000000000004E-2</v>
      </c>
      <c r="P7" s="13">
        <f>A7*O7</f>
        <v>0</v>
      </c>
      <c r="Q7" s="14">
        <f t="shared" ref="Q7:Q12" si="6">P7/8</f>
        <v>0</v>
      </c>
    </row>
    <row r="8" spans="1:29" ht="15" customHeight="1" x14ac:dyDescent="0.3">
      <c r="A8" s="250">
        <f>VLOOKUP($B8,Reporting!$U:$AC,MATCH($A$5,Reporting!$V$4:$AC$4,0)+1,FALSE)</f>
        <v>0</v>
      </c>
      <c r="B8" s="262" t="s">
        <v>372</v>
      </c>
      <c r="C8" s="96">
        <v>0.11</v>
      </c>
      <c r="D8" s="6">
        <v>0.61</v>
      </c>
      <c r="E8" s="7">
        <f t="shared" si="0"/>
        <v>6.7099999999999993E-2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0.11</v>
      </c>
      <c r="I8" s="10">
        <v>0.61</v>
      </c>
      <c r="J8" s="10">
        <f t="shared" si="2"/>
        <v>6.7099999999999993E-2</v>
      </c>
      <c r="K8" s="10">
        <f t="shared" ref="K8:K26" si="9">A8*J8</f>
        <v>0</v>
      </c>
      <c r="L8" s="11">
        <f t="shared" si="3"/>
        <v>0</v>
      </c>
      <c r="M8" s="12">
        <f t="shared" si="4"/>
        <v>0.11</v>
      </c>
      <c r="N8" s="13">
        <v>0.55000000000000004</v>
      </c>
      <c r="O8" s="13">
        <f t="shared" si="5"/>
        <v>6.0500000000000005E-2</v>
      </c>
      <c r="P8" s="13">
        <f t="shared" ref="P8:P26" si="10">A8*O8</f>
        <v>0</v>
      </c>
      <c r="Q8" s="14">
        <f t="shared" si="6"/>
        <v>0</v>
      </c>
      <c r="T8" s="120"/>
      <c r="U8" s="120"/>
      <c r="V8" s="120"/>
      <c r="W8" s="120"/>
      <c r="X8" s="120"/>
      <c r="Y8" s="120"/>
      <c r="Z8" s="120"/>
    </row>
    <row r="9" spans="1:29" ht="15" customHeight="1" x14ac:dyDescent="0.3">
      <c r="A9" s="250">
        <f>VLOOKUP($B9,Reporting!$U:$AC,MATCH($A$5,Reporting!$V$4:$AC$4,0)+1,FALSE)</f>
        <v>0</v>
      </c>
      <c r="B9" s="19" t="s">
        <v>389</v>
      </c>
      <c r="C9" s="96">
        <v>0.15</v>
      </c>
      <c r="D9" s="6">
        <v>0.61</v>
      </c>
      <c r="E9" s="7">
        <f t="shared" si="0"/>
        <v>9.1499999999999998E-2</v>
      </c>
      <c r="F9" s="7">
        <f t="shared" si="7"/>
        <v>0</v>
      </c>
      <c r="G9" s="8">
        <f t="shared" si="1"/>
        <v>0</v>
      </c>
      <c r="H9" s="9">
        <f t="shared" si="8"/>
        <v>0.15</v>
      </c>
      <c r="I9" s="10">
        <v>0.61</v>
      </c>
      <c r="J9" s="10">
        <f t="shared" si="2"/>
        <v>9.1499999999999998E-2</v>
      </c>
      <c r="K9" s="10">
        <f t="shared" si="9"/>
        <v>0</v>
      </c>
      <c r="L9" s="11">
        <f t="shared" si="3"/>
        <v>0</v>
      </c>
      <c r="M9" s="12">
        <f t="shared" si="4"/>
        <v>0.15</v>
      </c>
      <c r="N9" s="13">
        <v>0.55000000000000004</v>
      </c>
      <c r="O9" s="13">
        <f t="shared" si="5"/>
        <v>8.2500000000000004E-2</v>
      </c>
      <c r="P9" s="13">
        <f t="shared" si="10"/>
        <v>0</v>
      </c>
      <c r="Q9" s="14">
        <f t="shared" si="6"/>
        <v>0</v>
      </c>
      <c r="T9" s="120"/>
      <c r="U9" s="120"/>
      <c r="V9" s="120"/>
      <c r="W9" s="120"/>
      <c r="X9" s="120"/>
      <c r="Y9" s="120"/>
      <c r="Z9" s="120"/>
    </row>
    <row r="10" spans="1:29" ht="15" customHeight="1" x14ac:dyDescent="0.3">
      <c r="A10" s="250">
        <f>VLOOKUP($B10,Reporting!$U:$AC,MATCH($A$5,Reporting!$V$4:$AC$4,0)+1,FALSE)</f>
        <v>0</v>
      </c>
      <c r="B10" s="262" t="s">
        <v>373</v>
      </c>
      <c r="C10" s="96">
        <v>0.19</v>
      </c>
      <c r="D10" s="6">
        <v>0.61</v>
      </c>
      <c r="E10" s="7">
        <f t="shared" si="0"/>
        <v>0.1159</v>
      </c>
      <c r="F10" s="7">
        <f t="shared" si="7"/>
        <v>0</v>
      </c>
      <c r="G10" s="8">
        <f t="shared" si="1"/>
        <v>0</v>
      </c>
      <c r="H10" s="9">
        <f t="shared" si="8"/>
        <v>0.19</v>
      </c>
      <c r="I10" s="10">
        <v>0.61</v>
      </c>
      <c r="J10" s="10">
        <f t="shared" si="2"/>
        <v>0.1159</v>
      </c>
      <c r="K10" s="10">
        <f t="shared" si="9"/>
        <v>0</v>
      </c>
      <c r="L10" s="11">
        <f t="shared" si="3"/>
        <v>0</v>
      </c>
      <c r="M10" s="12">
        <f t="shared" si="4"/>
        <v>0.19</v>
      </c>
      <c r="N10" s="13">
        <v>0.55000000000000004</v>
      </c>
      <c r="O10" s="13">
        <f t="shared" si="5"/>
        <v>0.10450000000000001</v>
      </c>
      <c r="P10" s="13">
        <f t="shared" si="10"/>
        <v>0</v>
      </c>
      <c r="Q10" s="14">
        <f t="shared" si="6"/>
        <v>0</v>
      </c>
      <c r="T10" s="120"/>
      <c r="U10" s="120"/>
      <c r="V10" s="120"/>
      <c r="W10" s="120"/>
      <c r="X10" s="120"/>
      <c r="Y10" s="120"/>
      <c r="Z10" s="120"/>
    </row>
    <row r="11" spans="1:29" ht="15" customHeight="1" x14ac:dyDescent="0.3">
      <c r="A11" s="250">
        <f>VLOOKUP($B11,Reporting!$U:$AC,MATCH($A$5,Reporting!$V$4:$AC$4,0)+1,FALSE)</f>
        <v>0</v>
      </c>
      <c r="B11" s="262" t="s">
        <v>374</v>
      </c>
      <c r="C11" s="96">
        <v>0.23</v>
      </c>
      <c r="D11" s="6">
        <v>0.61</v>
      </c>
      <c r="E11" s="7">
        <f t="shared" si="0"/>
        <v>0.14030000000000001</v>
      </c>
      <c r="F11" s="7">
        <f t="shared" si="7"/>
        <v>0</v>
      </c>
      <c r="G11" s="8">
        <f t="shared" si="1"/>
        <v>0</v>
      </c>
      <c r="H11" s="9">
        <f t="shared" si="8"/>
        <v>0.23</v>
      </c>
      <c r="I11" s="10">
        <v>0.61</v>
      </c>
      <c r="J11" s="10">
        <f t="shared" si="2"/>
        <v>0.14030000000000001</v>
      </c>
      <c r="K11" s="10">
        <f t="shared" si="9"/>
        <v>0</v>
      </c>
      <c r="L11" s="11">
        <f t="shared" si="3"/>
        <v>0</v>
      </c>
      <c r="M11" s="12">
        <f t="shared" si="4"/>
        <v>0.23</v>
      </c>
      <c r="N11" s="13">
        <v>0.55000000000000004</v>
      </c>
      <c r="O11" s="13">
        <f t="shared" si="5"/>
        <v>0.12650000000000003</v>
      </c>
      <c r="P11" s="13">
        <f t="shared" si="10"/>
        <v>0</v>
      </c>
      <c r="Q11" s="14">
        <f t="shared" si="6"/>
        <v>0</v>
      </c>
      <c r="T11" s="120"/>
      <c r="U11" s="120"/>
      <c r="V11" s="120"/>
      <c r="W11" s="120"/>
      <c r="X11" s="120"/>
      <c r="Y11" s="120"/>
      <c r="Z11" s="120"/>
    </row>
    <row r="12" spans="1:29" ht="15.75" customHeight="1" x14ac:dyDescent="0.3">
      <c r="A12" s="250">
        <f>VLOOKUP($B12,Reporting!$U:$AC,MATCH($A$5,Reporting!$V$4:$AC$4,0)+1,FALSE)</f>
        <v>0</v>
      </c>
      <c r="B12" s="119" t="s">
        <v>390</v>
      </c>
      <c r="C12" s="97">
        <v>0.3</v>
      </c>
      <c r="D12" s="6">
        <v>0.61</v>
      </c>
      <c r="E12" s="7">
        <f t="shared" si="0"/>
        <v>0.183</v>
      </c>
      <c r="F12" s="7">
        <f t="shared" si="7"/>
        <v>0</v>
      </c>
      <c r="G12" s="8">
        <f t="shared" si="1"/>
        <v>0</v>
      </c>
      <c r="H12" s="9">
        <f t="shared" si="8"/>
        <v>0.3</v>
      </c>
      <c r="I12" s="10">
        <v>0.61</v>
      </c>
      <c r="J12" s="10">
        <f t="shared" si="2"/>
        <v>0.183</v>
      </c>
      <c r="K12" s="10">
        <f t="shared" si="9"/>
        <v>0</v>
      </c>
      <c r="L12" s="11">
        <f t="shared" si="3"/>
        <v>0</v>
      </c>
      <c r="M12" s="12">
        <f t="shared" si="4"/>
        <v>0.3</v>
      </c>
      <c r="N12" s="13">
        <v>0.55000000000000004</v>
      </c>
      <c r="O12" s="13">
        <f t="shared" si="5"/>
        <v>0.16500000000000001</v>
      </c>
      <c r="P12" s="13">
        <f t="shared" si="10"/>
        <v>0</v>
      </c>
      <c r="Q12" s="14">
        <f t="shared" si="6"/>
        <v>0</v>
      </c>
      <c r="T12" s="120"/>
      <c r="U12" s="120"/>
      <c r="V12" s="120"/>
      <c r="W12" s="120"/>
      <c r="X12" s="120"/>
      <c r="Y12" s="120"/>
      <c r="Z12" s="120"/>
    </row>
    <row r="13" spans="1:29" x14ac:dyDescent="0.3">
      <c r="A13" s="250">
        <f>VLOOKUP($B13,Reporting!$U:$AC,MATCH($A$5,Reporting!$V$4:$AC$4,0)+1,FALSE)</f>
        <v>0</v>
      </c>
      <c r="B13" s="266" t="s">
        <v>376</v>
      </c>
      <c r="C13" s="97">
        <v>0.26</v>
      </c>
      <c r="D13" s="6">
        <v>0.61</v>
      </c>
      <c r="E13" s="7">
        <f t="shared" ref="E13:E26" si="11">C13*D13</f>
        <v>0.15859999999999999</v>
      </c>
      <c r="F13" s="7">
        <f t="shared" si="7"/>
        <v>0</v>
      </c>
      <c r="G13" s="8">
        <f t="shared" ref="G13:G26" si="12">F13/8</f>
        <v>0</v>
      </c>
      <c r="H13" s="9">
        <f t="shared" si="8"/>
        <v>0.26</v>
      </c>
      <c r="I13" s="10">
        <v>0.61</v>
      </c>
      <c r="J13" s="10">
        <f t="shared" ref="J13:J26" si="13">H13*I13</f>
        <v>0.15859999999999999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0.26</v>
      </c>
      <c r="N13" s="13">
        <v>0.55000000000000004</v>
      </c>
      <c r="O13" s="13">
        <f t="shared" ref="O13:O26" si="16">M13*N13</f>
        <v>0.14300000000000002</v>
      </c>
      <c r="P13" s="13">
        <f t="shared" si="10"/>
        <v>0</v>
      </c>
      <c r="Q13" s="14">
        <f t="shared" ref="Q13:Q26" si="17">P13/8</f>
        <v>0</v>
      </c>
      <c r="T13" s="120"/>
      <c r="U13" s="120"/>
      <c r="V13" s="120"/>
      <c r="W13" s="120"/>
      <c r="X13" s="120"/>
      <c r="Y13" s="120"/>
      <c r="Z13" s="120"/>
    </row>
    <row r="14" spans="1:29" x14ac:dyDescent="0.3">
      <c r="A14" s="250">
        <f>VLOOKUP($B14,Reporting!$U:$AC,MATCH($A$5,Reporting!$V$4:$AC$4,0)+1,FALSE)</f>
        <v>0</v>
      </c>
      <c r="B14" s="119" t="s">
        <v>391</v>
      </c>
      <c r="C14" s="97">
        <v>0.28000000000000003</v>
      </c>
      <c r="D14" s="6">
        <v>0.61</v>
      </c>
      <c r="E14" s="7">
        <f t="shared" si="11"/>
        <v>0.17080000000000001</v>
      </c>
      <c r="F14" s="7">
        <f t="shared" si="7"/>
        <v>0</v>
      </c>
      <c r="G14" s="8">
        <f t="shared" si="12"/>
        <v>0</v>
      </c>
      <c r="H14" s="9">
        <f t="shared" si="8"/>
        <v>0.28000000000000003</v>
      </c>
      <c r="I14" s="10">
        <v>0.61</v>
      </c>
      <c r="J14" s="10">
        <f t="shared" si="13"/>
        <v>0.17080000000000001</v>
      </c>
      <c r="K14" s="10">
        <f t="shared" si="9"/>
        <v>0</v>
      </c>
      <c r="L14" s="11">
        <f t="shared" si="14"/>
        <v>0</v>
      </c>
      <c r="M14" s="12">
        <f t="shared" si="15"/>
        <v>0.28000000000000003</v>
      </c>
      <c r="N14" s="13">
        <v>0.55000000000000004</v>
      </c>
      <c r="O14" s="13">
        <f t="shared" si="16"/>
        <v>0.15400000000000003</v>
      </c>
      <c r="P14" s="13">
        <f t="shared" si="10"/>
        <v>0</v>
      </c>
      <c r="Q14" s="14">
        <f t="shared" si="17"/>
        <v>0</v>
      </c>
      <c r="T14" s="120"/>
      <c r="U14" s="120"/>
      <c r="V14" s="120"/>
      <c r="W14" s="120"/>
      <c r="X14" s="120"/>
      <c r="Y14" s="120"/>
      <c r="Z14" s="120"/>
    </row>
    <row r="15" spans="1:29" x14ac:dyDescent="0.3">
      <c r="A15" s="250">
        <f>VLOOKUP($B15,Reporting!$U:$AC,MATCH($A$5,Reporting!$V$4:$AC$4,0)+1,FALSE)</f>
        <v>0</v>
      </c>
      <c r="B15" s="119" t="s">
        <v>392</v>
      </c>
      <c r="C15" s="97">
        <v>0.34</v>
      </c>
      <c r="D15" s="6">
        <v>0.61</v>
      </c>
      <c r="E15" s="7">
        <f t="shared" si="11"/>
        <v>0.2074</v>
      </c>
      <c r="F15" s="7">
        <f t="shared" si="7"/>
        <v>0</v>
      </c>
      <c r="G15" s="8">
        <f t="shared" si="12"/>
        <v>0</v>
      </c>
      <c r="H15" s="9">
        <f t="shared" si="8"/>
        <v>0.34</v>
      </c>
      <c r="I15" s="10">
        <v>0.61</v>
      </c>
      <c r="J15" s="10">
        <f t="shared" si="13"/>
        <v>0.2074</v>
      </c>
      <c r="K15" s="10">
        <f t="shared" si="9"/>
        <v>0</v>
      </c>
      <c r="L15" s="11">
        <f t="shared" si="14"/>
        <v>0</v>
      </c>
      <c r="M15" s="12">
        <f t="shared" si="15"/>
        <v>0.34</v>
      </c>
      <c r="N15" s="13">
        <v>0.55000000000000004</v>
      </c>
      <c r="O15" s="13">
        <f t="shared" si="16"/>
        <v>0.18700000000000003</v>
      </c>
      <c r="P15" s="13">
        <f t="shared" si="10"/>
        <v>0</v>
      </c>
      <c r="Q15" s="14">
        <f t="shared" si="17"/>
        <v>0</v>
      </c>
      <c r="T15" s="120"/>
      <c r="U15" s="120"/>
      <c r="V15" s="120"/>
      <c r="W15" s="120"/>
      <c r="X15" s="120"/>
      <c r="Y15" s="120"/>
      <c r="Z15" s="120"/>
    </row>
    <row r="16" spans="1:29" x14ac:dyDescent="0.3">
      <c r="A16" s="250">
        <f>VLOOKUP($B16,Reporting!$U:$AC,MATCH($A$5,Reporting!$V$4:$AC$4,0)+1,FALSE)</f>
        <v>0</v>
      </c>
      <c r="B16" s="119" t="s">
        <v>393</v>
      </c>
      <c r="C16" s="97">
        <v>0.39</v>
      </c>
      <c r="D16" s="6">
        <v>0.61</v>
      </c>
      <c r="E16" s="7">
        <f t="shared" si="11"/>
        <v>0.2379</v>
      </c>
      <c r="F16" s="7">
        <f t="shared" si="7"/>
        <v>0</v>
      </c>
      <c r="G16" s="8">
        <f t="shared" si="12"/>
        <v>0</v>
      </c>
      <c r="H16" s="9">
        <f t="shared" si="8"/>
        <v>0.39</v>
      </c>
      <c r="I16" s="10">
        <v>0.61</v>
      </c>
      <c r="J16" s="10">
        <f t="shared" si="13"/>
        <v>0.2379</v>
      </c>
      <c r="K16" s="10">
        <f t="shared" si="9"/>
        <v>0</v>
      </c>
      <c r="L16" s="11">
        <f t="shared" si="14"/>
        <v>0</v>
      </c>
      <c r="M16" s="12">
        <f t="shared" si="15"/>
        <v>0.39</v>
      </c>
      <c r="N16" s="13">
        <v>0.55000000000000004</v>
      </c>
      <c r="O16" s="13">
        <f t="shared" si="16"/>
        <v>0.21450000000000002</v>
      </c>
      <c r="P16" s="13">
        <f t="shared" si="10"/>
        <v>0</v>
      </c>
      <c r="Q16" s="14">
        <f t="shared" si="17"/>
        <v>0</v>
      </c>
      <c r="T16" s="120"/>
      <c r="U16" s="120"/>
      <c r="V16" s="120"/>
      <c r="W16" s="120"/>
      <c r="X16" s="120"/>
      <c r="Y16" s="120"/>
      <c r="Z16" s="120"/>
    </row>
    <row r="17" spans="1:26" x14ac:dyDescent="0.3">
      <c r="A17" s="250">
        <f>VLOOKUP($B17,Reporting!$U:$AC,MATCH($A$5,Reporting!$V$4:$AC$4,0)+1,FALSE)</f>
        <v>0</v>
      </c>
      <c r="B17" s="119" t="s">
        <v>394</v>
      </c>
      <c r="C17" s="97">
        <v>0.4</v>
      </c>
      <c r="D17" s="6">
        <v>0.61</v>
      </c>
      <c r="E17" s="7">
        <f t="shared" si="11"/>
        <v>0.24399999999999999</v>
      </c>
      <c r="F17" s="7">
        <f t="shared" si="7"/>
        <v>0</v>
      </c>
      <c r="G17" s="8">
        <f t="shared" si="12"/>
        <v>0</v>
      </c>
      <c r="H17" s="9">
        <f t="shared" si="8"/>
        <v>0.4</v>
      </c>
      <c r="I17" s="10">
        <v>0.61</v>
      </c>
      <c r="J17" s="10">
        <f t="shared" si="13"/>
        <v>0.24399999999999999</v>
      </c>
      <c r="K17" s="10">
        <f t="shared" si="9"/>
        <v>0</v>
      </c>
      <c r="L17" s="11">
        <f t="shared" si="14"/>
        <v>0</v>
      </c>
      <c r="M17" s="12">
        <f t="shared" si="15"/>
        <v>0.4</v>
      </c>
      <c r="N17" s="13">
        <v>0.55000000000000004</v>
      </c>
      <c r="O17" s="13">
        <f t="shared" si="16"/>
        <v>0.22000000000000003</v>
      </c>
      <c r="P17" s="13">
        <f t="shared" si="10"/>
        <v>0</v>
      </c>
      <c r="Q17" s="14">
        <f t="shared" si="17"/>
        <v>0</v>
      </c>
      <c r="T17" s="120"/>
      <c r="U17" s="120"/>
      <c r="V17" s="120"/>
      <c r="W17" s="120"/>
      <c r="X17" s="120"/>
      <c r="Y17" s="120"/>
      <c r="Z17" s="120"/>
    </row>
    <row r="18" spans="1:26" x14ac:dyDescent="0.3">
      <c r="A18" s="250">
        <f>VLOOKUP($B18,Reporting!$U:$AC,MATCH($A$5,Reporting!$V$4:$AC$4,0)+1,FALSE)</f>
        <v>0</v>
      </c>
      <c r="B18" s="119" t="s">
        <v>395</v>
      </c>
      <c r="C18" s="97">
        <v>0.47</v>
      </c>
      <c r="D18" s="6">
        <v>0.61</v>
      </c>
      <c r="E18" s="7">
        <f t="shared" si="11"/>
        <v>0.28669999999999995</v>
      </c>
      <c r="F18" s="7">
        <f t="shared" si="7"/>
        <v>0</v>
      </c>
      <c r="G18" s="8">
        <f t="shared" si="12"/>
        <v>0</v>
      </c>
      <c r="H18" s="9">
        <f t="shared" si="8"/>
        <v>0.47</v>
      </c>
      <c r="I18" s="10">
        <v>0.61</v>
      </c>
      <c r="J18" s="10">
        <f t="shared" si="13"/>
        <v>0.28669999999999995</v>
      </c>
      <c r="K18" s="10">
        <f t="shared" si="9"/>
        <v>0</v>
      </c>
      <c r="L18" s="11">
        <f t="shared" si="14"/>
        <v>0</v>
      </c>
      <c r="M18" s="12">
        <f t="shared" si="15"/>
        <v>0.47</v>
      </c>
      <c r="N18" s="13">
        <v>0.55000000000000004</v>
      </c>
      <c r="O18" s="13">
        <f t="shared" si="16"/>
        <v>0.25850000000000001</v>
      </c>
      <c r="P18" s="13">
        <f t="shared" si="10"/>
        <v>0</v>
      </c>
      <c r="Q18" s="14">
        <f t="shared" si="17"/>
        <v>0</v>
      </c>
      <c r="T18" s="120"/>
      <c r="U18" s="120"/>
      <c r="V18" s="120"/>
      <c r="W18" s="120"/>
      <c r="X18" s="120"/>
      <c r="Y18" s="120"/>
      <c r="Z18" s="120"/>
    </row>
    <row r="19" spans="1:26" x14ac:dyDescent="0.3">
      <c r="A19" s="250">
        <f>VLOOKUP($B19,Reporting!$U:$AC,MATCH($A$5,Reporting!$V$4:$AC$4,0)+1,FALSE)</f>
        <v>0</v>
      </c>
      <c r="B19" s="119" t="s">
        <v>396</v>
      </c>
      <c r="C19" s="97">
        <v>0.54</v>
      </c>
      <c r="D19" s="6">
        <v>0.61</v>
      </c>
      <c r="E19" s="7">
        <f t="shared" si="11"/>
        <v>0.32940000000000003</v>
      </c>
      <c r="F19" s="7">
        <f t="shared" si="7"/>
        <v>0</v>
      </c>
      <c r="G19" s="8">
        <f t="shared" si="12"/>
        <v>0</v>
      </c>
      <c r="H19" s="9">
        <f t="shared" si="8"/>
        <v>0.54</v>
      </c>
      <c r="I19" s="10">
        <v>0.61</v>
      </c>
      <c r="J19" s="10">
        <f t="shared" si="13"/>
        <v>0.32940000000000003</v>
      </c>
      <c r="K19" s="10">
        <f t="shared" si="9"/>
        <v>0</v>
      </c>
      <c r="L19" s="11">
        <f t="shared" si="14"/>
        <v>0</v>
      </c>
      <c r="M19" s="12">
        <f t="shared" si="15"/>
        <v>0.54</v>
      </c>
      <c r="N19" s="13">
        <v>0.55000000000000004</v>
      </c>
      <c r="O19" s="13">
        <f t="shared" si="16"/>
        <v>0.29700000000000004</v>
      </c>
      <c r="P19" s="13">
        <f t="shared" si="10"/>
        <v>0</v>
      </c>
      <c r="Q19" s="14">
        <f t="shared" si="17"/>
        <v>0</v>
      </c>
      <c r="T19" s="120"/>
      <c r="U19" s="120"/>
      <c r="V19" s="120"/>
      <c r="W19" s="120"/>
      <c r="X19" s="120"/>
      <c r="Y19" s="120"/>
      <c r="Z19" s="120"/>
    </row>
    <row r="20" spans="1:26" x14ac:dyDescent="0.3">
      <c r="A20" s="250">
        <f>VLOOKUP($B20,Reporting!$U:$AC,MATCH($A$5,Reporting!$V$4:$AC$4,0)+1,FALSE)</f>
        <v>0</v>
      </c>
      <c r="B20" s="119" t="s">
        <v>397</v>
      </c>
      <c r="C20" s="97">
        <v>0.54</v>
      </c>
      <c r="D20" s="6">
        <v>0.61</v>
      </c>
      <c r="E20" s="7">
        <f t="shared" si="11"/>
        <v>0.32940000000000003</v>
      </c>
      <c r="F20" s="7">
        <f t="shared" si="7"/>
        <v>0</v>
      </c>
      <c r="G20" s="8">
        <f t="shared" si="12"/>
        <v>0</v>
      </c>
      <c r="H20" s="9">
        <f t="shared" si="8"/>
        <v>0.54</v>
      </c>
      <c r="I20" s="10">
        <v>0.61</v>
      </c>
      <c r="J20" s="10">
        <f t="shared" si="13"/>
        <v>0.32940000000000003</v>
      </c>
      <c r="K20" s="10">
        <f t="shared" si="9"/>
        <v>0</v>
      </c>
      <c r="L20" s="11">
        <f t="shared" si="14"/>
        <v>0</v>
      </c>
      <c r="M20" s="12">
        <f t="shared" si="15"/>
        <v>0.54</v>
      </c>
      <c r="N20" s="13">
        <v>0.55000000000000004</v>
      </c>
      <c r="O20" s="13">
        <f t="shared" si="16"/>
        <v>0.29700000000000004</v>
      </c>
      <c r="P20" s="13">
        <f t="shared" si="10"/>
        <v>0</v>
      </c>
      <c r="Q20" s="14">
        <f t="shared" si="17"/>
        <v>0</v>
      </c>
      <c r="T20" s="120"/>
      <c r="U20" s="120"/>
      <c r="V20" s="120"/>
      <c r="W20" s="120"/>
      <c r="X20" s="120"/>
      <c r="Y20" s="120"/>
      <c r="Z20" s="120"/>
    </row>
    <row r="21" spans="1:26" x14ac:dyDescent="0.3">
      <c r="A21" s="250">
        <f>VLOOKUP($B21,Reporting!$U:$AC,MATCH($A$5,Reporting!$V$4:$AC$4,0)+1,FALSE)</f>
        <v>0</v>
      </c>
      <c r="B21" s="119" t="s">
        <v>398</v>
      </c>
      <c r="C21" s="97">
        <v>0.63</v>
      </c>
      <c r="D21" s="6">
        <v>0.61</v>
      </c>
      <c r="E21" s="7">
        <f t="shared" si="11"/>
        <v>0.38429999999999997</v>
      </c>
      <c r="F21" s="7">
        <f t="shared" si="7"/>
        <v>0</v>
      </c>
      <c r="G21" s="8">
        <f t="shared" si="12"/>
        <v>0</v>
      </c>
      <c r="H21" s="9">
        <f t="shared" si="8"/>
        <v>0.63</v>
      </c>
      <c r="I21" s="10">
        <v>0.61</v>
      </c>
      <c r="J21" s="10">
        <f t="shared" si="13"/>
        <v>0.38429999999999997</v>
      </c>
      <c r="K21" s="10">
        <f t="shared" si="9"/>
        <v>0</v>
      </c>
      <c r="L21" s="11">
        <f t="shared" si="14"/>
        <v>0</v>
      </c>
      <c r="M21" s="12">
        <f t="shared" si="15"/>
        <v>0.63</v>
      </c>
      <c r="N21" s="13">
        <v>0.55000000000000004</v>
      </c>
      <c r="O21" s="13">
        <f t="shared" si="16"/>
        <v>0.34650000000000003</v>
      </c>
      <c r="P21" s="13">
        <f t="shared" si="10"/>
        <v>0</v>
      </c>
      <c r="Q21" s="14">
        <f t="shared" si="17"/>
        <v>0</v>
      </c>
      <c r="T21" s="120"/>
      <c r="U21" s="120"/>
      <c r="V21" s="120"/>
      <c r="W21" s="120"/>
      <c r="X21" s="120"/>
      <c r="Y21" s="120"/>
      <c r="Z21" s="120"/>
    </row>
    <row r="22" spans="1:26" x14ac:dyDescent="0.3">
      <c r="A22" s="250">
        <f>VLOOKUP($B22,Reporting!$U:$AC,MATCH($A$5,Reporting!$V$4:$AC$4,0)+1,FALSE)</f>
        <v>0</v>
      </c>
      <c r="B22" s="119" t="s">
        <v>399</v>
      </c>
      <c r="C22" s="97">
        <v>0.72</v>
      </c>
      <c r="D22" s="6">
        <v>0.61</v>
      </c>
      <c r="E22" s="7">
        <f t="shared" si="11"/>
        <v>0.43919999999999998</v>
      </c>
      <c r="F22" s="7">
        <f t="shared" si="7"/>
        <v>0</v>
      </c>
      <c r="G22" s="8">
        <f t="shared" si="12"/>
        <v>0</v>
      </c>
      <c r="H22" s="9">
        <f t="shared" si="8"/>
        <v>0.72</v>
      </c>
      <c r="I22" s="10">
        <v>0.61</v>
      </c>
      <c r="J22" s="10">
        <f t="shared" si="13"/>
        <v>0.43919999999999998</v>
      </c>
      <c r="K22" s="10">
        <f t="shared" si="9"/>
        <v>0</v>
      </c>
      <c r="L22" s="11">
        <f t="shared" si="14"/>
        <v>0</v>
      </c>
      <c r="M22" s="12">
        <f t="shared" si="15"/>
        <v>0.72</v>
      </c>
      <c r="N22" s="13">
        <v>0.55000000000000004</v>
      </c>
      <c r="O22" s="13">
        <f t="shared" si="16"/>
        <v>0.39600000000000002</v>
      </c>
      <c r="P22" s="13">
        <f t="shared" si="10"/>
        <v>0</v>
      </c>
      <c r="Q22" s="14">
        <f t="shared" si="17"/>
        <v>0</v>
      </c>
    </row>
    <row r="23" spans="1:26" x14ac:dyDescent="0.3">
      <c r="A23" s="250">
        <f>VLOOKUP($B23,Reporting!$U:$AC,MATCH($A$5,Reporting!$V$4:$AC$4,0)+1,FALSE)</f>
        <v>0</v>
      </c>
      <c r="B23" s="119" t="s">
        <v>400</v>
      </c>
      <c r="C23" s="97">
        <v>0.81</v>
      </c>
      <c r="D23" s="6">
        <v>0.61</v>
      </c>
      <c r="E23" s="7">
        <f t="shared" si="11"/>
        <v>0.49410000000000004</v>
      </c>
      <c r="F23" s="7">
        <f t="shared" si="7"/>
        <v>0</v>
      </c>
      <c r="G23" s="8">
        <f t="shared" si="12"/>
        <v>0</v>
      </c>
      <c r="H23" s="9">
        <f t="shared" si="8"/>
        <v>0.81</v>
      </c>
      <c r="I23" s="10">
        <v>0.61</v>
      </c>
      <c r="J23" s="10">
        <f t="shared" si="13"/>
        <v>0.49410000000000004</v>
      </c>
      <c r="K23" s="10">
        <f t="shared" si="9"/>
        <v>0</v>
      </c>
      <c r="L23" s="11">
        <f t="shared" si="14"/>
        <v>0</v>
      </c>
      <c r="M23" s="12">
        <f t="shared" si="15"/>
        <v>0.81</v>
      </c>
      <c r="N23" s="13">
        <v>0.55000000000000004</v>
      </c>
      <c r="O23" s="13">
        <f t="shared" si="16"/>
        <v>0.44550000000000006</v>
      </c>
      <c r="P23" s="13">
        <f t="shared" si="10"/>
        <v>0</v>
      </c>
      <c r="Q23" s="14">
        <f t="shared" si="17"/>
        <v>0</v>
      </c>
    </row>
    <row r="24" spans="1:26" x14ac:dyDescent="0.3">
      <c r="A24" s="250">
        <f>VLOOKUP($B24,Reporting!$U:$AC,MATCH($A$5,Reporting!$V$4:$AC$4,0)+1,FALSE)</f>
        <v>0</v>
      </c>
      <c r="B24" s="119" t="s">
        <v>401</v>
      </c>
      <c r="C24" s="97">
        <v>0.9</v>
      </c>
      <c r="D24" s="6">
        <v>0.61</v>
      </c>
      <c r="E24" s="7">
        <f t="shared" si="11"/>
        <v>0.54900000000000004</v>
      </c>
      <c r="F24" s="7">
        <f t="shared" si="7"/>
        <v>0</v>
      </c>
      <c r="G24" s="8">
        <f t="shared" si="12"/>
        <v>0</v>
      </c>
      <c r="H24" s="9">
        <f t="shared" si="8"/>
        <v>0.9</v>
      </c>
      <c r="I24" s="10">
        <v>0.61</v>
      </c>
      <c r="J24" s="10">
        <f t="shared" si="13"/>
        <v>0.54900000000000004</v>
      </c>
      <c r="K24" s="10">
        <f t="shared" si="9"/>
        <v>0</v>
      </c>
      <c r="L24" s="11">
        <f t="shared" si="14"/>
        <v>0</v>
      </c>
      <c r="M24" s="12">
        <f t="shared" si="15"/>
        <v>0.9</v>
      </c>
      <c r="N24" s="13">
        <v>0.55000000000000004</v>
      </c>
      <c r="O24" s="13">
        <f t="shared" si="16"/>
        <v>0.49500000000000005</v>
      </c>
      <c r="P24" s="13">
        <f t="shared" si="10"/>
        <v>0</v>
      </c>
      <c r="Q24" s="14">
        <f t="shared" si="17"/>
        <v>0</v>
      </c>
    </row>
    <row r="25" spans="1:26" x14ac:dyDescent="0.3">
      <c r="A25" s="250">
        <f>VLOOKUP($B25,Reporting!$U:$AC,MATCH($A$5,Reporting!$V$4:$AC$4,0)+1,FALSE)</f>
        <v>0</v>
      </c>
      <c r="B25" s="119" t="s">
        <v>402</v>
      </c>
      <c r="C25" s="97">
        <v>1.08</v>
      </c>
      <c r="D25" s="6">
        <v>0.61</v>
      </c>
      <c r="E25" s="7">
        <f t="shared" si="11"/>
        <v>0.65880000000000005</v>
      </c>
      <c r="F25" s="7">
        <f t="shared" si="7"/>
        <v>0</v>
      </c>
      <c r="G25" s="8">
        <f t="shared" si="12"/>
        <v>0</v>
      </c>
      <c r="H25" s="9">
        <f t="shared" si="8"/>
        <v>1.08</v>
      </c>
      <c r="I25" s="10">
        <v>0.61</v>
      </c>
      <c r="J25" s="10">
        <f t="shared" si="13"/>
        <v>0.65880000000000005</v>
      </c>
      <c r="K25" s="10">
        <f t="shared" si="9"/>
        <v>0</v>
      </c>
      <c r="L25" s="11">
        <f t="shared" si="14"/>
        <v>0</v>
      </c>
      <c r="M25" s="12">
        <f t="shared" si="15"/>
        <v>1.08</v>
      </c>
      <c r="N25" s="13">
        <v>0.55000000000000004</v>
      </c>
      <c r="O25" s="13">
        <f t="shared" si="16"/>
        <v>0.59400000000000008</v>
      </c>
      <c r="P25" s="13">
        <f t="shared" si="10"/>
        <v>0</v>
      </c>
      <c r="Q25" s="14">
        <f t="shared" si="17"/>
        <v>0</v>
      </c>
    </row>
    <row r="26" spans="1:26" x14ac:dyDescent="0.3">
      <c r="A26" s="250">
        <f>VLOOKUP($B26,Reporting!$U:$AC,MATCH($A$5,Reporting!$V$4:$AC$4,0)+1,FALSE)</f>
        <v>0</v>
      </c>
      <c r="B26" s="119" t="s">
        <v>403</v>
      </c>
      <c r="C26" s="97">
        <v>1.35</v>
      </c>
      <c r="D26" s="6">
        <v>0.61</v>
      </c>
      <c r="E26" s="7">
        <f t="shared" si="11"/>
        <v>0.82350000000000001</v>
      </c>
      <c r="F26" s="7">
        <f t="shared" si="7"/>
        <v>0</v>
      </c>
      <c r="G26" s="8">
        <f t="shared" si="12"/>
        <v>0</v>
      </c>
      <c r="H26" s="9">
        <f t="shared" si="8"/>
        <v>1.35</v>
      </c>
      <c r="I26" s="10">
        <v>0.61</v>
      </c>
      <c r="J26" s="10">
        <f t="shared" si="13"/>
        <v>0.82350000000000001</v>
      </c>
      <c r="K26" s="10">
        <f t="shared" si="9"/>
        <v>0</v>
      </c>
      <c r="L26" s="11">
        <f t="shared" si="14"/>
        <v>0</v>
      </c>
      <c r="M26" s="12">
        <f t="shared" si="15"/>
        <v>1.35</v>
      </c>
      <c r="N26" s="13">
        <v>0.55000000000000004</v>
      </c>
      <c r="O26" s="13">
        <f t="shared" si="16"/>
        <v>0.74250000000000016</v>
      </c>
      <c r="P26" s="13">
        <f t="shared" si="10"/>
        <v>0</v>
      </c>
      <c r="Q26" s="14">
        <f t="shared" si="17"/>
        <v>0</v>
      </c>
    </row>
    <row r="27" spans="1:26" ht="15" thickBot="1" x14ac:dyDescent="0.35">
      <c r="A27" s="3">
        <f>ROUNDUP(SUM(A7:A26)/2,0)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6" ht="15" thickBot="1" x14ac:dyDescent="0.35"/>
    <row r="29" spans="1:26" ht="15" customHeight="1" x14ac:dyDescent="0.3">
      <c r="A29" s="706" t="s">
        <v>157</v>
      </c>
      <c r="B29" s="706"/>
      <c r="C29" s="706"/>
      <c r="D29" s="706"/>
      <c r="E29" s="150"/>
      <c r="F29" s="122"/>
      <c r="G29" s="122"/>
      <c r="H29" s="698" t="s">
        <v>119</v>
      </c>
      <c r="I29" s="698"/>
      <c r="J29" s="698"/>
      <c r="K29" s="698"/>
      <c r="L29" s="2"/>
      <c r="M29" s="2"/>
      <c r="N29" s="2"/>
      <c r="O29" s="2"/>
      <c r="P29" s="2"/>
      <c r="Q29" s="5"/>
    </row>
    <row r="30" spans="1:26" ht="15" customHeight="1" x14ac:dyDescent="0.3">
      <c r="A30" s="707"/>
      <c r="B30" s="707"/>
      <c r="C30" s="707"/>
      <c r="D30" s="707"/>
      <c r="E30" s="151"/>
      <c r="F30" s="123"/>
      <c r="G30" s="123"/>
      <c r="H30" s="699"/>
      <c r="I30" s="699"/>
      <c r="J30" s="699"/>
      <c r="K30" s="699"/>
      <c r="L30" s="29"/>
      <c r="M30" s="29"/>
      <c r="N30" s="29"/>
      <c r="O30" s="29"/>
      <c r="P30" s="29"/>
      <c r="Q30" s="30"/>
    </row>
    <row r="31" spans="1:26" ht="15" customHeight="1" x14ac:dyDescent="0.3">
      <c r="A31" s="250">
        <f>VLOOKUP($B31,Reporting!$U:$AC,MATCH($A$29,Reporting!$V$4:$AC$4,0)+1,FALSE)</f>
        <v>0</v>
      </c>
      <c r="B31" s="262" t="s">
        <v>371</v>
      </c>
      <c r="C31" s="96">
        <v>0.08</v>
      </c>
      <c r="D31" s="6">
        <v>0.61</v>
      </c>
      <c r="E31" s="7">
        <f t="shared" ref="E31:E36" si="18">C31*D31</f>
        <v>4.8800000000000003E-2</v>
      </c>
      <c r="F31" s="7">
        <f>A31*E31</f>
        <v>0</v>
      </c>
      <c r="G31" s="8">
        <f t="shared" ref="G31:G36" si="19">F31/8</f>
        <v>0</v>
      </c>
      <c r="H31" s="9">
        <f>C31</f>
        <v>0.08</v>
      </c>
      <c r="I31" s="10">
        <v>0.61</v>
      </c>
      <c r="J31" s="10">
        <f t="shared" ref="J31:J36" si="20">H31*I31</f>
        <v>4.8800000000000003E-2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0.08</v>
      </c>
      <c r="N31" s="13">
        <v>0.55000000000000004</v>
      </c>
      <c r="O31" s="13">
        <f t="shared" ref="O31:O36" si="23">M31*N31</f>
        <v>4.4000000000000004E-2</v>
      </c>
      <c r="P31" s="13">
        <f>A31*O31</f>
        <v>0</v>
      </c>
      <c r="Q31" s="14">
        <f t="shared" ref="Q31:Q36" si="24">P31/8</f>
        <v>0</v>
      </c>
    </row>
    <row r="32" spans="1:26" ht="15" customHeight="1" x14ac:dyDescent="0.3">
      <c r="A32" s="250">
        <f>VLOOKUP($B32,Reporting!$U:$AC,MATCH($A$29,Reporting!$V$4:$AC$4,0)+1,FALSE)</f>
        <v>0</v>
      </c>
      <c r="B32" s="262" t="s">
        <v>372</v>
      </c>
      <c r="C32" s="96">
        <v>0.11</v>
      </c>
      <c r="D32" s="6">
        <v>0.61</v>
      </c>
      <c r="E32" s="7">
        <f t="shared" si="18"/>
        <v>6.7099999999999993E-2</v>
      </c>
      <c r="F32" s="7">
        <f t="shared" ref="F32:F43" si="25">A32*E32</f>
        <v>0</v>
      </c>
      <c r="G32" s="8">
        <f t="shared" si="19"/>
        <v>0</v>
      </c>
      <c r="H32" s="9">
        <f t="shared" ref="H32:H43" si="26">C32</f>
        <v>0.11</v>
      </c>
      <c r="I32" s="10">
        <v>0.61</v>
      </c>
      <c r="J32" s="10">
        <f t="shared" si="20"/>
        <v>6.7099999999999993E-2</v>
      </c>
      <c r="K32" s="10">
        <f t="shared" ref="K32:K43" si="27">A32*J32</f>
        <v>0</v>
      </c>
      <c r="L32" s="11">
        <f t="shared" si="21"/>
        <v>0</v>
      </c>
      <c r="M32" s="12">
        <f t="shared" si="22"/>
        <v>0.11</v>
      </c>
      <c r="N32" s="13">
        <v>0.55000000000000004</v>
      </c>
      <c r="O32" s="13">
        <f t="shared" si="23"/>
        <v>6.0500000000000005E-2</v>
      </c>
      <c r="P32" s="13">
        <f t="shared" ref="P32:P43" si="28">A32*O32</f>
        <v>0</v>
      </c>
      <c r="Q32" s="14">
        <f t="shared" si="24"/>
        <v>0</v>
      </c>
      <c r="T32" s="120"/>
      <c r="U32" s="120"/>
      <c r="V32" s="120"/>
      <c r="W32" s="120"/>
      <c r="X32" s="120"/>
      <c r="Y32" s="120"/>
      <c r="Z32" s="120"/>
    </row>
    <row r="33" spans="1:26" ht="15" customHeight="1" x14ac:dyDescent="0.3">
      <c r="A33" s="250">
        <f>VLOOKUP($B33,Reporting!$U:$AC,MATCH($A$29,Reporting!$V$4:$AC$4,0)+1,FALSE)</f>
        <v>0</v>
      </c>
      <c r="B33" s="19" t="s">
        <v>389</v>
      </c>
      <c r="C33" s="96">
        <v>0.15</v>
      </c>
      <c r="D33" s="6">
        <v>0.61</v>
      </c>
      <c r="E33" s="7">
        <f t="shared" si="18"/>
        <v>9.1499999999999998E-2</v>
      </c>
      <c r="F33" s="7">
        <f t="shared" si="25"/>
        <v>0</v>
      </c>
      <c r="G33" s="8">
        <f t="shared" si="19"/>
        <v>0</v>
      </c>
      <c r="H33" s="9">
        <f t="shared" si="26"/>
        <v>0.15</v>
      </c>
      <c r="I33" s="10">
        <v>0.61</v>
      </c>
      <c r="J33" s="10">
        <f t="shared" si="20"/>
        <v>9.1499999999999998E-2</v>
      </c>
      <c r="K33" s="10">
        <f t="shared" si="27"/>
        <v>0</v>
      </c>
      <c r="L33" s="11">
        <f t="shared" si="21"/>
        <v>0</v>
      </c>
      <c r="M33" s="12">
        <f t="shared" si="22"/>
        <v>0.15</v>
      </c>
      <c r="N33" s="13">
        <v>0.55000000000000004</v>
      </c>
      <c r="O33" s="13">
        <f t="shared" si="23"/>
        <v>8.2500000000000004E-2</v>
      </c>
      <c r="P33" s="13">
        <f t="shared" si="28"/>
        <v>0</v>
      </c>
      <c r="Q33" s="14">
        <f t="shared" si="24"/>
        <v>0</v>
      </c>
      <c r="T33" s="120"/>
      <c r="U33" s="120"/>
      <c r="V33" s="120"/>
      <c r="W33" s="120"/>
      <c r="X33" s="120"/>
      <c r="Y33" s="120"/>
      <c r="Z33" s="120"/>
    </row>
    <row r="34" spans="1:26" ht="15" customHeight="1" x14ac:dyDescent="0.3">
      <c r="A34" s="250">
        <f>VLOOKUP($B34,Reporting!$U:$AC,MATCH($A$29,Reporting!$V$4:$AC$4,0)+1,FALSE)</f>
        <v>0</v>
      </c>
      <c r="B34" s="262" t="s">
        <v>373</v>
      </c>
      <c r="C34" s="96">
        <v>0.19</v>
      </c>
      <c r="D34" s="6">
        <v>0.61</v>
      </c>
      <c r="E34" s="7">
        <f t="shared" si="18"/>
        <v>0.1159</v>
      </c>
      <c r="F34" s="7">
        <f t="shared" si="25"/>
        <v>0</v>
      </c>
      <c r="G34" s="8">
        <f t="shared" si="19"/>
        <v>0</v>
      </c>
      <c r="H34" s="9">
        <f t="shared" si="26"/>
        <v>0.19</v>
      </c>
      <c r="I34" s="10">
        <v>0.61</v>
      </c>
      <c r="J34" s="10">
        <f t="shared" si="20"/>
        <v>0.1159</v>
      </c>
      <c r="K34" s="10">
        <f t="shared" si="27"/>
        <v>0</v>
      </c>
      <c r="L34" s="11">
        <f t="shared" si="21"/>
        <v>0</v>
      </c>
      <c r="M34" s="12">
        <f t="shared" si="22"/>
        <v>0.19</v>
      </c>
      <c r="N34" s="13">
        <v>0.55000000000000004</v>
      </c>
      <c r="O34" s="13">
        <f t="shared" si="23"/>
        <v>0.10450000000000001</v>
      </c>
      <c r="P34" s="13">
        <f t="shared" si="28"/>
        <v>0</v>
      </c>
      <c r="Q34" s="14">
        <f t="shared" si="24"/>
        <v>0</v>
      </c>
      <c r="T34" s="120"/>
      <c r="U34" s="120"/>
      <c r="V34" s="120"/>
      <c r="W34" s="120"/>
      <c r="X34" s="120"/>
      <c r="Y34" s="120"/>
      <c r="Z34" s="120"/>
    </row>
    <row r="35" spans="1:26" ht="15" customHeight="1" x14ac:dyDescent="0.3">
      <c r="A35" s="250">
        <f>VLOOKUP($B35,Reporting!$U:$AC,MATCH($A$29,Reporting!$V$4:$AC$4,0)+1,FALSE)</f>
        <v>0</v>
      </c>
      <c r="B35" s="262" t="s">
        <v>374</v>
      </c>
      <c r="C35" s="96">
        <v>0.23</v>
      </c>
      <c r="D35" s="6">
        <v>0.61</v>
      </c>
      <c r="E35" s="7">
        <f t="shared" si="18"/>
        <v>0.14030000000000001</v>
      </c>
      <c r="F35" s="7">
        <f t="shared" si="25"/>
        <v>0</v>
      </c>
      <c r="G35" s="8">
        <f t="shared" si="19"/>
        <v>0</v>
      </c>
      <c r="H35" s="9">
        <f t="shared" si="26"/>
        <v>0.23</v>
      </c>
      <c r="I35" s="10">
        <v>0.61</v>
      </c>
      <c r="J35" s="10">
        <f t="shared" si="20"/>
        <v>0.14030000000000001</v>
      </c>
      <c r="K35" s="10">
        <f t="shared" si="27"/>
        <v>0</v>
      </c>
      <c r="L35" s="11">
        <f t="shared" si="21"/>
        <v>0</v>
      </c>
      <c r="M35" s="12">
        <f t="shared" si="22"/>
        <v>0.23</v>
      </c>
      <c r="N35" s="13">
        <v>0.55000000000000004</v>
      </c>
      <c r="O35" s="13">
        <f t="shared" si="23"/>
        <v>0.12650000000000003</v>
      </c>
      <c r="P35" s="13">
        <f t="shared" si="28"/>
        <v>0</v>
      </c>
      <c r="Q35" s="14">
        <f t="shared" si="24"/>
        <v>0</v>
      </c>
      <c r="T35" s="120"/>
      <c r="U35" s="120"/>
      <c r="V35" s="120"/>
      <c r="W35" s="120"/>
      <c r="X35" s="120"/>
      <c r="Y35" s="120"/>
      <c r="Z35" s="120"/>
    </row>
    <row r="36" spans="1:26" ht="15.75" customHeight="1" x14ac:dyDescent="0.3">
      <c r="A36" s="250">
        <f>VLOOKUP($B36,Reporting!$U:$AC,MATCH($A$29,Reporting!$V$4:$AC$4,0)+1,FALSE)</f>
        <v>0</v>
      </c>
      <c r="B36" s="119" t="s">
        <v>390</v>
      </c>
      <c r="C36" s="97">
        <v>0.3</v>
      </c>
      <c r="D36" s="6">
        <v>0.61</v>
      </c>
      <c r="E36" s="7">
        <f t="shared" si="18"/>
        <v>0.183</v>
      </c>
      <c r="F36" s="7">
        <f t="shared" si="25"/>
        <v>0</v>
      </c>
      <c r="G36" s="8">
        <f t="shared" si="19"/>
        <v>0</v>
      </c>
      <c r="H36" s="9">
        <f t="shared" si="26"/>
        <v>0.3</v>
      </c>
      <c r="I36" s="10">
        <v>0.61</v>
      </c>
      <c r="J36" s="10">
        <f t="shared" si="20"/>
        <v>0.183</v>
      </c>
      <c r="K36" s="10">
        <f t="shared" si="27"/>
        <v>0</v>
      </c>
      <c r="L36" s="11">
        <f t="shared" si="21"/>
        <v>0</v>
      </c>
      <c r="M36" s="12">
        <f t="shared" si="22"/>
        <v>0.3</v>
      </c>
      <c r="N36" s="13">
        <v>0.55000000000000004</v>
      </c>
      <c r="O36" s="13">
        <f t="shared" si="23"/>
        <v>0.16500000000000001</v>
      </c>
      <c r="P36" s="13">
        <f t="shared" si="28"/>
        <v>0</v>
      </c>
      <c r="Q36" s="14">
        <f t="shared" si="24"/>
        <v>0</v>
      </c>
      <c r="T36" s="120"/>
      <c r="U36" s="120"/>
      <c r="V36" s="120"/>
      <c r="W36" s="120"/>
      <c r="X36" s="120"/>
      <c r="Y36" s="120"/>
      <c r="Z36" s="120"/>
    </row>
    <row r="37" spans="1:26" x14ac:dyDescent="0.3">
      <c r="A37" s="250">
        <f>VLOOKUP($B37,Reporting!$U:$AC,MATCH($A$29,Reporting!$V$4:$AC$4,0)+1,FALSE)</f>
        <v>0</v>
      </c>
      <c r="B37" s="266" t="s">
        <v>376</v>
      </c>
      <c r="C37" s="97">
        <v>0.26</v>
      </c>
      <c r="D37" s="6">
        <v>0.61</v>
      </c>
      <c r="E37" s="7">
        <f t="shared" ref="E37:E43" si="29">C37*D37</f>
        <v>0.15859999999999999</v>
      </c>
      <c r="F37" s="7">
        <f t="shared" si="25"/>
        <v>0</v>
      </c>
      <c r="G37" s="8">
        <f t="shared" ref="G37:G43" si="30">F37/8</f>
        <v>0</v>
      </c>
      <c r="H37" s="9">
        <f t="shared" si="26"/>
        <v>0.26</v>
      </c>
      <c r="I37" s="10">
        <v>0.61</v>
      </c>
      <c r="J37" s="10">
        <f t="shared" ref="J37:J43" si="31">H37*I37</f>
        <v>0.15859999999999999</v>
      </c>
      <c r="K37" s="10">
        <f t="shared" si="27"/>
        <v>0</v>
      </c>
      <c r="L37" s="11">
        <f t="shared" ref="L37:L43" si="32">K37/8</f>
        <v>0</v>
      </c>
      <c r="M37" s="12">
        <f t="shared" ref="M37:M43" si="33">H37</f>
        <v>0.26</v>
      </c>
      <c r="N37" s="13">
        <v>0.55000000000000004</v>
      </c>
      <c r="O37" s="13">
        <f t="shared" ref="O37:O43" si="34">M37*N37</f>
        <v>0.14300000000000002</v>
      </c>
      <c r="P37" s="13">
        <f t="shared" si="28"/>
        <v>0</v>
      </c>
      <c r="Q37" s="14">
        <f t="shared" ref="Q37:Q43" si="35">P37/8</f>
        <v>0</v>
      </c>
      <c r="T37" s="120"/>
      <c r="U37" s="120"/>
      <c r="V37" s="120"/>
      <c r="W37" s="120"/>
      <c r="X37" s="120"/>
      <c r="Y37" s="120"/>
      <c r="Z37" s="120"/>
    </row>
    <row r="38" spans="1:26" x14ac:dyDescent="0.3">
      <c r="A38" s="250">
        <f>VLOOKUP($B38,Reporting!$U:$AC,MATCH($A$29,Reporting!$V$4:$AC$4,0)+1,FALSE)</f>
        <v>0</v>
      </c>
      <c r="B38" s="119" t="s">
        <v>391</v>
      </c>
      <c r="C38" s="97">
        <v>0.28000000000000003</v>
      </c>
      <c r="D38" s="6">
        <v>0.61</v>
      </c>
      <c r="E38" s="7">
        <f t="shared" si="29"/>
        <v>0.17080000000000001</v>
      </c>
      <c r="F38" s="7">
        <f t="shared" si="25"/>
        <v>0</v>
      </c>
      <c r="G38" s="8">
        <f t="shared" si="30"/>
        <v>0</v>
      </c>
      <c r="H38" s="9">
        <f t="shared" si="26"/>
        <v>0.28000000000000003</v>
      </c>
      <c r="I38" s="10">
        <v>0.61</v>
      </c>
      <c r="J38" s="10">
        <f t="shared" si="31"/>
        <v>0.17080000000000001</v>
      </c>
      <c r="K38" s="10">
        <f t="shared" si="27"/>
        <v>0</v>
      </c>
      <c r="L38" s="11">
        <f t="shared" si="32"/>
        <v>0</v>
      </c>
      <c r="M38" s="12">
        <f t="shared" si="33"/>
        <v>0.28000000000000003</v>
      </c>
      <c r="N38" s="13">
        <v>0.55000000000000004</v>
      </c>
      <c r="O38" s="13">
        <f t="shared" si="34"/>
        <v>0.15400000000000003</v>
      </c>
      <c r="P38" s="13">
        <f t="shared" si="28"/>
        <v>0</v>
      </c>
      <c r="Q38" s="14">
        <f t="shared" si="35"/>
        <v>0</v>
      </c>
      <c r="T38" s="120"/>
      <c r="U38" s="120"/>
      <c r="V38" s="120"/>
      <c r="W38" s="120"/>
      <c r="X38" s="120"/>
      <c r="Y38" s="120"/>
      <c r="Z38" s="120"/>
    </row>
    <row r="39" spans="1:26" x14ac:dyDescent="0.3">
      <c r="A39" s="250">
        <f>VLOOKUP($B39,Reporting!$U:$AC,MATCH($A$29,Reporting!$V$4:$AC$4,0)+1,FALSE)</f>
        <v>0</v>
      </c>
      <c r="B39" s="119" t="s">
        <v>392</v>
      </c>
      <c r="C39" s="97">
        <v>0.34</v>
      </c>
      <c r="D39" s="6">
        <v>0.61</v>
      </c>
      <c r="E39" s="7">
        <f t="shared" si="29"/>
        <v>0.2074</v>
      </c>
      <c r="F39" s="7">
        <f t="shared" si="25"/>
        <v>0</v>
      </c>
      <c r="G39" s="8">
        <f t="shared" si="30"/>
        <v>0</v>
      </c>
      <c r="H39" s="9">
        <f t="shared" si="26"/>
        <v>0.34</v>
      </c>
      <c r="I39" s="10">
        <v>0.61</v>
      </c>
      <c r="J39" s="10">
        <f t="shared" si="31"/>
        <v>0.2074</v>
      </c>
      <c r="K39" s="10">
        <f t="shared" si="27"/>
        <v>0</v>
      </c>
      <c r="L39" s="11">
        <f t="shared" si="32"/>
        <v>0</v>
      </c>
      <c r="M39" s="12">
        <f t="shared" si="33"/>
        <v>0.34</v>
      </c>
      <c r="N39" s="13">
        <v>0.55000000000000004</v>
      </c>
      <c r="O39" s="13">
        <f t="shared" si="34"/>
        <v>0.18700000000000003</v>
      </c>
      <c r="P39" s="13">
        <f t="shared" si="28"/>
        <v>0</v>
      </c>
      <c r="Q39" s="14">
        <f t="shared" si="35"/>
        <v>0</v>
      </c>
      <c r="T39" s="120"/>
      <c r="U39" s="120"/>
      <c r="V39" s="120"/>
      <c r="W39" s="120"/>
      <c r="X39" s="120"/>
      <c r="Y39" s="120"/>
      <c r="Z39" s="120"/>
    </row>
    <row r="40" spans="1:26" x14ac:dyDescent="0.3">
      <c r="A40" s="250">
        <f>VLOOKUP($B40,Reporting!$U:$AC,MATCH($A$29,Reporting!$V$4:$AC$4,0)+1,FALSE)</f>
        <v>0</v>
      </c>
      <c r="B40" s="119" t="s">
        <v>393</v>
      </c>
      <c r="C40" s="97">
        <v>0.39</v>
      </c>
      <c r="D40" s="6">
        <v>0.61</v>
      </c>
      <c r="E40" s="7">
        <f t="shared" si="29"/>
        <v>0.2379</v>
      </c>
      <c r="F40" s="7">
        <f t="shared" si="25"/>
        <v>0</v>
      </c>
      <c r="G40" s="8">
        <f t="shared" si="30"/>
        <v>0</v>
      </c>
      <c r="H40" s="9">
        <f t="shared" si="26"/>
        <v>0.39</v>
      </c>
      <c r="I40" s="10">
        <v>0.61</v>
      </c>
      <c r="J40" s="10">
        <f t="shared" si="31"/>
        <v>0.2379</v>
      </c>
      <c r="K40" s="10">
        <f t="shared" si="27"/>
        <v>0</v>
      </c>
      <c r="L40" s="11">
        <f t="shared" si="32"/>
        <v>0</v>
      </c>
      <c r="M40" s="12">
        <f t="shared" si="33"/>
        <v>0.39</v>
      </c>
      <c r="N40" s="13">
        <v>0.55000000000000004</v>
      </c>
      <c r="O40" s="13">
        <f t="shared" si="34"/>
        <v>0.21450000000000002</v>
      </c>
      <c r="P40" s="13">
        <f t="shared" si="28"/>
        <v>0</v>
      </c>
      <c r="Q40" s="14">
        <f t="shared" si="35"/>
        <v>0</v>
      </c>
      <c r="T40" s="120"/>
      <c r="U40" s="120"/>
      <c r="V40" s="120"/>
      <c r="W40" s="120"/>
      <c r="X40" s="120"/>
      <c r="Y40" s="120"/>
      <c r="Z40" s="120"/>
    </row>
    <row r="41" spans="1:26" x14ac:dyDescent="0.3">
      <c r="A41" s="250">
        <f>VLOOKUP($B41,Reporting!$U:$AC,MATCH($A$29,Reporting!$V$4:$AC$4,0)+1,FALSE)</f>
        <v>0</v>
      </c>
      <c r="B41" s="119" t="s">
        <v>394</v>
      </c>
      <c r="C41" s="97">
        <v>0.4</v>
      </c>
      <c r="D41" s="6">
        <v>0.61</v>
      </c>
      <c r="E41" s="7">
        <f t="shared" si="29"/>
        <v>0.24399999999999999</v>
      </c>
      <c r="F41" s="7">
        <f t="shared" si="25"/>
        <v>0</v>
      </c>
      <c r="G41" s="8">
        <f t="shared" si="30"/>
        <v>0</v>
      </c>
      <c r="H41" s="9">
        <f t="shared" si="26"/>
        <v>0.4</v>
      </c>
      <c r="I41" s="10">
        <v>0.61</v>
      </c>
      <c r="J41" s="10">
        <f t="shared" si="31"/>
        <v>0.24399999999999999</v>
      </c>
      <c r="K41" s="10">
        <f t="shared" si="27"/>
        <v>0</v>
      </c>
      <c r="L41" s="11">
        <f t="shared" si="32"/>
        <v>0</v>
      </c>
      <c r="M41" s="12">
        <f t="shared" si="33"/>
        <v>0.4</v>
      </c>
      <c r="N41" s="13">
        <v>0.55000000000000004</v>
      </c>
      <c r="O41" s="13">
        <f t="shared" si="34"/>
        <v>0.22000000000000003</v>
      </c>
      <c r="P41" s="13">
        <f t="shared" si="28"/>
        <v>0</v>
      </c>
      <c r="Q41" s="14">
        <f t="shared" si="35"/>
        <v>0</v>
      </c>
      <c r="T41" s="120"/>
      <c r="U41" s="120"/>
      <c r="V41" s="120"/>
      <c r="W41" s="120"/>
      <c r="X41" s="120"/>
      <c r="Y41" s="120"/>
      <c r="Z41" s="120"/>
    </row>
    <row r="42" spans="1:26" x14ac:dyDescent="0.3">
      <c r="A42" s="250">
        <f>VLOOKUP($B42,Reporting!$U:$AC,MATCH($A$29,Reporting!$V$4:$AC$4,0)+1,FALSE)</f>
        <v>0</v>
      </c>
      <c r="B42" s="119" t="s">
        <v>395</v>
      </c>
      <c r="C42" s="97">
        <v>0.47</v>
      </c>
      <c r="D42" s="6">
        <v>0.61</v>
      </c>
      <c r="E42" s="7">
        <f t="shared" si="29"/>
        <v>0.28669999999999995</v>
      </c>
      <c r="F42" s="7">
        <f t="shared" si="25"/>
        <v>0</v>
      </c>
      <c r="G42" s="8">
        <f t="shared" si="30"/>
        <v>0</v>
      </c>
      <c r="H42" s="9">
        <f t="shared" si="26"/>
        <v>0.47</v>
      </c>
      <c r="I42" s="10">
        <v>0.61</v>
      </c>
      <c r="J42" s="10">
        <f t="shared" si="31"/>
        <v>0.28669999999999995</v>
      </c>
      <c r="K42" s="10">
        <f t="shared" si="27"/>
        <v>0</v>
      </c>
      <c r="L42" s="11">
        <f t="shared" si="32"/>
        <v>0</v>
      </c>
      <c r="M42" s="12">
        <f t="shared" si="33"/>
        <v>0.47</v>
      </c>
      <c r="N42" s="13">
        <v>0.55000000000000004</v>
      </c>
      <c r="O42" s="13">
        <f t="shared" si="34"/>
        <v>0.25850000000000001</v>
      </c>
      <c r="P42" s="13">
        <f t="shared" si="28"/>
        <v>0</v>
      </c>
      <c r="Q42" s="14">
        <f t="shared" si="35"/>
        <v>0</v>
      </c>
      <c r="T42" s="120"/>
      <c r="U42" s="120"/>
      <c r="V42" s="120"/>
      <c r="W42" s="120"/>
      <c r="X42" s="120"/>
      <c r="Y42" s="120"/>
      <c r="Z42" s="120"/>
    </row>
    <row r="43" spans="1:26" x14ac:dyDescent="0.3">
      <c r="A43" s="250">
        <f>VLOOKUP($B43,Reporting!$U:$AC,MATCH($A$29,Reporting!$V$4:$AC$4,0)+1,FALSE)</f>
        <v>0</v>
      </c>
      <c r="B43" s="119" t="s">
        <v>396</v>
      </c>
      <c r="C43" s="97">
        <v>0.54</v>
      </c>
      <c r="D43" s="6">
        <v>0.61</v>
      </c>
      <c r="E43" s="7">
        <f t="shared" si="29"/>
        <v>0.32940000000000003</v>
      </c>
      <c r="F43" s="7">
        <f t="shared" si="25"/>
        <v>0</v>
      </c>
      <c r="G43" s="8">
        <f t="shared" si="30"/>
        <v>0</v>
      </c>
      <c r="H43" s="9">
        <f t="shared" si="26"/>
        <v>0.54</v>
      </c>
      <c r="I43" s="10">
        <v>0.61</v>
      </c>
      <c r="J43" s="10">
        <f t="shared" si="31"/>
        <v>0.32940000000000003</v>
      </c>
      <c r="K43" s="10">
        <f t="shared" si="27"/>
        <v>0</v>
      </c>
      <c r="L43" s="11">
        <f t="shared" si="32"/>
        <v>0</v>
      </c>
      <c r="M43" s="12">
        <f t="shared" si="33"/>
        <v>0.54</v>
      </c>
      <c r="N43" s="13">
        <v>0.55000000000000004</v>
      </c>
      <c r="O43" s="13">
        <f t="shared" si="34"/>
        <v>0.29700000000000004</v>
      </c>
      <c r="P43" s="13">
        <f t="shared" si="28"/>
        <v>0</v>
      </c>
      <c r="Q43" s="14">
        <f t="shared" si="35"/>
        <v>0</v>
      </c>
      <c r="T43" s="120"/>
      <c r="U43" s="120"/>
      <c r="V43" s="120"/>
      <c r="W43" s="120"/>
      <c r="X43" s="120"/>
      <c r="Y43" s="120"/>
      <c r="Z43" s="120"/>
    </row>
    <row r="44" spans="1:26" ht="15" thickBot="1" x14ac:dyDescent="0.35">
      <c r="A44" s="3">
        <f>ROUNDUP(SUM(A31:A43)/2,0)</f>
        <v>0</v>
      </c>
      <c r="B44" s="267"/>
      <c r="C44" s="4"/>
      <c r="D44" s="644" t="s">
        <v>9</v>
      </c>
      <c r="E44" s="645"/>
      <c r="F44" s="645"/>
      <c r="G44" s="16">
        <f>SUM(G31:G43)</f>
        <v>0</v>
      </c>
      <c r="H44" s="1"/>
      <c r="I44" s="646" t="s">
        <v>10</v>
      </c>
      <c r="J44" s="646"/>
      <c r="K44" s="646"/>
      <c r="L44" s="17">
        <f>SUM(L31:L43)</f>
        <v>0</v>
      </c>
      <c r="M44" s="15"/>
      <c r="N44" s="647" t="s">
        <v>11</v>
      </c>
      <c r="O44" s="647"/>
      <c r="P44" s="647"/>
      <c r="Q44" s="18">
        <f>SUM(Q31:Q43)</f>
        <v>0</v>
      </c>
    </row>
    <row r="45" spans="1:26" ht="15" thickBot="1" x14ac:dyDescent="0.35"/>
    <row r="46" spans="1:26" ht="15" customHeight="1" x14ac:dyDescent="0.3">
      <c r="A46" s="687" t="s">
        <v>158</v>
      </c>
      <c r="B46" s="687"/>
      <c r="C46" s="687"/>
      <c r="D46" s="687"/>
      <c r="E46" s="687"/>
      <c r="F46" s="152"/>
      <c r="G46" s="152"/>
      <c r="H46" s="700" t="s">
        <v>89</v>
      </c>
      <c r="I46" s="700"/>
      <c r="J46" s="700"/>
      <c r="K46" s="700"/>
      <c r="L46" s="23"/>
      <c r="M46" s="23"/>
      <c r="N46" s="23"/>
      <c r="O46" s="23"/>
      <c r="P46" s="23"/>
      <c r="Q46" s="24"/>
    </row>
    <row r="47" spans="1:26" ht="15" customHeight="1" x14ac:dyDescent="0.3">
      <c r="A47" s="688"/>
      <c r="B47" s="688"/>
      <c r="C47" s="688"/>
      <c r="D47" s="688"/>
      <c r="E47" s="688"/>
      <c r="F47" s="153"/>
      <c r="G47" s="153"/>
      <c r="H47" s="701"/>
      <c r="I47" s="701"/>
      <c r="J47" s="701"/>
      <c r="K47" s="701"/>
      <c r="L47" s="42"/>
      <c r="M47" s="42"/>
      <c r="N47" s="42"/>
      <c r="O47" s="42"/>
      <c r="P47" s="42"/>
      <c r="Q47" s="43"/>
    </row>
    <row r="48" spans="1:26" ht="15" customHeight="1" x14ac:dyDescent="0.3">
      <c r="A48" s="250">
        <f>VLOOKUP($B48,Reporting!$U:$AC,MATCH($A$46,Reporting!$V$4:$AC$4,0)+1,FALSE)</f>
        <v>0</v>
      </c>
      <c r="B48" s="263" t="s">
        <v>371</v>
      </c>
      <c r="C48" s="98">
        <v>0.05</v>
      </c>
      <c r="D48" s="6">
        <v>0.61</v>
      </c>
      <c r="E48" s="7">
        <f t="shared" ref="E48:E53" si="36">C48*D48</f>
        <v>3.0499999999999999E-2</v>
      </c>
      <c r="F48" s="7">
        <f>A48*E48</f>
        <v>0</v>
      </c>
      <c r="G48" s="8">
        <f t="shared" ref="G48:G53" si="37">F48/8</f>
        <v>0</v>
      </c>
      <c r="H48" s="9">
        <f>C48</f>
        <v>0.05</v>
      </c>
      <c r="I48" s="10">
        <v>0.61</v>
      </c>
      <c r="J48" s="10">
        <f t="shared" ref="J48:J53" si="38">H48*I48</f>
        <v>3.0499999999999999E-2</v>
      </c>
      <c r="K48" s="10">
        <f>A48*J48</f>
        <v>0</v>
      </c>
      <c r="L48" s="11">
        <f t="shared" ref="L48:L53" si="39">K48/8</f>
        <v>0</v>
      </c>
      <c r="M48" s="12">
        <f t="shared" ref="M48:M53" si="40">H48</f>
        <v>0.05</v>
      </c>
      <c r="N48" s="13">
        <v>0.55000000000000004</v>
      </c>
      <c r="O48" s="13">
        <f t="shared" ref="O48:O53" si="41">M48*N48</f>
        <v>2.7500000000000004E-2</v>
      </c>
      <c r="P48" s="13">
        <f>A48*O48</f>
        <v>0</v>
      </c>
      <c r="Q48" s="14">
        <f t="shared" ref="Q48:Q53" si="42">P48/8</f>
        <v>0</v>
      </c>
    </row>
    <row r="49" spans="1:17" ht="15" customHeight="1" x14ac:dyDescent="0.3">
      <c r="A49" s="250">
        <f>VLOOKUP($B49,Reporting!$U:$AC,MATCH($A$46,Reporting!$V$4:$AC$4,0)+1,FALSE)</f>
        <v>6</v>
      </c>
      <c r="B49" s="263" t="s">
        <v>372</v>
      </c>
      <c r="C49" s="98">
        <v>7.0000000000000007E-2</v>
      </c>
      <c r="D49" s="6">
        <v>0.61</v>
      </c>
      <c r="E49" s="7">
        <f t="shared" si="36"/>
        <v>4.2700000000000002E-2</v>
      </c>
      <c r="F49" s="7">
        <f t="shared" ref="F49:F59" si="43">A49*E49</f>
        <v>0.25619999999999998</v>
      </c>
      <c r="G49" s="8">
        <f t="shared" si="37"/>
        <v>3.2024999999999998E-2</v>
      </c>
      <c r="H49" s="9">
        <f t="shared" ref="H49:H59" si="44">C49</f>
        <v>7.0000000000000007E-2</v>
      </c>
      <c r="I49" s="10">
        <v>0.61</v>
      </c>
      <c r="J49" s="10">
        <f t="shared" si="38"/>
        <v>4.2700000000000002E-2</v>
      </c>
      <c r="K49" s="10">
        <f t="shared" ref="K49:K59" si="45">A49*J49</f>
        <v>0.25619999999999998</v>
      </c>
      <c r="L49" s="11">
        <f t="shared" si="39"/>
        <v>3.2024999999999998E-2</v>
      </c>
      <c r="M49" s="12">
        <f t="shared" si="40"/>
        <v>7.0000000000000007E-2</v>
      </c>
      <c r="N49" s="13">
        <v>0.55000000000000004</v>
      </c>
      <c r="O49" s="13">
        <f t="shared" si="41"/>
        <v>3.8500000000000006E-2</v>
      </c>
      <c r="P49" s="13">
        <f t="shared" ref="P49:P59" si="46">A49*O49</f>
        <v>0.23100000000000004</v>
      </c>
      <c r="Q49" s="14">
        <f t="shared" si="42"/>
        <v>2.8875000000000005E-2</v>
      </c>
    </row>
    <row r="50" spans="1:17" ht="15" customHeight="1" x14ac:dyDescent="0.3">
      <c r="A50" s="250">
        <f>VLOOKUP($B50,Reporting!$U:$AC,MATCH($A$46,Reporting!$V$4:$AC$4,0)+1,FALSE)</f>
        <v>0</v>
      </c>
      <c r="B50" s="20" t="s">
        <v>389</v>
      </c>
      <c r="C50" s="98">
        <v>0.08</v>
      </c>
      <c r="D50" s="6">
        <v>0.61</v>
      </c>
      <c r="E50" s="7">
        <f t="shared" si="36"/>
        <v>4.8800000000000003E-2</v>
      </c>
      <c r="F50" s="7">
        <f t="shared" si="43"/>
        <v>0</v>
      </c>
      <c r="G50" s="8">
        <f t="shared" si="37"/>
        <v>0</v>
      </c>
      <c r="H50" s="9">
        <f t="shared" si="44"/>
        <v>0.08</v>
      </c>
      <c r="I50" s="10">
        <v>0.61</v>
      </c>
      <c r="J50" s="10">
        <f t="shared" si="38"/>
        <v>4.8800000000000003E-2</v>
      </c>
      <c r="K50" s="10">
        <f t="shared" si="45"/>
        <v>0</v>
      </c>
      <c r="L50" s="11">
        <f t="shared" si="39"/>
        <v>0</v>
      </c>
      <c r="M50" s="12">
        <f t="shared" si="40"/>
        <v>0.08</v>
      </c>
      <c r="N50" s="13">
        <v>0.55000000000000004</v>
      </c>
      <c r="O50" s="13">
        <f t="shared" si="41"/>
        <v>4.4000000000000004E-2</v>
      </c>
      <c r="P50" s="13">
        <f t="shared" si="46"/>
        <v>0</v>
      </c>
      <c r="Q50" s="14">
        <f t="shared" si="42"/>
        <v>0</v>
      </c>
    </row>
    <row r="51" spans="1:17" ht="15" customHeight="1" x14ac:dyDescent="0.3">
      <c r="A51" s="250">
        <f>VLOOKUP($B51,Reporting!$U:$AC,MATCH($A$46,Reporting!$V$4:$AC$4,0)+1,FALSE)</f>
        <v>7</v>
      </c>
      <c r="B51" s="263" t="s">
        <v>373</v>
      </c>
      <c r="C51" s="98">
        <v>0.09</v>
      </c>
      <c r="D51" s="6">
        <v>0.61</v>
      </c>
      <c r="E51" s="7">
        <f t="shared" si="36"/>
        <v>5.4899999999999997E-2</v>
      </c>
      <c r="F51" s="7">
        <f t="shared" si="43"/>
        <v>0.38429999999999997</v>
      </c>
      <c r="G51" s="8">
        <f t="shared" si="37"/>
        <v>4.8037499999999997E-2</v>
      </c>
      <c r="H51" s="9">
        <f t="shared" si="44"/>
        <v>0.09</v>
      </c>
      <c r="I51" s="10">
        <v>0.61</v>
      </c>
      <c r="J51" s="10">
        <f t="shared" si="38"/>
        <v>5.4899999999999997E-2</v>
      </c>
      <c r="K51" s="10">
        <f t="shared" si="45"/>
        <v>0.38429999999999997</v>
      </c>
      <c r="L51" s="11">
        <f t="shared" si="39"/>
        <v>4.8037499999999997E-2</v>
      </c>
      <c r="M51" s="12">
        <f t="shared" si="40"/>
        <v>0.09</v>
      </c>
      <c r="N51" s="13">
        <v>0.55000000000000004</v>
      </c>
      <c r="O51" s="13">
        <f t="shared" si="41"/>
        <v>4.9500000000000002E-2</v>
      </c>
      <c r="P51" s="13">
        <f t="shared" si="46"/>
        <v>0.34650000000000003</v>
      </c>
      <c r="Q51" s="14">
        <f t="shared" si="42"/>
        <v>4.3312500000000004E-2</v>
      </c>
    </row>
    <row r="52" spans="1:17" ht="15" customHeight="1" x14ac:dyDescent="0.3">
      <c r="A52" s="250">
        <f>VLOOKUP($B52,Reporting!$U:$AC,MATCH($A$46,Reporting!$V$4:$AC$4,0)+1,FALSE)</f>
        <v>18</v>
      </c>
      <c r="B52" s="263" t="s">
        <v>374</v>
      </c>
      <c r="C52" s="110">
        <v>0.1</v>
      </c>
      <c r="D52" s="6">
        <v>0.61</v>
      </c>
      <c r="E52" s="7">
        <f t="shared" si="36"/>
        <v>6.0999999999999999E-2</v>
      </c>
      <c r="F52" s="7">
        <f t="shared" si="43"/>
        <v>1.0979999999999999</v>
      </c>
      <c r="G52" s="8">
        <f t="shared" si="37"/>
        <v>0.13724999999999998</v>
      </c>
      <c r="H52" s="9">
        <f t="shared" si="44"/>
        <v>0.1</v>
      </c>
      <c r="I52" s="10">
        <v>0.61</v>
      </c>
      <c r="J52" s="10">
        <f t="shared" si="38"/>
        <v>6.0999999999999999E-2</v>
      </c>
      <c r="K52" s="10">
        <f t="shared" si="45"/>
        <v>1.0979999999999999</v>
      </c>
      <c r="L52" s="11">
        <f t="shared" si="39"/>
        <v>0.13724999999999998</v>
      </c>
      <c r="M52" s="12">
        <f t="shared" si="40"/>
        <v>0.1</v>
      </c>
      <c r="N52" s="13">
        <v>0.55000000000000004</v>
      </c>
      <c r="O52" s="13">
        <f t="shared" si="41"/>
        <v>5.5000000000000007E-2</v>
      </c>
      <c r="P52" s="13">
        <f t="shared" si="46"/>
        <v>0.9900000000000001</v>
      </c>
      <c r="Q52" s="14">
        <f t="shared" si="42"/>
        <v>0.12375000000000001</v>
      </c>
    </row>
    <row r="53" spans="1:17" ht="15.75" customHeight="1" x14ac:dyDescent="0.3">
      <c r="A53" s="250">
        <f>VLOOKUP($B53,Reporting!$U:$AC,MATCH($A$46,Reporting!$V$4:$AC$4,0)+1,FALSE)</f>
        <v>0</v>
      </c>
      <c r="B53" s="148" t="s">
        <v>390</v>
      </c>
      <c r="C53" s="99">
        <v>0.11</v>
      </c>
      <c r="D53" s="6">
        <v>0.61</v>
      </c>
      <c r="E53" s="7">
        <f t="shared" si="36"/>
        <v>6.7099999999999993E-2</v>
      </c>
      <c r="F53" s="7">
        <f t="shared" si="43"/>
        <v>0</v>
      </c>
      <c r="G53" s="8">
        <f t="shared" si="37"/>
        <v>0</v>
      </c>
      <c r="H53" s="9">
        <f t="shared" si="44"/>
        <v>0.11</v>
      </c>
      <c r="I53" s="10">
        <v>0.61</v>
      </c>
      <c r="J53" s="10">
        <f t="shared" si="38"/>
        <v>6.7099999999999993E-2</v>
      </c>
      <c r="K53" s="10">
        <f t="shared" si="45"/>
        <v>0</v>
      </c>
      <c r="L53" s="11">
        <f t="shared" si="39"/>
        <v>0</v>
      </c>
      <c r="M53" s="12">
        <f t="shared" si="40"/>
        <v>0.11</v>
      </c>
      <c r="N53" s="13">
        <v>0.55000000000000004</v>
      </c>
      <c r="O53" s="13">
        <f t="shared" si="41"/>
        <v>6.0500000000000005E-2</v>
      </c>
      <c r="P53" s="13">
        <f t="shared" si="46"/>
        <v>0</v>
      </c>
      <c r="Q53" s="14">
        <f t="shared" si="42"/>
        <v>0</v>
      </c>
    </row>
    <row r="54" spans="1:17" x14ac:dyDescent="0.3">
      <c r="A54" s="250">
        <f>VLOOKUP($B54,Reporting!$U:$AC,MATCH($A$46,Reporting!$V$4:$AC$4,0)+1,FALSE)</f>
        <v>0</v>
      </c>
      <c r="B54" s="268" t="s">
        <v>376</v>
      </c>
      <c r="C54" s="99">
        <v>0.12</v>
      </c>
      <c r="D54" s="6">
        <v>0.61</v>
      </c>
      <c r="E54" s="7">
        <f t="shared" ref="E54:E59" si="47">C54*D54</f>
        <v>7.3200000000000001E-2</v>
      </c>
      <c r="F54" s="7">
        <f t="shared" si="43"/>
        <v>0</v>
      </c>
      <c r="G54" s="8">
        <f t="shared" ref="G54:G59" si="48">F54/8</f>
        <v>0</v>
      </c>
      <c r="H54" s="9">
        <f t="shared" si="44"/>
        <v>0.12</v>
      </c>
      <c r="I54" s="10">
        <v>0.61</v>
      </c>
      <c r="J54" s="10">
        <f t="shared" ref="J54:J59" si="49">H54*I54</f>
        <v>7.3200000000000001E-2</v>
      </c>
      <c r="K54" s="10">
        <f t="shared" si="45"/>
        <v>0</v>
      </c>
      <c r="L54" s="11">
        <f t="shared" ref="L54:L59" si="50">K54/8</f>
        <v>0</v>
      </c>
      <c r="M54" s="12">
        <f t="shared" ref="M54:M59" si="51">H54</f>
        <v>0.12</v>
      </c>
      <c r="N54" s="13">
        <v>0.55000000000000004</v>
      </c>
      <c r="O54" s="13">
        <f t="shared" ref="O54:O59" si="52">M54*N54</f>
        <v>6.6000000000000003E-2</v>
      </c>
      <c r="P54" s="13">
        <f t="shared" si="46"/>
        <v>0</v>
      </c>
      <c r="Q54" s="14">
        <f t="shared" ref="Q54:Q59" si="53">P54/8</f>
        <v>0</v>
      </c>
    </row>
    <row r="55" spans="1:17" x14ac:dyDescent="0.3">
      <c r="A55" s="250">
        <f>VLOOKUP($B55,Reporting!$U:$AC,MATCH($A$46,Reporting!$V$4:$AC$4,0)+1,FALSE)</f>
        <v>0</v>
      </c>
      <c r="B55" s="148" t="s">
        <v>391</v>
      </c>
      <c r="C55" s="99">
        <v>0.13</v>
      </c>
      <c r="D55" s="6">
        <v>0.61</v>
      </c>
      <c r="E55" s="7">
        <f t="shared" si="47"/>
        <v>7.9299999999999995E-2</v>
      </c>
      <c r="F55" s="7">
        <f t="shared" si="43"/>
        <v>0</v>
      </c>
      <c r="G55" s="8">
        <f t="shared" si="48"/>
        <v>0</v>
      </c>
      <c r="H55" s="9">
        <f t="shared" si="44"/>
        <v>0.13</v>
      </c>
      <c r="I55" s="10">
        <v>0.61</v>
      </c>
      <c r="J55" s="10">
        <f t="shared" si="49"/>
        <v>7.9299999999999995E-2</v>
      </c>
      <c r="K55" s="10">
        <f t="shared" si="45"/>
        <v>0</v>
      </c>
      <c r="L55" s="11">
        <f t="shared" si="50"/>
        <v>0</v>
      </c>
      <c r="M55" s="12">
        <f t="shared" si="51"/>
        <v>0.13</v>
      </c>
      <c r="N55" s="13">
        <v>0.55000000000000004</v>
      </c>
      <c r="O55" s="13">
        <f t="shared" si="52"/>
        <v>7.1500000000000008E-2</v>
      </c>
      <c r="P55" s="13">
        <f t="shared" si="46"/>
        <v>0</v>
      </c>
      <c r="Q55" s="14">
        <f t="shared" si="53"/>
        <v>0</v>
      </c>
    </row>
    <row r="56" spans="1:17" x14ac:dyDescent="0.3">
      <c r="A56" s="250">
        <f>VLOOKUP($B56,Reporting!$U:$AC,MATCH($A$46,Reporting!$V$4:$AC$4,0)+1,FALSE)</f>
        <v>0</v>
      </c>
      <c r="B56" s="148" t="s">
        <v>392</v>
      </c>
      <c r="C56" s="99">
        <v>0.16</v>
      </c>
      <c r="D56" s="6">
        <v>0.61</v>
      </c>
      <c r="E56" s="7">
        <f t="shared" si="47"/>
        <v>9.7600000000000006E-2</v>
      </c>
      <c r="F56" s="7">
        <f t="shared" si="43"/>
        <v>0</v>
      </c>
      <c r="G56" s="8">
        <f t="shared" si="48"/>
        <v>0</v>
      </c>
      <c r="H56" s="9">
        <f t="shared" si="44"/>
        <v>0.16</v>
      </c>
      <c r="I56" s="10">
        <v>0.61</v>
      </c>
      <c r="J56" s="10">
        <f t="shared" si="49"/>
        <v>9.7600000000000006E-2</v>
      </c>
      <c r="K56" s="10">
        <f t="shared" si="45"/>
        <v>0</v>
      </c>
      <c r="L56" s="11">
        <f t="shared" si="50"/>
        <v>0</v>
      </c>
      <c r="M56" s="12">
        <f t="shared" si="51"/>
        <v>0.16</v>
      </c>
      <c r="N56" s="13">
        <v>0.55000000000000004</v>
      </c>
      <c r="O56" s="13">
        <f t="shared" si="52"/>
        <v>8.8000000000000009E-2</v>
      </c>
      <c r="P56" s="13">
        <f t="shared" si="46"/>
        <v>0</v>
      </c>
      <c r="Q56" s="14">
        <f t="shared" si="53"/>
        <v>0</v>
      </c>
    </row>
    <row r="57" spans="1:17" x14ac:dyDescent="0.3">
      <c r="A57" s="250">
        <f>VLOOKUP($B57,Reporting!$U:$AC,MATCH($A$46,Reporting!$V$4:$AC$4,0)+1,FALSE)</f>
        <v>0</v>
      </c>
      <c r="B57" s="148" t="s">
        <v>393</v>
      </c>
      <c r="C57" s="99">
        <v>0.17</v>
      </c>
      <c r="D57" s="6">
        <v>0.61</v>
      </c>
      <c r="E57" s="7">
        <f t="shared" si="47"/>
        <v>0.1037</v>
      </c>
      <c r="F57" s="7">
        <f t="shared" si="43"/>
        <v>0</v>
      </c>
      <c r="G57" s="8">
        <f t="shared" si="48"/>
        <v>0</v>
      </c>
      <c r="H57" s="9">
        <f t="shared" si="44"/>
        <v>0.17</v>
      </c>
      <c r="I57" s="10">
        <v>0.61</v>
      </c>
      <c r="J57" s="10">
        <f t="shared" si="49"/>
        <v>0.1037</v>
      </c>
      <c r="K57" s="10">
        <f t="shared" si="45"/>
        <v>0</v>
      </c>
      <c r="L57" s="11">
        <f t="shared" si="50"/>
        <v>0</v>
      </c>
      <c r="M57" s="12">
        <f t="shared" si="51"/>
        <v>0.17</v>
      </c>
      <c r="N57" s="13">
        <v>0.55000000000000004</v>
      </c>
      <c r="O57" s="13">
        <f t="shared" si="52"/>
        <v>9.3500000000000014E-2</v>
      </c>
      <c r="P57" s="13">
        <f t="shared" si="46"/>
        <v>0</v>
      </c>
      <c r="Q57" s="14">
        <f t="shared" si="53"/>
        <v>0</v>
      </c>
    </row>
    <row r="58" spans="1:17" x14ac:dyDescent="0.3">
      <c r="A58" s="250">
        <f>VLOOKUP($B58,Reporting!$U:$AC,MATCH($A$46,Reporting!$V$4:$AC$4,0)+1,FALSE)</f>
        <v>0</v>
      </c>
      <c r="B58" s="148" t="s">
        <v>394</v>
      </c>
      <c r="C58" s="99">
        <v>0.18</v>
      </c>
      <c r="D58" s="6">
        <v>0.61</v>
      </c>
      <c r="E58" s="7">
        <f t="shared" si="47"/>
        <v>0.10979999999999999</v>
      </c>
      <c r="F58" s="7">
        <f t="shared" si="43"/>
        <v>0</v>
      </c>
      <c r="G58" s="8">
        <f t="shared" si="48"/>
        <v>0</v>
      </c>
      <c r="H58" s="9">
        <f t="shared" si="44"/>
        <v>0.18</v>
      </c>
      <c r="I58" s="10">
        <v>0.61</v>
      </c>
      <c r="J58" s="10">
        <f t="shared" si="49"/>
        <v>0.10979999999999999</v>
      </c>
      <c r="K58" s="10">
        <f t="shared" si="45"/>
        <v>0</v>
      </c>
      <c r="L58" s="11">
        <f t="shared" si="50"/>
        <v>0</v>
      </c>
      <c r="M58" s="12">
        <f t="shared" si="51"/>
        <v>0.18</v>
      </c>
      <c r="N58" s="13">
        <v>0.55000000000000004</v>
      </c>
      <c r="O58" s="13">
        <f t="shared" si="52"/>
        <v>9.9000000000000005E-2</v>
      </c>
      <c r="P58" s="13">
        <f t="shared" si="46"/>
        <v>0</v>
      </c>
      <c r="Q58" s="14">
        <f t="shared" si="53"/>
        <v>0</v>
      </c>
    </row>
    <row r="59" spans="1:17" x14ac:dyDescent="0.3">
      <c r="A59" s="250">
        <f>VLOOKUP($B59,Reporting!$U:$AC,MATCH($A$46,Reporting!$V$4:$AC$4,0)+1,FALSE)</f>
        <v>0</v>
      </c>
      <c r="B59" s="148" t="s">
        <v>395</v>
      </c>
      <c r="C59" s="99">
        <v>0.19</v>
      </c>
      <c r="D59" s="6">
        <v>0.61</v>
      </c>
      <c r="E59" s="7">
        <f t="shared" si="47"/>
        <v>0.1159</v>
      </c>
      <c r="F59" s="7">
        <f t="shared" si="43"/>
        <v>0</v>
      </c>
      <c r="G59" s="8">
        <f t="shared" si="48"/>
        <v>0</v>
      </c>
      <c r="H59" s="9">
        <f t="shared" si="44"/>
        <v>0.19</v>
      </c>
      <c r="I59" s="10">
        <v>0.61</v>
      </c>
      <c r="J59" s="10">
        <f t="shared" si="49"/>
        <v>0.1159</v>
      </c>
      <c r="K59" s="10">
        <f t="shared" si="45"/>
        <v>0</v>
      </c>
      <c r="L59" s="11">
        <f t="shared" si="50"/>
        <v>0</v>
      </c>
      <c r="M59" s="12">
        <f t="shared" si="51"/>
        <v>0.19</v>
      </c>
      <c r="N59" s="13">
        <v>0.55000000000000004</v>
      </c>
      <c r="O59" s="13">
        <f t="shared" si="52"/>
        <v>0.10450000000000001</v>
      </c>
      <c r="P59" s="13">
        <f t="shared" si="46"/>
        <v>0</v>
      </c>
      <c r="Q59" s="14">
        <f t="shared" si="53"/>
        <v>0</v>
      </c>
    </row>
    <row r="60" spans="1:17" ht="15" thickBot="1" x14ac:dyDescent="0.35">
      <c r="A60" s="21">
        <f>ROUNDUP(SUM(A48:A59),0)</f>
        <v>31</v>
      </c>
      <c r="B60" s="269"/>
      <c r="C60" s="22"/>
      <c r="D60" s="644" t="s">
        <v>9</v>
      </c>
      <c r="E60" s="645"/>
      <c r="F60" s="645"/>
      <c r="G60" s="16">
        <f>SUM(G48:G59)</f>
        <v>0.21731249999999996</v>
      </c>
      <c r="H60" s="1"/>
      <c r="I60" s="646" t="s">
        <v>10</v>
      </c>
      <c r="J60" s="646"/>
      <c r="K60" s="646"/>
      <c r="L60" s="17">
        <f>SUM(L48:L59)</f>
        <v>0.21731249999999996</v>
      </c>
      <c r="M60" s="15"/>
      <c r="N60" s="647" t="s">
        <v>11</v>
      </c>
      <c r="O60" s="647"/>
      <c r="P60" s="647"/>
      <c r="Q60" s="18">
        <f>SUM(Q48:Q59)</f>
        <v>0.19593750000000004</v>
      </c>
    </row>
    <row r="61" spans="1:17" ht="15" thickBot="1" x14ac:dyDescent="0.35"/>
    <row r="62" spans="1:17" ht="15" customHeight="1" x14ac:dyDescent="0.3">
      <c r="A62" s="687" t="s">
        <v>159</v>
      </c>
      <c r="B62" s="687"/>
      <c r="C62" s="687"/>
      <c r="D62" s="687"/>
      <c r="E62" s="687"/>
      <c r="F62" s="152"/>
      <c r="G62" s="152"/>
      <c r="H62" s="700" t="s">
        <v>89</v>
      </c>
      <c r="I62" s="700"/>
      <c r="J62" s="700"/>
      <c r="K62" s="700"/>
      <c r="L62" s="23"/>
      <c r="M62" s="23"/>
      <c r="N62" s="23"/>
      <c r="O62" s="23"/>
      <c r="P62" s="23"/>
      <c r="Q62" s="24"/>
    </row>
    <row r="63" spans="1:17" ht="15" customHeight="1" x14ac:dyDescent="0.3">
      <c r="A63" s="688"/>
      <c r="B63" s="688"/>
      <c r="C63" s="688"/>
      <c r="D63" s="688"/>
      <c r="E63" s="688"/>
      <c r="F63" s="153"/>
      <c r="G63" s="153"/>
      <c r="H63" s="701"/>
      <c r="I63" s="701"/>
      <c r="J63" s="701"/>
      <c r="K63" s="701"/>
      <c r="L63" s="42"/>
      <c r="M63" s="42"/>
      <c r="N63" s="42"/>
      <c r="O63" s="42"/>
      <c r="P63" s="42"/>
      <c r="Q63" s="43"/>
    </row>
    <row r="64" spans="1:17" ht="15" customHeight="1" x14ac:dyDescent="0.3">
      <c r="A64" s="250">
        <f>VLOOKUP($B64,Reporting!$U:$AC,MATCH($A$62,Reporting!$V$4:$AC$4,0)+1,FALSE)</f>
        <v>0</v>
      </c>
      <c r="B64" s="263" t="s">
        <v>371</v>
      </c>
      <c r="C64" s="98">
        <v>0.05</v>
      </c>
      <c r="D64" s="6">
        <v>0.61</v>
      </c>
      <c r="E64" s="7">
        <f t="shared" ref="E64:E72" si="54">C64*D64</f>
        <v>3.0499999999999999E-2</v>
      </c>
      <c r="F64" s="7">
        <f>A64*E64</f>
        <v>0</v>
      </c>
      <c r="G64" s="8">
        <f t="shared" ref="G64:G72" si="55">F64/8</f>
        <v>0</v>
      </c>
      <c r="H64" s="9">
        <f>C64</f>
        <v>0.05</v>
      </c>
      <c r="I64" s="10">
        <v>0.61</v>
      </c>
      <c r="J64" s="10">
        <f t="shared" ref="J64:J72" si="56">H64*I64</f>
        <v>3.0499999999999999E-2</v>
      </c>
      <c r="K64" s="10">
        <f>A64*J64</f>
        <v>0</v>
      </c>
      <c r="L64" s="11">
        <f t="shared" ref="L64:L72" si="57">K64/8</f>
        <v>0</v>
      </c>
      <c r="M64" s="12">
        <f t="shared" ref="M64:M72" si="58">H64</f>
        <v>0.05</v>
      </c>
      <c r="N64" s="13">
        <v>0.55000000000000004</v>
      </c>
      <c r="O64" s="13">
        <f t="shared" ref="O64:O72" si="59">M64*N64</f>
        <v>2.7500000000000004E-2</v>
      </c>
      <c r="P64" s="13">
        <f>A64*O64</f>
        <v>0</v>
      </c>
      <c r="Q64" s="14">
        <f t="shared" ref="Q64:Q72" si="60">P64/8</f>
        <v>0</v>
      </c>
    </row>
    <row r="65" spans="1:17" ht="15" customHeight="1" x14ac:dyDescent="0.3">
      <c r="A65" s="250">
        <f>VLOOKUP($B65,Reporting!$U:$AC,MATCH($A$62,Reporting!$V$4:$AC$4,0)+1,FALSE)</f>
        <v>0</v>
      </c>
      <c r="B65" s="263" t="s">
        <v>372</v>
      </c>
      <c r="C65" s="98">
        <v>7.0000000000000007E-2</v>
      </c>
      <c r="D65" s="6">
        <v>0.61</v>
      </c>
      <c r="E65" s="7">
        <f t="shared" si="54"/>
        <v>4.2700000000000002E-2</v>
      </c>
      <c r="F65" s="7">
        <f t="shared" ref="F65:F72" si="61">A65*E65</f>
        <v>0</v>
      </c>
      <c r="G65" s="8">
        <f t="shared" si="55"/>
        <v>0</v>
      </c>
      <c r="H65" s="9">
        <f t="shared" ref="H65:H72" si="62">C65</f>
        <v>7.0000000000000007E-2</v>
      </c>
      <c r="I65" s="10">
        <v>0.61</v>
      </c>
      <c r="J65" s="10">
        <f t="shared" si="56"/>
        <v>4.2700000000000002E-2</v>
      </c>
      <c r="K65" s="10">
        <f t="shared" ref="K65:K72" si="63">A65*J65</f>
        <v>0</v>
      </c>
      <c r="L65" s="11">
        <f t="shared" si="57"/>
        <v>0</v>
      </c>
      <c r="M65" s="12">
        <f t="shared" si="58"/>
        <v>7.0000000000000007E-2</v>
      </c>
      <c r="N65" s="13">
        <v>0.55000000000000004</v>
      </c>
      <c r="O65" s="13">
        <f t="shared" si="59"/>
        <v>3.8500000000000006E-2</v>
      </c>
      <c r="P65" s="13">
        <f t="shared" ref="P65:P72" si="64">A65*O65</f>
        <v>0</v>
      </c>
      <c r="Q65" s="14">
        <f t="shared" si="60"/>
        <v>0</v>
      </c>
    </row>
    <row r="66" spans="1:17" ht="15" customHeight="1" x14ac:dyDescent="0.3">
      <c r="A66" s="250">
        <f>VLOOKUP($B66,Reporting!$U:$AC,MATCH($A$62,Reporting!$V$4:$AC$4,0)+1,FALSE)</f>
        <v>0</v>
      </c>
      <c r="B66" s="20" t="s">
        <v>389</v>
      </c>
      <c r="C66" s="98">
        <v>0.08</v>
      </c>
      <c r="D66" s="6">
        <v>0.61</v>
      </c>
      <c r="E66" s="7">
        <f t="shared" si="54"/>
        <v>4.8800000000000003E-2</v>
      </c>
      <c r="F66" s="7">
        <f t="shared" si="61"/>
        <v>0</v>
      </c>
      <c r="G66" s="8">
        <f t="shared" si="55"/>
        <v>0</v>
      </c>
      <c r="H66" s="9">
        <f t="shared" si="62"/>
        <v>0.08</v>
      </c>
      <c r="I66" s="10">
        <v>0.61</v>
      </c>
      <c r="J66" s="10">
        <f t="shared" si="56"/>
        <v>4.8800000000000003E-2</v>
      </c>
      <c r="K66" s="10">
        <f t="shared" si="63"/>
        <v>0</v>
      </c>
      <c r="L66" s="11">
        <f t="shared" si="57"/>
        <v>0</v>
      </c>
      <c r="M66" s="12">
        <f t="shared" si="58"/>
        <v>0.08</v>
      </c>
      <c r="N66" s="13">
        <v>0.55000000000000004</v>
      </c>
      <c r="O66" s="13">
        <f t="shared" si="59"/>
        <v>4.4000000000000004E-2</v>
      </c>
      <c r="P66" s="13">
        <f t="shared" si="64"/>
        <v>0</v>
      </c>
      <c r="Q66" s="14">
        <f t="shared" si="60"/>
        <v>0</v>
      </c>
    </row>
    <row r="67" spans="1:17" ht="15" customHeight="1" x14ac:dyDescent="0.3">
      <c r="A67" s="250">
        <f>VLOOKUP($B67,Reporting!$U:$AC,MATCH($A$62,Reporting!$V$4:$AC$4,0)+1,FALSE)</f>
        <v>0</v>
      </c>
      <c r="B67" s="263" t="s">
        <v>373</v>
      </c>
      <c r="C67" s="98">
        <v>0.09</v>
      </c>
      <c r="D67" s="6">
        <v>0.61</v>
      </c>
      <c r="E67" s="7">
        <f t="shared" si="54"/>
        <v>5.4899999999999997E-2</v>
      </c>
      <c r="F67" s="7">
        <f t="shared" si="61"/>
        <v>0</v>
      </c>
      <c r="G67" s="8">
        <f t="shared" si="55"/>
        <v>0</v>
      </c>
      <c r="H67" s="9">
        <f t="shared" si="62"/>
        <v>0.09</v>
      </c>
      <c r="I67" s="10">
        <v>0.61</v>
      </c>
      <c r="J67" s="10">
        <f t="shared" si="56"/>
        <v>5.4899999999999997E-2</v>
      </c>
      <c r="K67" s="10">
        <f t="shared" si="63"/>
        <v>0</v>
      </c>
      <c r="L67" s="11">
        <f t="shared" si="57"/>
        <v>0</v>
      </c>
      <c r="M67" s="12">
        <f t="shared" si="58"/>
        <v>0.09</v>
      </c>
      <c r="N67" s="13">
        <v>0.55000000000000004</v>
      </c>
      <c r="O67" s="13">
        <f t="shared" si="59"/>
        <v>4.9500000000000002E-2</v>
      </c>
      <c r="P67" s="13">
        <f t="shared" si="64"/>
        <v>0</v>
      </c>
      <c r="Q67" s="14">
        <f t="shared" si="60"/>
        <v>0</v>
      </c>
    </row>
    <row r="68" spans="1:17" ht="15" customHeight="1" x14ac:dyDescent="0.3">
      <c r="A68" s="250">
        <f>VLOOKUP($B68,Reporting!$U:$AC,MATCH($A$62,Reporting!$V$4:$AC$4,0)+1,FALSE)</f>
        <v>0</v>
      </c>
      <c r="B68" s="263" t="s">
        <v>374</v>
      </c>
      <c r="C68" s="110">
        <v>0.1</v>
      </c>
      <c r="D68" s="6">
        <v>0.61</v>
      </c>
      <c r="E68" s="7">
        <f t="shared" si="54"/>
        <v>6.0999999999999999E-2</v>
      </c>
      <c r="F68" s="7">
        <f t="shared" si="61"/>
        <v>0</v>
      </c>
      <c r="G68" s="8">
        <f t="shared" si="55"/>
        <v>0</v>
      </c>
      <c r="H68" s="9">
        <f t="shared" si="62"/>
        <v>0.1</v>
      </c>
      <c r="I68" s="10">
        <v>0.61</v>
      </c>
      <c r="J68" s="10">
        <f t="shared" si="56"/>
        <v>6.0999999999999999E-2</v>
      </c>
      <c r="K68" s="10">
        <f t="shared" si="63"/>
        <v>0</v>
      </c>
      <c r="L68" s="11">
        <f t="shared" si="57"/>
        <v>0</v>
      </c>
      <c r="M68" s="12">
        <f t="shared" si="58"/>
        <v>0.1</v>
      </c>
      <c r="N68" s="13">
        <v>0.55000000000000004</v>
      </c>
      <c r="O68" s="13">
        <f t="shared" si="59"/>
        <v>5.5000000000000007E-2</v>
      </c>
      <c r="P68" s="13">
        <f t="shared" si="64"/>
        <v>0</v>
      </c>
      <c r="Q68" s="14">
        <f t="shared" si="60"/>
        <v>0</v>
      </c>
    </row>
    <row r="69" spans="1:17" ht="15.75" customHeight="1" x14ac:dyDescent="0.3">
      <c r="A69" s="250">
        <f>VLOOKUP($B69,Reporting!$U:$AC,MATCH($A$62,Reporting!$V$4:$AC$4,0)+1,FALSE)</f>
        <v>0</v>
      </c>
      <c r="B69" s="148" t="s">
        <v>390</v>
      </c>
      <c r="C69" s="99">
        <v>0.11</v>
      </c>
      <c r="D69" s="6">
        <v>0.61</v>
      </c>
      <c r="E69" s="7">
        <f t="shared" si="54"/>
        <v>6.7099999999999993E-2</v>
      </c>
      <c r="F69" s="7">
        <f t="shared" si="61"/>
        <v>0</v>
      </c>
      <c r="G69" s="8">
        <f t="shared" si="55"/>
        <v>0</v>
      </c>
      <c r="H69" s="9">
        <f t="shared" si="62"/>
        <v>0.11</v>
      </c>
      <c r="I69" s="10">
        <v>0.61</v>
      </c>
      <c r="J69" s="10">
        <f t="shared" si="56"/>
        <v>6.7099999999999993E-2</v>
      </c>
      <c r="K69" s="10">
        <f t="shared" si="63"/>
        <v>0</v>
      </c>
      <c r="L69" s="11">
        <f t="shared" si="57"/>
        <v>0</v>
      </c>
      <c r="M69" s="12">
        <f t="shared" si="58"/>
        <v>0.11</v>
      </c>
      <c r="N69" s="13">
        <v>0.55000000000000004</v>
      </c>
      <c r="O69" s="13">
        <f t="shared" si="59"/>
        <v>6.0500000000000005E-2</v>
      </c>
      <c r="P69" s="13">
        <f t="shared" si="64"/>
        <v>0</v>
      </c>
      <c r="Q69" s="14">
        <f t="shared" si="60"/>
        <v>0</v>
      </c>
    </row>
    <row r="70" spans="1:17" x14ac:dyDescent="0.3">
      <c r="A70" s="250">
        <f>VLOOKUP($B70,Reporting!$U:$AC,MATCH($A$62,Reporting!$V$4:$AC$4,0)+1,FALSE)</f>
        <v>0</v>
      </c>
      <c r="B70" s="268" t="s">
        <v>376</v>
      </c>
      <c r="C70" s="99">
        <v>0.12</v>
      </c>
      <c r="D70" s="6">
        <v>0.61</v>
      </c>
      <c r="E70" s="7">
        <f t="shared" si="54"/>
        <v>7.3200000000000001E-2</v>
      </c>
      <c r="F70" s="7">
        <f t="shared" si="61"/>
        <v>0</v>
      </c>
      <c r="G70" s="8">
        <f t="shared" si="55"/>
        <v>0</v>
      </c>
      <c r="H70" s="9">
        <f t="shared" si="62"/>
        <v>0.12</v>
      </c>
      <c r="I70" s="10">
        <v>0.61</v>
      </c>
      <c r="J70" s="10">
        <f t="shared" si="56"/>
        <v>7.3200000000000001E-2</v>
      </c>
      <c r="K70" s="10">
        <f t="shared" si="63"/>
        <v>0</v>
      </c>
      <c r="L70" s="11">
        <f t="shared" si="57"/>
        <v>0</v>
      </c>
      <c r="M70" s="12">
        <f t="shared" si="58"/>
        <v>0.12</v>
      </c>
      <c r="N70" s="13">
        <v>0.55000000000000004</v>
      </c>
      <c r="O70" s="13">
        <f t="shared" si="59"/>
        <v>6.6000000000000003E-2</v>
      </c>
      <c r="P70" s="13">
        <f t="shared" si="64"/>
        <v>0</v>
      </c>
      <c r="Q70" s="14">
        <f t="shared" si="60"/>
        <v>0</v>
      </c>
    </row>
    <row r="71" spans="1:17" x14ac:dyDescent="0.3">
      <c r="A71" s="250">
        <f>VLOOKUP($B71,Reporting!$U:$AC,MATCH($A$62,Reporting!$V$4:$AC$4,0)+1,FALSE)</f>
        <v>0</v>
      </c>
      <c r="B71" s="148" t="s">
        <v>391</v>
      </c>
      <c r="C71" s="99">
        <v>0.13</v>
      </c>
      <c r="D71" s="6">
        <v>0.61</v>
      </c>
      <c r="E71" s="7">
        <f t="shared" si="54"/>
        <v>7.9299999999999995E-2</v>
      </c>
      <c r="F71" s="7">
        <f t="shared" si="61"/>
        <v>0</v>
      </c>
      <c r="G71" s="8">
        <f t="shared" si="55"/>
        <v>0</v>
      </c>
      <c r="H71" s="9">
        <f t="shared" si="62"/>
        <v>0.13</v>
      </c>
      <c r="I71" s="10">
        <v>0.61</v>
      </c>
      <c r="J71" s="10">
        <f t="shared" si="56"/>
        <v>7.9299999999999995E-2</v>
      </c>
      <c r="K71" s="10">
        <f t="shared" si="63"/>
        <v>0</v>
      </c>
      <c r="L71" s="11">
        <f t="shared" si="57"/>
        <v>0</v>
      </c>
      <c r="M71" s="12">
        <f t="shared" si="58"/>
        <v>0.13</v>
      </c>
      <c r="N71" s="13">
        <v>0.55000000000000004</v>
      </c>
      <c r="O71" s="13">
        <f t="shared" si="59"/>
        <v>7.1500000000000008E-2</v>
      </c>
      <c r="P71" s="13">
        <f t="shared" si="64"/>
        <v>0</v>
      </c>
      <c r="Q71" s="14">
        <f t="shared" si="60"/>
        <v>0</v>
      </c>
    </row>
    <row r="72" spans="1:17" x14ac:dyDescent="0.3">
      <c r="A72" s="250">
        <f>VLOOKUP($B72,Reporting!$U:$AC,MATCH($A$62,Reporting!$V$4:$AC$4,0)+1,FALSE)</f>
        <v>0</v>
      </c>
      <c r="B72" s="148" t="s">
        <v>392</v>
      </c>
      <c r="C72" s="99">
        <v>0.16</v>
      </c>
      <c r="D72" s="6">
        <v>0.61</v>
      </c>
      <c r="E72" s="7">
        <f t="shared" si="54"/>
        <v>9.7600000000000006E-2</v>
      </c>
      <c r="F72" s="7">
        <f t="shared" si="61"/>
        <v>0</v>
      </c>
      <c r="G72" s="8">
        <f t="shared" si="55"/>
        <v>0</v>
      </c>
      <c r="H72" s="9">
        <f t="shared" si="62"/>
        <v>0.16</v>
      </c>
      <c r="I72" s="10">
        <v>0.61</v>
      </c>
      <c r="J72" s="10">
        <f t="shared" si="56"/>
        <v>9.7600000000000006E-2</v>
      </c>
      <c r="K72" s="10">
        <f t="shared" si="63"/>
        <v>0</v>
      </c>
      <c r="L72" s="11">
        <f t="shared" si="57"/>
        <v>0</v>
      </c>
      <c r="M72" s="12">
        <f t="shared" si="58"/>
        <v>0.16</v>
      </c>
      <c r="N72" s="13">
        <v>0.55000000000000004</v>
      </c>
      <c r="O72" s="13">
        <f t="shared" si="59"/>
        <v>8.8000000000000009E-2</v>
      </c>
      <c r="P72" s="13">
        <f t="shared" si="64"/>
        <v>0</v>
      </c>
      <c r="Q72" s="14">
        <f t="shared" si="60"/>
        <v>0</v>
      </c>
    </row>
    <row r="73" spans="1:17" ht="15" thickBot="1" x14ac:dyDescent="0.35">
      <c r="A73" s="21">
        <f>ROUNDUP(SUM(A64:A72),0)</f>
        <v>0</v>
      </c>
      <c r="B73" s="269"/>
      <c r="C73" s="22"/>
      <c r="D73" s="644" t="s">
        <v>9</v>
      </c>
      <c r="E73" s="645"/>
      <c r="F73" s="645"/>
      <c r="G73" s="16">
        <f>SUM(G64:G72)</f>
        <v>0</v>
      </c>
      <c r="H73" s="1"/>
      <c r="I73" s="646" t="s">
        <v>10</v>
      </c>
      <c r="J73" s="646"/>
      <c r="K73" s="646"/>
      <c r="L73" s="17">
        <f>SUM(L64:L72)</f>
        <v>0</v>
      </c>
      <c r="M73" s="15"/>
      <c r="N73" s="647" t="s">
        <v>11</v>
      </c>
      <c r="O73" s="647"/>
      <c r="P73" s="647"/>
      <c r="Q73" s="18">
        <f>SUM(Q64:Q72)</f>
        <v>0</v>
      </c>
    </row>
    <row r="74" spans="1:17" ht="15" thickBot="1" x14ac:dyDescent="0.35"/>
    <row r="75" spans="1:17" ht="15" customHeight="1" x14ac:dyDescent="0.3">
      <c r="A75" s="642" t="s">
        <v>16</v>
      </c>
      <c r="B75" s="642"/>
      <c r="C75" s="642"/>
      <c r="D75" s="710" t="s">
        <v>90</v>
      </c>
      <c r="E75" s="710"/>
      <c r="F75" s="710"/>
      <c r="G75" s="710"/>
      <c r="H75" s="25"/>
      <c r="I75" s="25"/>
      <c r="J75" s="25"/>
      <c r="K75" s="25"/>
      <c r="L75" s="25"/>
      <c r="M75" s="25"/>
      <c r="N75" s="25"/>
      <c r="O75" s="25"/>
      <c r="P75" s="25"/>
      <c r="Q75" s="26"/>
    </row>
    <row r="76" spans="1:17" ht="15" customHeight="1" x14ac:dyDescent="0.3">
      <c r="A76" s="643"/>
      <c r="B76" s="643"/>
      <c r="C76" s="643"/>
      <c r="D76" s="711"/>
      <c r="E76" s="711"/>
      <c r="F76" s="711"/>
      <c r="G76" s="711"/>
      <c r="H76" s="54"/>
      <c r="I76" s="54"/>
      <c r="J76" s="54"/>
      <c r="K76" s="54"/>
      <c r="L76" s="54"/>
      <c r="M76" s="54"/>
      <c r="N76" s="54"/>
      <c r="O76" s="54"/>
      <c r="P76" s="54"/>
      <c r="Q76" s="55"/>
    </row>
    <row r="77" spans="1:17" ht="15" customHeight="1" x14ac:dyDescent="0.3">
      <c r="A77" s="250">
        <f>VLOOKUP($B77,Reporting!$U:$AC,MATCH($A$75,Reporting!$V$4:$AC$4,0)+1,FALSE)</f>
        <v>0</v>
      </c>
      <c r="B77" s="264" t="s">
        <v>374</v>
      </c>
      <c r="C77" s="100">
        <v>0.1</v>
      </c>
      <c r="D77" s="6">
        <v>0.61</v>
      </c>
      <c r="E77" s="7">
        <f t="shared" ref="E77:E86" si="65">C77*D77</f>
        <v>6.0999999999999999E-2</v>
      </c>
      <c r="F77" s="7">
        <f>A77*E77</f>
        <v>0</v>
      </c>
      <c r="G77" s="8">
        <f t="shared" ref="G77:G86" si="66">F77/8</f>
        <v>0</v>
      </c>
      <c r="H77" s="9">
        <f>C77</f>
        <v>0.1</v>
      </c>
      <c r="I77" s="10">
        <v>0.61</v>
      </c>
      <c r="J77" s="10">
        <f t="shared" ref="J77:J86" si="67">H77*I77</f>
        <v>6.0999999999999999E-2</v>
      </c>
      <c r="K77" s="10">
        <f>A77*J77</f>
        <v>0</v>
      </c>
      <c r="L77" s="11">
        <f t="shared" ref="L77:L86" si="68">K77/8</f>
        <v>0</v>
      </c>
      <c r="M77" s="12">
        <f t="shared" ref="M77:M86" si="69">H77</f>
        <v>0.1</v>
      </c>
      <c r="N77" s="13">
        <v>0.55000000000000004</v>
      </c>
      <c r="O77" s="13">
        <f t="shared" ref="O77:O86" si="70">M77*N77</f>
        <v>5.5000000000000007E-2</v>
      </c>
      <c r="P77" s="13">
        <f>A77*O77</f>
        <v>0</v>
      </c>
      <c r="Q77" s="14">
        <f t="shared" ref="Q77:Q86" si="71">P77/8</f>
        <v>0</v>
      </c>
    </row>
    <row r="78" spans="1:17" ht="15" customHeight="1" x14ac:dyDescent="0.3">
      <c r="A78" s="250">
        <f>VLOOKUP($B78,Reporting!$U:$AC,MATCH($A$75,Reporting!$V$4:$AC$4,0)+1,FALSE)</f>
        <v>0</v>
      </c>
      <c r="B78" s="51" t="s">
        <v>390</v>
      </c>
      <c r="C78" s="111">
        <v>0.11</v>
      </c>
      <c r="D78" s="6">
        <v>0.61</v>
      </c>
      <c r="E78" s="7">
        <f t="shared" si="65"/>
        <v>6.7099999999999993E-2</v>
      </c>
      <c r="F78" s="7">
        <f t="shared" ref="F78:F86" si="72">A78*E78</f>
        <v>0</v>
      </c>
      <c r="G78" s="8">
        <f t="shared" si="66"/>
        <v>0</v>
      </c>
      <c r="H78" s="9">
        <f t="shared" ref="H78:H86" si="73">C78</f>
        <v>0.11</v>
      </c>
      <c r="I78" s="10">
        <v>0.61</v>
      </c>
      <c r="J78" s="10">
        <f t="shared" si="67"/>
        <v>6.7099999999999993E-2</v>
      </c>
      <c r="K78" s="10">
        <f t="shared" ref="K78:K86" si="74">A78*J78</f>
        <v>0</v>
      </c>
      <c r="L78" s="11">
        <f t="shared" si="68"/>
        <v>0</v>
      </c>
      <c r="M78" s="12">
        <f t="shared" si="69"/>
        <v>0.11</v>
      </c>
      <c r="N78" s="13">
        <v>0.55000000000000004</v>
      </c>
      <c r="O78" s="13">
        <f t="shared" si="70"/>
        <v>6.0500000000000005E-2</v>
      </c>
      <c r="P78" s="13">
        <f t="shared" ref="P78:P86" si="75">A78*O78</f>
        <v>0</v>
      </c>
      <c r="Q78" s="14">
        <f t="shared" si="71"/>
        <v>0</v>
      </c>
    </row>
    <row r="79" spans="1:17" ht="15" customHeight="1" x14ac:dyDescent="0.3">
      <c r="A79" s="250">
        <f>VLOOKUP($B79,Reporting!$U:$AC,MATCH($A$75,Reporting!$V$4:$AC$4,0)+1,FALSE)</f>
        <v>0</v>
      </c>
      <c r="B79" s="51" t="s">
        <v>391</v>
      </c>
      <c r="C79" s="111">
        <v>0.13</v>
      </c>
      <c r="D79" s="6">
        <v>0.61</v>
      </c>
      <c r="E79" s="7">
        <f t="shared" si="65"/>
        <v>7.9299999999999995E-2</v>
      </c>
      <c r="F79" s="7">
        <f t="shared" si="72"/>
        <v>0</v>
      </c>
      <c r="G79" s="8">
        <f t="shared" si="66"/>
        <v>0</v>
      </c>
      <c r="H79" s="9">
        <f t="shared" si="73"/>
        <v>0.13</v>
      </c>
      <c r="I79" s="10">
        <v>0.61</v>
      </c>
      <c r="J79" s="10">
        <f t="shared" si="67"/>
        <v>7.9299999999999995E-2</v>
      </c>
      <c r="K79" s="10">
        <f t="shared" si="74"/>
        <v>0</v>
      </c>
      <c r="L79" s="11">
        <f t="shared" si="68"/>
        <v>0</v>
      </c>
      <c r="M79" s="12">
        <f t="shared" si="69"/>
        <v>0.13</v>
      </c>
      <c r="N79" s="13">
        <v>0.55000000000000004</v>
      </c>
      <c r="O79" s="13">
        <f t="shared" si="70"/>
        <v>7.1500000000000008E-2</v>
      </c>
      <c r="P79" s="13">
        <f t="shared" si="75"/>
        <v>0</v>
      </c>
      <c r="Q79" s="14">
        <f t="shared" si="71"/>
        <v>0</v>
      </c>
    </row>
    <row r="80" spans="1:17" ht="15" customHeight="1" x14ac:dyDescent="0.3">
      <c r="A80" s="250">
        <f>VLOOKUP($B80,Reporting!$U:$AC,MATCH($A$75,Reporting!$V$4:$AC$4,0)+1,FALSE)</f>
        <v>0</v>
      </c>
      <c r="B80" s="51" t="s">
        <v>392</v>
      </c>
      <c r="C80" s="111">
        <v>0.16</v>
      </c>
      <c r="D80" s="6">
        <v>0.61</v>
      </c>
      <c r="E80" s="7">
        <f t="shared" si="65"/>
        <v>9.7600000000000006E-2</v>
      </c>
      <c r="F80" s="7">
        <f t="shared" si="72"/>
        <v>0</v>
      </c>
      <c r="G80" s="8">
        <f t="shared" si="66"/>
        <v>0</v>
      </c>
      <c r="H80" s="9">
        <f t="shared" si="73"/>
        <v>0.16</v>
      </c>
      <c r="I80" s="10">
        <v>0.61</v>
      </c>
      <c r="J80" s="10">
        <f t="shared" si="67"/>
        <v>9.7600000000000006E-2</v>
      </c>
      <c r="K80" s="10">
        <f t="shared" si="74"/>
        <v>0</v>
      </c>
      <c r="L80" s="11">
        <f t="shared" si="68"/>
        <v>0</v>
      </c>
      <c r="M80" s="12">
        <f t="shared" si="69"/>
        <v>0.16</v>
      </c>
      <c r="N80" s="13">
        <v>0.55000000000000004</v>
      </c>
      <c r="O80" s="13">
        <f t="shared" si="70"/>
        <v>8.8000000000000009E-2</v>
      </c>
      <c r="P80" s="13">
        <f t="shared" si="75"/>
        <v>0</v>
      </c>
      <c r="Q80" s="14">
        <f t="shared" si="71"/>
        <v>0</v>
      </c>
    </row>
    <row r="81" spans="1:25" ht="15.75" customHeight="1" x14ac:dyDescent="0.3">
      <c r="A81" s="250">
        <f>VLOOKUP($B81,Reporting!$U:$AC,MATCH($A$75,Reporting!$V$4:$AC$4,0)+1,FALSE)</f>
        <v>0</v>
      </c>
      <c r="B81" s="270" t="s">
        <v>393</v>
      </c>
      <c r="C81" s="101">
        <v>0.17</v>
      </c>
      <c r="D81" s="6">
        <v>0.61</v>
      </c>
      <c r="E81" s="7">
        <f t="shared" si="65"/>
        <v>0.1037</v>
      </c>
      <c r="F81" s="7">
        <f t="shared" si="72"/>
        <v>0</v>
      </c>
      <c r="G81" s="8">
        <f t="shared" si="66"/>
        <v>0</v>
      </c>
      <c r="H81" s="9">
        <f t="shared" si="73"/>
        <v>0.17</v>
      </c>
      <c r="I81" s="10">
        <v>0.61</v>
      </c>
      <c r="J81" s="10">
        <f t="shared" si="67"/>
        <v>0.1037</v>
      </c>
      <c r="K81" s="10">
        <f t="shared" si="74"/>
        <v>0</v>
      </c>
      <c r="L81" s="11">
        <f t="shared" si="68"/>
        <v>0</v>
      </c>
      <c r="M81" s="12">
        <f t="shared" si="69"/>
        <v>0.17</v>
      </c>
      <c r="N81" s="13">
        <v>0.55000000000000004</v>
      </c>
      <c r="O81" s="13">
        <f t="shared" si="70"/>
        <v>9.3500000000000014E-2</v>
      </c>
      <c r="P81" s="13">
        <f t="shared" si="75"/>
        <v>0</v>
      </c>
      <c r="Q81" s="14">
        <f t="shared" si="71"/>
        <v>0</v>
      </c>
    </row>
    <row r="82" spans="1:25" x14ac:dyDescent="0.3">
      <c r="A82" s="250">
        <f>VLOOKUP($B82,Reporting!$U:$AC,MATCH($A$75,Reporting!$V$4:$AC$4,0)+1,FALSE)</f>
        <v>0</v>
      </c>
      <c r="B82" s="270" t="s">
        <v>394</v>
      </c>
      <c r="C82" s="101">
        <v>0.18</v>
      </c>
      <c r="D82" s="6">
        <v>0.61</v>
      </c>
      <c r="E82" s="7">
        <f t="shared" si="65"/>
        <v>0.10979999999999999</v>
      </c>
      <c r="F82" s="7">
        <f t="shared" si="72"/>
        <v>0</v>
      </c>
      <c r="G82" s="8">
        <f t="shared" si="66"/>
        <v>0</v>
      </c>
      <c r="H82" s="9">
        <f t="shared" si="73"/>
        <v>0.18</v>
      </c>
      <c r="I82" s="10">
        <v>0.61</v>
      </c>
      <c r="J82" s="10">
        <f t="shared" si="67"/>
        <v>0.10979999999999999</v>
      </c>
      <c r="K82" s="10">
        <f t="shared" si="74"/>
        <v>0</v>
      </c>
      <c r="L82" s="11">
        <f t="shared" si="68"/>
        <v>0</v>
      </c>
      <c r="M82" s="12">
        <f t="shared" si="69"/>
        <v>0.18</v>
      </c>
      <c r="N82" s="13">
        <v>0.55000000000000004</v>
      </c>
      <c r="O82" s="13">
        <f t="shared" si="70"/>
        <v>9.9000000000000005E-2</v>
      </c>
      <c r="P82" s="13">
        <f t="shared" si="75"/>
        <v>0</v>
      </c>
      <c r="Q82" s="14">
        <f t="shared" si="71"/>
        <v>0</v>
      </c>
    </row>
    <row r="83" spans="1:25" x14ac:dyDescent="0.3">
      <c r="A83" s="250">
        <f>VLOOKUP($B83,Reporting!$U:$AC,MATCH($A$75,Reporting!$V$4:$AC$4,0)+1,FALSE)</f>
        <v>0</v>
      </c>
      <c r="B83" s="270" t="s">
        <v>395</v>
      </c>
      <c r="C83" s="101">
        <v>0.19</v>
      </c>
      <c r="D83" s="6">
        <v>0.61</v>
      </c>
      <c r="E83" s="7">
        <f t="shared" si="65"/>
        <v>0.1159</v>
      </c>
      <c r="F83" s="7">
        <f t="shared" si="72"/>
        <v>0</v>
      </c>
      <c r="G83" s="8">
        <f t="shared" si="66"/>
        <v>0</v>
      </c>
      <c r="H83" s="9">
        <f t="shared" si="73"/>
        <v>0.19</v>
      </c>
      <c r="I83" s="10">
        <v>0.61</v>
      </c>
      <c r="J83" s="10">
        <f t="shared" si="67"/>
        <v>0.1159</v>
      </c>
      <c r="K83" s="10">
        <f t="shared" si="74"/>
        <v>0</v>
      </c>
      <c r="L83" s="11">
        <f t="shared" si="68"/>
        <v>0</v>
      </c>
      <c r="M83" s="12">
        <f t="shared" si="69"/>
        <v>0.19</v>
      </c>
      <c r="N83" s="13">
        <v>0.55000000000000004</v>
      </c>
      <c r="O83" s="13">
        <f t="shared" si="70"/>
        <v>0.10450000000000001</v>
      </c>
      <c r="P83" s="13">
        <f t="shared" si="75"/>
        <v>0</v>
      </c>
      <c r="Q83" s="14">
        <f t="shared" si="71"/>
        <v>0</v>
      </c>
    </row>
    <row r="84" spans="1:25" x14ac:dyDescent="0.3">
      <c r="A84" s="250">
        <f>VLOOKUP($B84,Reporting!$U:$AC,MATCH($A$75,Reporting!$V$4:$AC$4,0)+1,FALSE)</f>
        <v>0</v>
      </c>
      <c r="B84" s="270" t="s">
        <v>396</v>
      </c>
      <c r="C84" s="101">
        <v>0.19</v>
      </c>
      <c r="D84" s="6">
        <v>0.61</v>
      </c>
      <c r="E84" s="7">
        <f t="shared" si="65"/>
        <v>0.1159</v>
      </c>
      <c r="F84" s="7">
        <f t="shared" si="72"/>
        <v>0</v>
      </c>
      <c r="G84" s="8">
        <f t="shared" si="66"/>
        <v>0</v>
      </c>
      <c r="H84" s="9">
        <f t="shared" si="73"/>
        <v>0.19</v>
      </c>
      <c r="I84" s="10">
        <v>0.61</v>
      </c>
      <c r="J84" s="10">
        <f t="shared" si="67"/>
        <v>0.1159</v>
      </c>
      <c r="K84" s="10">
        <f t="shared" si="74"/>
        <v>0</v>
      </c>
      <c r="L84" s="11">
        <f t="shared" si="68"/>
        <v>0</v>
      </c>
      <c r="M84" s="12">
        <f t="shared" si="69"/>
        <v>0.19</v>
      </c>
      <c r="N84" s="13">
        <v>0.55000000000000004</v>
      </c>
      <c r="O84" s="13">
        <f t="shared" si="70"/>
        <v>0.10450000000000001</v>
      </c>
      <c r="P84" s="13">
        <f t="shared" si="75"/>
        <v>0</v>
      </c>
      <c r="Q84" s="14">
        <f t="shared" si="71"/>
        <v>0</v>
      </c>
    </row>
    <row r="85" spans="1:25" x14ac:dyDescent="0.3">
      <c r="A85" s="250">
        <f>VLOOKUP($B85,Reporting!$U:$AC,MATCH($A$75,Reporting!$V$4:$AC$4,0)+1,FALSE)</f>
        <v>0</v>
      </c>
      <c r="B85" s="270" t="s">
        <v>397</v>
      </c>
      <c r="C85" s="101">
        <v>0.21</v>
      </c>
      <c r="D85" s="6">
        <v>0.61</v>
      </c>
      <c r="E85" s="7">
        <f t="shared" si="65"/>
        <v>0.12809999999999999</v>
      </c>
      <c r="F85" s="7">
        <f t="shared" si="72"/>
        <v>0</v>
      </c>
      <c r="G85" s="8">
        <f t="shared" si="66"/>
        <v>0</v>
      </c>
      <c r="H85" s="9">
        <f t="shared" si="73"/>
        <v>0.21</v>
      </c>
      <c r="I85" s="10">
        <v>0.61</v>
      </c>
      <c r="J85" s="10">
        <f t="shared" si="67"/>
        <v>0.12809999999999999</v>
      </c>
      <c r="K85" s="10">
        <f t="shared" si="74"/>
        <v>0</v>
      </c>
      <c r="L85" s="11">
        <f t="shared" si="68"/>
        <v>0</v>
      </c>
      <c r="M85" s="12">
        <f t="shared" si="69"/>
        <v>0.21</v>
      </c>
      <c r="N85" s="13">
        <v>0.55000000000000004</v>
      </c>
      <c r="O85" s="13">
        <f t="shared" si="70"/>
        <v>0.11550000000000001</v>
      </c>
      <c r="P85" s="13">
        <f t="shared" si="75"/>
        <v>0</v>
      </c>
      <c r="Q85" s="14">
        <f t="shared" si="71"/>
        <v>0</v>
      </c>
    </row>
    <row r="86" spans="1:25" x14ac:dyDescent="0.3">
      <c r="A86" s="250">
        <f>VLOOKUP($B86,Reporting!$U:$AC,MATCH($A$75,Reporting!$V$4:$AC$4,0)+1,FALSE)</f>
        <v>0</v>
      </c>
      <c r="B86" s="445" t="s">
        <v>405</v>
      </c>
      <c r="C86" s="101">
        <v>0.23</v>
      </c>
      <c r="D86" s="6">
        <v>0.61</v>
      </c>
      <c r="E86" s="7">
        <f t="shared" si="65"/>
        <v>0.14030000000000001</v>
      </c>
      <c r="F86" s="7">
        <f t="shared" si="72"/>
        <v>0</v>
      </c>
      <c r="G86" s="8">
        <f t="shared" si="66"/>
        <v>0</v>
      </c>
      <c r="H86" s="9">
        <f t="shared" si="73"/>
        <v>0.23</v>
      </c>
      <c r="I86" s="10">
        <v>0.61</v>
      </c>
      <c r="J86" s="10">
        <f t="shared" si="67"/>
        <v>0.14030000000000001</v>
      </c>
      <c r="K86" s="10">
        <f t="shared" si="74"/>
        <v>0</v>
      </c>
      <c r="L86" s="11">
        <f t="shared" si="68"/>
        <v>0</v>
      </c>
      <c r="M86" s="12">
        <f t="shared" si="69"/>
        <v>0.23</v>
      </c>
      <c r="N86" s="13">
        <v>0.55000000000000004</v>
      </c>
      <c r="O86" s="13">
        <f t="shared" si="70"/>
        <v>0.12650000000000003</v>
      </c>
      <c r="P86" s="13">
        <f t="shared" si="75"/>
        <v>0</v>
      </c>
      <c r="Q86" s="14">
        <f t="shared" si="71"/>
        <v>0</v>
      </c>
    </row>
    <row r="87" spans="1:25" ht="15" thickBot="1" x14ac:dyDescent="0.35">
      <c r="A87" s="52">
        <f>ROUNDUP(SUM(A77:A86),0)</f>
        <v>0</v>
      </c>
      <c r="B87" s="271"/>
      <c r="C87" s="53"/>
      <c r="D87" s="644" t="s">
        <v>9</v>
      </c>
      <c r="E87" s="645"/>
      <c r="F87" s="645"/>
      <c r="G87" s="16">
        <f>SUM(G77:G86)</f>
        <v>0</v>
      </c>
      <c r="H87" s="1"/>
      <c r="I87" s="646" t="s">
        <v>10</v>
      </c>
      <c r="J87" s="646"/>
      <c r="K87" s="646"/>
      <c r="L87" s="17">
        <f>SUM(L77:L86)</f>
        <v>0</v>
      </c>
      <c r="M87" s="15"/>
      <c r="N87" s="647" t="s">
        <v>11</v>
      </c>
      <c r="O87" s="647"/>
      <c r="P87" s="647"/>
      <c r="Q87" s="18">
        <f>SUM(Q77:Q86)</f>
        <v>0</v>
      </c>
      <c r="S87" s="598" t="s">
        <v>55</v>
      </c>
      <c r="T87" s="598"/>
      <c r="U87" s="598"/>
      <c r="W87" s="681" t="s">
        <v>55</v>
      </c>
      <c r="X87" s="681"/>
      <c r="Y87" s="681"/>
    </row>
    <row r="88" spans="1:25" ht="15.75" customHeight="1" thickBot="1" x14ac:dyDescent="0.35">
      <c r="S88" s="664">
        <f>Q87+Q100</f>
        <v>0</v>
      </c>
      <c r="T88" s="665"/>
      <c r="U88" s="665"/>
      <c r="W88" s="682">
        <f>L87+L100</f>
        <v>0</v>
      </c>
      <c r="X88" s="683"/>
      <c r="Y88" s="683"/>
    </row>
    <row r="89" spans="1:25" ht="15" customHeight="1" x14ac:dyDescent="0.3">
      <c r="A89" s="654" t="s">
        <v>17</v>
      </c>
      <c r="B89" s="654"/>
      <c r="C89" s="654"/>
      <c r="D89" s="712" t="s">
        <v>91</v>
      </c>
      <c r="E89" s="712"/>
      <c r="F89" s="712"/>
      <c r="G89" s="712"/>
      <c r="H89" s="47"/>
      <c r="I89" s="47"/>
      <c r="J89" s="47"/>
      <c r="K89" s="47"/>
      <c r="L89" s="47"/>
      <c r="M89" s="47"/>
      <c r="N89" s="47"/>
      <c r="O89" s="47"/>
      <c r="P89" s="47"/>
      <c r="Q89" s="48"/>
      <c r="S89" s="665"/>
      <c r="T89" s="665"/>
      <c r="U89" s="665"/>
      <c r="W89" s="683"/>
      <c r="X89" s="683"/>
      <c r="Y89" s="683"/>
    </row>
    <row r="90" spans="1:25" ht="15" customHeight="1" x14ac:dyDescent="0.3">
      <c r="A90" s="655"/>
      <c r="B90" s="655"/>
      <c r="C90" s="655"/>
      <c r="D90" s="713"/>
      <c r="E90" s="713"/>
      <c r="F90" s="713"/>
      <c r="G90" s="713"/>
      <c r="H90" s="49"/>
      <c r="I90" s="49"/>
      <c r="J90" s="49"/>
      <c r="K90" s="49"/>
      <c r="L90" s="49"/>
      <c r="M90" s="49"/>
      <c r="N90" s="49"/>
      <c r="O90" s="49"/>
      <c r="P90" s="49"/>
      <c r="Q90" s="50"/>
      <c r="S90" s="665"/>
      <c r="T90" s="665"/>
      <c r="U90" s="665"/>
      <c r="W90" s="683"/>
      <c r="X90" s="683"/>
      <c r="Y90" s="683"/>
    </row>
    <row r="91" spans="1:25" ht="15" customHeight="1" x14ac:dyDescent="0.3">
      <c r="A91" s="250">
        <f>VLOOKUP($B91,Reporting!$U:$AC,MATCH($A$89,Reporting!$V$4:$AC$4,0)+1,FALSE)</f>
        <v>0</v>
      </c>
      <c r="B91" s="44" t="s">
        <v>390</v>
      </c>
      <c r="C91" s="102">
        <v>0.11</v>
      </c>
      <c r="D91" s="6">
        <v>0.61</v>
      </c>
      <c r="E91" s="7">
        <f t="shared" ref="E91:E99" si="76">C91*D91</f>
        <v>6.7099999999999993E-2</v>
      </c>
      <c r="F91" s="7">
        <f t="shared" ref="F91:F99" si="77">A91*E91</f>
        <v>0</v>
      </c>
      <c r="G91" s="8">
        <f t="shared" ref="G91:G99" si="78">F91/8</f>
        <v>0</v>
      </c>
      <c r="H91" s="9">
        <f t="shared" ref="H91:H99" si="79">C91</f>
        <v>0.11</v>
      </c>
      <c r="I91" s="10">
        <v>0.61</v>
      </c>
      <c r="J91" s="10">
        <f t="shared" ref="J91:J99" si="80">H91*I91</f>
        <v>6.7099999999999993E-2</v>
      </c>
      <c r="K91" s="10">
        <f t="shared" ref="K91:K99" si="81">A91*J91</f>
        <v>0</v>
      </c>
      <c r="L91" s="11">
        <f t="shared" ref="L91:L99" si="82">K91/8</f>
        <v>0</v>
      </c>
      <c r="M91" s="12">
        <f t="shared" ref="M91:M99" si="83">H91</f>
        <v>0.11</v>
      </c>
      <c r="N91" s="13">
        <v>0.55000000000000004</v>
      </c>
      <c r="O91" s="13">
        <f t="shared" ref="O91:O99" si="84">M91*N91</f>
        <v>6.0500000000000005E-2</v>
      </c>
      <c r="P91" s="13">
        <f t="shared" ref="P91:P99" si="85">A91*O91</f>
        <v>0</v>
      </c>
      <c r="Q91" s="14">
        <f t="shared" ref="Q91:Q99" si="86">P91/8</f>
        <v>0</v>
      </c>
    </row>
    <row r="92" spans="1:25" ht="15" customHeight="1" x14ac:dyDescent="0.3">
      <c r="A92" s="250">
        <f>VLOOKUP($B92,Reporting!$U:$AC,MATCH($A$89,Reporting!$V$4:$AC$4,0)+1,FALSE)</f>
        <v>0</v>
      </c>
      <c r="B92" s="44" t="s">
        <v>391</v>
      </c>
      <c r="C92" s="102">
        <v>0.13</v>
      </c>
      <c r="D92" s="6">
        <v>0.61</v>
      </c>
      <c r="E92" s="7">
        <f t="shared" si="76"/>
        <v>7.9299999999999995E-2</v>
      </c>
      <c r="F92" s="7">
        <f t="shared" si="77"/>
        <v>0</v>
      </c>
      <c r="G92" s="8">
        <f t="shared" si="78"/>
        <v>0</v>
      </c>
      <c r="H92" s="9">
        <f t="shared" si="79"/>
        <v>0.13</v>
      </c>
      <c r="I92" s="10">
        <v>0.61</v>
      </c>
      <c r="J92" s="10">
        <f t="shared" si="80"/>
        <v>7.9299999999999995E-2</v>
      </c>
      <c r="K92" s="10">
        <f t="shared" si="81"/>
        <v>0</v>
      </c>
      <c r="L92" s="11">
        <f t="shared" si="82"/>
        <v>0</v>
      </c>
      <c r="M92" s="12">
        <f t="shared" si="83"/>
        <v>0.13</v>
      </c>
      <c r="N92" s="13">
        <v>0.55000000000000004</v>
      </c>
      <c r="O92" s="13">
        <f t="shared" si="84"/>
        <v>7.1500000000000008E-2</v>
      </c>
      <c r="P92" s="13">
        <f t="shared" si="85"/>
        <v>0</v>
      </c>
      <c r="Q92" s="14">
        <f t="shared" si="86"/>
        <v>0</v>
      </c>
    </row>
    <row r="93" spans="1:25" ht="15" customHeight="1" x14ac:dyDescent="0.3">
      <c r="A93" s="250">
        <f>VLOOKUP($B93,Reporting!$U:$AC,MATCH($A$89,Reporting!$V$4:$AC$4,0)+1,FALSE)</f>
        <v>0</v>
      </c>
      <c r="B93" s="44" t="s">
        <v>392</v>
      </c>
      <c r="C93" s="102">
        <v>0.16</v>
      </c>
      <c r="D93" s="6">
        <v>0.61</v>
      </c>
      <c r="E93" s="7">
        <f t="shared" si="76"/>
        <v>9.7600000000000006E-2</v>
      </c>
      <c r="F93" s="7">
        <f t="shared" si="77"/>
        <v>0</v>
      </c>
      <c r="G93" s="8">
        <f t="shared" si="78"/>
        <v>0</v>
      </c>
      <c r="H93" s="9">
        <f t="shared" si="79"/>
        <v>0.16</v>
      </c>
      <c r="I93" s="10">
        <v>0.61</v>
      </c>
      <c r="J93" s="10">
        <f t="shared" si="80"/>
        <v>9.7600000000000006E-2</v>
      </c>
      <c r="K93" s="10">
        <f t="shared" si="81"/>
        <v>0</v>
      </c>
      <c r="L93" s="11">
        <f t="shared" si="82"/>
        <v>0</v>
      </c>
      <c r="M93" s="12">
        <f t="shared" si="83"/>
        <v>0.16</v>
      </c>
      <c r="N93" s="13">
        <v>0.55000000000000004</v>
      </c>
      <c r="O93" s="13">
        <f t="shared" si="84"/>
        <v>8.8000000000000009E-2</v>
      </c>
      <c r="P93" s="13">
        <f t="shared" si="85"/>
        <v>0</v>
      </c>
      <c r="Q93" s="14">
        <f t="shared" si="86"/>
        <v>0</v>
      </c>
    </row>
    <row r="94" spans="1:25" ht="15.75" customHeight="1" x14ac:dyDescent="0.3">
      <c r="A94" s="250">
        <f>VLOOKUP($B94,Reporting!$U:$AC,MATCH($A$89,Reporting!$V$4:$AC$4,0)+1,FALSE)</f>
        <v>0</v>
      </c>
      <c r="B94" s="272" t="s">
        <v>393</v>
      </c>
      <c r="C94" s="103">
        <v>0.17</v>
      </c>
      <c r="D94" s="6">
        <v>0.61</v>
      </c>
      <c r="E94" s="7">
        <f t="shared" si="76"/>
        <v>0.1037</v>
      </c>
      <c r="F94" s="7">
        <f t="shared" si="77"/>
        <v>0</v>
      </c>
      <c r="G94" s="8">
        <f t="shared" si="78"/>
        <v>0</v>
      </c>
      <c r="H94" s="9">
        <f t="shared" si="79"/>
        <v>0.17</v>
      </c>
      <c r="I94" s="10">
        <v>0.61</v>
      </c>
      <c r="J94" s="10">
        <f t="shared" si="80"/>
        <v>0.1037</v>
      </c>
      <c r="K94" s="10">
        <f t="shared" si="81"/>
        <v>0</v>
      </c>
      <c r="L94" s="11">
        <f t="shared" si="82"/>
        <v>0</v>
      </c>
      <c r="M94" s="12">
        <f t="shared" si="83"/>
        <v>0.17</v>
      </c>
      <c r="N94" s="13">
        <v>0.55000000000000004</v>
      </c>
      <c r="O94" s="13">
        <f t="shared" si="84"/>
        <v>9.3500000000000014E-2</v>
      </c>
      <c r="P94" s="13">
        <f t="shared" si="85"/>
        <v>0</v>
      </c>
      <c r="Q94" s="14">
        <f t="shared" si="86"/>
        <v>0</v>
      </c>
    </row>
    <row r="95" spans="1:25" x14ac:dyDescent="0.3">
      <c r="A95" s="250">
        <f>VLOOKUP($B95,Reporting!$U:$AC,MATCH($A$89,Reporting!$V$4:$AC$4,0)+1,FALSE)</f>
        <v>0</v>
      </c>
      <c r="B95" s="272" t="s">
        <v>394</v>
      </c>
      <c r="C95" s="103">
        <v>0.18</v>
      </c>
      <c r="D95" s="6">
        <v>0.61</v>
      </c>
      <c r="E95" s="7">
        <f t="shared" si="76"/>
        <v>0.10979999999999999</v>
      </c>
      <c r="F95" s="7">
        <f t="shared" si="77"/>
        <v>0</v>
      </c>
      <c r="G95" s="8">
        <f t="shared" si="78"/>
        <v>0</v>
      </c>
      <c r="H95" s="9">
        <f t="shared" si="79"/>
        <v>0.18</v>
      </c>
      <c r="I95" s="10">
        <v>0.61</v>
      </c>
      <c r="J95" s="10">
        <f t="shared" si="80"/>
        <v>0.10979999999999999</v>
      </c>
      <c r="K95" s="10">
        <f t="shared" si="81"/>
        <v>0</v>
      </c>
      <c r="L95" s="11">
        <f t="shared" si="82"/>
        <v>0</v>
      </c>
      <c r="M95" s="12">
        <f t="shared" si="83"/>
        <v>0.18</v>
      </c>
      <c r="N95" s="13">
        <v>0.55000000000000004</v>
      </c>
      <c r="O95" s="13">
        <f t="shared" si="84"/>
        <v>9.9000000000000005E-2</v>
      </c>
      <c r="P95" s="13">
        <f t="shared" si="85"/>
        <v>0</v>
      </c>
      <c r="Q95" s="14">
        <f t="shared" si="86"/>
        <v>0</v>
      </c>
    </row>
    <row r="96" spans="1:25" x14ac:dyDescent="0.3">
      <c r="A96" s="250">
        <f>VLOOKUP($B96,Reporting!$U:$AC,MATCH($A$89,Reporting!$V$4:$AC$4,0)+1,FALSE)</f>
        <v>0</v>
      </c>
      <c r="B96" s="272" t="s">
        <v>395</v>
      </c>
      <c r="C96" s="103">
        <v>0.19</v>
      </c>
      <c r="D96" s="6">
        <v>0.61</v>
      </c>
      <c r="E96" s="7">
        <f t="shared" si="76"/>
        <v>0.1159</v>
      </c>
      <c r="F96" s="7">
        <f t="shared" si="77"/>
        <v>0</v>
      </c>
      <c r="G96" s="8">
        <f t="shared" si="78"/>
        <v>0</v>
      </c>
      <c r="H96" s="9">
        <f t="shared" si="79"/>
        <v>0.19</v>
      </c>
      <c r="I96" s="10">
        <v>0.61</v>
      </c>
      <c r="J96" s="10">
        <f t="shared" si="80"/>
        <v>0.1159</v>
      </c>
      <c r="K96" s="10">
        <f t="shared" si="81"/>
        <v>0</v>
      </c>
      <c r="L96" s="11">
        <f t="shared" si="82"/>
        <v>0</v>
      </c>
      <c r="M96" s="12">
        <f t="shared" si="83"/>
        <v>0.19</v>
      </c>
      <c r="N96" s="13">
        <v>0.55000000000000004</v>
      </c>
      <c r="O96" s="13">
        <f t="shared" si="84"/>
        <v>0.10450000000000001</v>
      </c>
      <c r="P96" s="13">
        <f t="shared" si="85"/>
        <v>0</v>
      </c>
      <c r="Q96" s="14">
        <f t="shared" si="86"/>
        <v>0</v>
      </c>
    </row>
    <row r="97" spans="1:17" x14ac:dyDescent="0.3">
      <c r="A97" s="250">
        <f>VLOOKUP($B97,Reporting!$U:$AC,MATCH($A$89,Reporting!$V$4:$AC$4,0)+1,FALSE)</f>
        <v>0</v>
      </c>
      <c r="B97" s="272" t="s">
        <v>396</v>
      </c>
      <c r="C97" s="103">
        <v>0.19</v>
      </c>
      <c r="D97" s="6">
        <v>0.61</v>
      </c>
      <c r="E97" s="7">
        <f t="shared" si="76"/>
        <v>0.1159</v>
      </c>
      <c r="F97" s="7">
        <f t="shared" si="77"/>
        <v>0</v>
      </c>
      <c r="G97" s="8">
        <f t="shared" si="78"/>
        <v>0</v>
      </c>
      <c r="H97" s="9">
        <f t="shared" si="79"/>
        <v>0.19</v>
      </c>
      <c r="I97" s="10">
        <v>0.61</v>
      </c>
      <c r="J97" s="10">
        <f t="shared" si="80"/>
        <v>0.1159</v>
      </c>
      <c r="K97" s="10">
        <f t="shared" si="81"/>
        <v>0</v>
      </c>
      <c r="L97" s="11">
        <f t="shared" si="82"/>
        <v>0</v>
      </c>
      <c r="M97" s="12">
        <f t="shared" si="83"/>
        <v>0.19</v>
      </c>
      <c r="N97" s="13">
        <v>0.55000000000000004</v>
      </c>
      <c r="O97" s="13">
        <f t="shared" si="84"/>
        <v>0.10450000000000001</v>
      </c>
      <c r="P97" s="13">
        <f t="shared" si="85"/>
        <v>0</v>
      </c>
      <c r="Q97" s="14">
        <f t="shared" si="86"/>
        <v>0</v>
      </c>
    </row>
    <row r="98" spans="1:17" x14ac:dyDescent="0.3">
      <c r="A98" s="250">
        <f>VLOOKUP($B98,Reporting!$U:$AC,MATCH($A$89,Reporting!$V$4:$AC$4,0)+1,FALSE)</f>
        <v>0</v>
      </c>
      <c r="B98" s="272" t="s">
        <v>397</v>
      </c>
      <c r="C98" s="103">
        <v>0.21</v>
      </c>
      <c r="D98" s="6">
        <v>0.61</v>
      </c>
      <c r="E98" s="7">
        <f t="shared" si="76"/>
        <v>0.12809999999999999</v>
      </c>
      <c r="F98" s="7">
        <f t="shared" si="77"/>
        <v>0</v>
      </c>
      <c r="G98" s="8">
        <f t="shared" si="78"/>
        <v>0</v>
      </c>
      <c r="H98" s="9">
        <f t="shared" si="79"/>
        <v>0.21</v>
      </c>
      <c r="I98" s="10">
        <v>0.61</v>
      </c>
      <c r="J98" s="10">
        <f t="shared" si="80"/>
        <v>0.12809999999999999</v>
      </c>
      <c r="K98" s="10">
        <f t="shared" si="81"/>
        <v>0</v>
      </c>
      <c r="L98" s="11">
        <f t="shared" si="82"/>
        <v>0</v>
      </c>
      <c r="M98" s="12">
        <f t="shared" si="83"/>
        <v>0.21</v>
      </c>
      <c r="N98" s="13">
        <v>0.55000000000000004</v>
      </c>
      <c r="O98" s="13">
        <f t="shared" si="84"/>
        <v>0.11550000000000001</v>
      </c>
      <c r="P98" s="13">
        <f t="shared" si="85"/>
        <v>0</v>
      </c>
      <c r="Q98" s="14">
        <f t="shared" si="86"/>
        <v>0</v>
      </c>
    </row>
    <row r="99" spans="1:17" x14ac:dyDescent="0.3">
      <c r="A99" s="250">
        <f>VLOOKUP($B99,Reporting!$U:$AC,MATCH($A$89,Reporting!$V$4:$AC$4,0)+1,FALSE)</f>
        <v>0</v>
      </c>
      <c r="B99" s="272" t="s">
        <v>405</v>
      </c>
      <c r="C99" s="103">
        <v>0.23</v>
      </c>
      <c r="D99" s="6">
        <v>0.61</v>
      </c>
      <c r="E99" s="7">
        <f t="shared" si="76"/>
        <v>0.14030000000000001</v>
      </c>
      <c r="F99" s="7">
        <f t="shared" si="77"/>
        <v>0</v>
      </c>
      <c r="G99" s="8">
        <f t="shared" si="78"/>
        <v>0</v>
      </c>
      <c r="H99" s="9">
        <f t="shared" si="79"/>
        <v>0.23</v>
      </c>
      <c r="I99" s="10">
        <v>0.61</v>
      </c>
      <c r="J99" s="10">
        <f t="shared" si="80"/>
        <v>0.14030000000000001</v>
      </c>
      <c r="K99" s="10">
        <f t="shared" si="81"/>
        <v>0</v>
      </c>
      <c r="L99" s="11">
        <f t="shared" si="82"/>
        <v>0</v>
      </c>
      <c r="M99" s="12">
        <f t="shared" si="83"/>
        <v>0.23</v>
      </c>
      <c r="N99" s="13">
        <v>0.55000000000000004</v>
      </c>
      <c r="O99" s="13">
        <f t="shared" si="84"/>
        <v>0.12650000000000003</v>
      </c>
      <c r="P99" s="13">
        <f t="shared" si="85"/>
        <v>0</v>
      </c>
      <c r="Q99" s="14">
        <f t="shared" si="86"/>
        <v>0</v>
      </c>
    </row>
    <row r="100" spans="1:17" ht="15" thickBot="1" x14ac:dyDescent="0.35">
      <c r="A100" s="45">
        <f>ROUNDUP(SUM(A91:A99),0)</f>
        <v>0</v>
      </c>
      <c r="B100" s="273"/>
      <c r="C100" s="46"/>
      <c r="D100" s="644" t="s">
        <v>9</v>
      </c>
      <c r="E100" s="645"/>
      <c r="F100" s="645"/>
      <c r="G100" s="16">
        <f>SUM(G91:G99)</f>
        <v>0</v>
      </c>
      <c r="H100" s="1"/>
      <c r="I100" s="646" t="s">
        <v>10</v>
      </c>
      <c r="J100" s="646"/>
      <c r="K100" s="646"/>
      <c r="L100" s="17">
        <f>SUM(L91:L99)</f>
        <v>0</v>
      </c>
      <c r="M100" s="15"/>
      <c r="N100" s="647" t="s">
        <v>11</v>
      </c>
      <c r="O100" s="647"/>
      <c r="P100" s="647"/>
      <c r="Q100" s="18">
        <f>SUM(Q91:Q99)</f>
        <v>0</v>
      </c>
    </row>
    <row r="101" spans="1:17" ht="15" thickBot="1" x14ac:dyDescent="0.35"/>
    <row r="102" spans="1:17" ht="15" customHeight="1" x14ac:dyDescent="0.3">
      <c r="A102" s="650" t="s">
        <v>18</v>
      </c>
      <c r="B102" s="650"/>
      <c r="C102" s="650"/>
      <c r="D102" s="708" t="s">
        <v>92</v>
      </c>
      <c r="E102" s="708"/>
      <c r="F102" s="708"/>
      <c r="G102" s="708"/>
      <c r="H102" s="60"/>
      <c r="I102" s="60"/>
      <c r="J102" s="60"/>
      <c r="K102" s="60"/>
      <c r="L102" s="60"/>
      <c r="M102" s="60"/>
      <c r="N102" s="60"/>
      <c r="O102" s="60"/>
      <c r="P102" s="60"/>
      <c r="Q102" s="61"/>
    </row>
    <row r="103" spans="1:17" ht="15" customHeight="1" x14ac:dyDescent="0.3">
      <c r="A103" s="651"/>
      <c r="B103" s="651"/>
      <c r="C103" s="651"/>
      <c r="D103" s="709"/>
      <c r="E103" s="709"/>
      <c r="F103" s="709"/>
      <c r="G103" s="709"/>
      <c r="H103" s="62"/>
      <c r="I103" s="62"/>
      <c r="J103" s="62"/>
      <c r="K103" s="62"/>
      <c r="L103" s="62"/>
      <c r="M103" s="62"/>
      <c r="N103" s="62"/>
      <c r="O103" s="62"/>
      <c r="P103" s="62"/>
      <c r="Q103" s="63"/>
    </row>
    <row r="104" spans="1:17" ht="15" customHeight="1" x14ac:dyDescent="0.3">
      <c r="A104" s="250">
        <f>VLOOKUP($B104,Reporting!$U:$AC,MATCH($A$102,Reporting!$V$4:$AC$4,0)+1,FALSE)</f>
        <v>0</v>
      </c>
      <c r="B104" s="261" t="s">
        <v>374</v>
      </c>
      <c r="C104" s="104">
        <v>0.09</v>
      </c>
      <c r="D104" s="6">
        <v>0.61</v>
      </c>
      <c r="E104" s="7">
        <f t="shared" ref="E104:E112" si="87">C104*D104</f>
        <v>5.4899999999999997E-2</v>
      </c>
      <c r="F104" s="7">
        <f>A104*E104</f>
        <v>0</v>
      </c>
      <c r="G104" s="8">
        <f t="shared" ref="G104:G112" si="88">F104/8</f>
        <v>0</v>
      </c>
      <c r="H104" s="9">
        <f>C104</f>
        <v>0.09</v>
      </c>
      <c r="I104" s="10">
        <v>0.61</v>
      </c>
      <c r="J104" s="10">
        <f t="shared" ref="J104:J112" si="89">H104*I104</f>
        <v>5.4899999999999997E-2</v>
      </c>
      <c r="K104" s="10">
        <f>A104*J104</f>
        <v>0</v>
      </c>
      <c r="L104" s="11">
        <f t="shared" ref="L104:L112" si="90">K104/8</f>
        <v>0</v>
      </c>
      <c r="M104" s="12">
        <f t="shared" ref="M104:M112" si="91">H104</f>
        <v>0.09</v>
      </c>
      <c r="N104" s="13">
        <v>0.33</v>
      </c>
      <c r="O104" s="13">
        <f t="shared" ref="O104:O112" si="92">M104*N104</f>
        <v>2.9700000000000001E-2</v>
      </c>
      <c r="P104" s="13">
        <f>A104*O104</f>
        <v>0</v>
      </c>
      <c r="Q104" s="14">
        <f t="shared" ref="Q104:Q112" si="93">P104/8</f>
        <v>0</v>
      </c>
    </row>
    <row r="105" spans="1:17" ht="15" customHeight="1" x14ac:dyDescent="0.3">
      <c r="A105" s="250">
        <f>VLOOKUP($B105,Reporting!$U:$AC,MATCH($A$102,Reporting!$V$4:$AC$4,0)+1,FALSE)</f>
        <v>0</v>
      </c>
      <c r="B105" s="56" t="s">
        <v>390</v>
      </c>
      <c r="C105" s="104">
        <v>0.09</v>
      </c>
      <c r="D105" s="6">
        <v>0.61</v>
      </c>
      <c r="E105" s="7">
        <f t="shared" si="87"/>
        <v>5.4899999999999997E-2</v>
      </c>
      <c r="F105" s="7">
        <f t="shared" ref="F105:F112" si="94">A105*E105</f>
        <v>0</v>
      </c>
      <c r="G105" s="8">
        <f t="shared" si="88"/>
        <v>0</v>
      </c>
      <c r="H105" s="9">
        <f t="shared" ref="H105:H112" si="95">C105</f>
        <v>0.09</v>
      </c>
      <c r="I105" s="10">
        <v>0.61</v>
      </c>
      <c r="J105" s="10">
        <f t="shared" si="89"/>
        <v>5.4899999999999997E-2</v>
      </c>
      <c r="K105" s="10">
        <f t="shared" ref="K105:K112" si="96">A105*J105</f>
        <v>0</v>
      </c>
      <c r="L105" s="11">
        <f t="shared" si="90"/>
        <v>0</v>
      </c>
      <c r="M105" s="12">
        <f t="shared" si="91"/>
        <v>0.09</v>
      </c>
      <c r="N105" s="13">
        <v>0.33</v>
      </c>
      <c r="O105" s="13">
        <f t="shared" si="92"/>
        <v>2.9700000000000001E-2</v>
      </c>
      <c r="P105" s="13">
        <f t="shared" ref="P105:P112" si="97">A105*O105</f>
        <v>0</v>
      </c>
      <c r="Q105" s="14">
        <f t="shared" si="93"/>
        <v>0</v>
      </c>
    </row>
    <row r="106" spans="1:17" ht="15" customHeight="1" x14ac:dyDescent="0.3">
      <c r="A106" s="250">
        <f>VLOOKUP($B106,Reporting!$U:$AC,MATCH($A$102,Reporting!$V$4:$AC$4,0)+1,FALSE)</f>
        <v>0</v>
      </c>
      <c r="B106" s="56" t="s">
        <v>391</v>
      </c>
      <c r="C106" s="104">
        <v>0.11</v>
      </c>
      <c r="D106" s="6">
        <v>0.61</v>
      </c>
      <c r="E106" s="7">
        <f t="shared" si="87"/>
        <v>6.7099999999999993E-2</v>
      </c>
      <c r="F106" s="7">
        <f t="shared" si="94"/>
        <v>0</v>
      </c>
      <c r="G106" s="8">
        <f t="shared" si="88"/>
        <v>0</v>
      </c>
      <c r="H106" s="9">
        <f t="shared" si="95"/>
        <v>0.11</v>
      </c>
      <c r="I106" s="10">
        <v>0.61</v>
      </c>
      <c r="J106" s="10">
        <f t="shared" si="89"/>
        <v>6.7099999999999993E-2</v>
      </c>
      <c r="K106" s="10">
        <f t="shared" si="96"/>
        <v>0</v>
      </c>
      <c r="L106" s="11">
        <f t="shared" si="90"/>
        <v>0</v>
      </c>
      <c r="M106" s="12">
        <f t="shared" si="91"/>
        <v>0.11</v>
      </c>
      <c r="N106" s="13">
        <v>0.33</v>
      </c>
      <c r="O106" s="13">
        <f t="shared" si="92"/>
        <v>3.6299999999999999E-2</v>
      </c>
      <c r="P106" s="13">
        <f t="shared" si="97"/>
        <v>0</v>
      </c>
      <c r="Q106" s="14">
        <f t="shared" si="93"/>
        <v>0</v>
      </c>
    </row>
    <row r="107" spans="1:17" ht="15" customHeight="1" x14ac:dyDescent="0.3">
      <c r="A107" s="250">
        <f>VLOOKUP($B107,Reporting!$U:$AC,MATCH($A$102,Reporting!$V$4:$AC$4,0)+1,FALSE)</f>
        <v>0</v>
      </c>
      <c r="B107" s="56" t="s">
        <v>392</v>
      </c>
      <c r="C107" s="104">
        <v>0.13</v>
      </c>
      <c r="D107" s="6">
        <v>0.61</v>
      </c>
      <c r="E107" s="7">
        <f t="shared" si="87"/>
        <v>7.9299999999999995E-2</v>
      </c>
      <c r="F107" s="7">
        <f t="shared" si="94"/>
        <v>0</v>
      </c>
      <c r="G107" s="8">
        <f t="shared" si="88"/>
        <v>0</v>
      </c>
      <c r="H107" s="9">
        <f t="shared" si="95"/>
        <v>0.13</v>
      </c>
      <c r="I107" s="10">
        <v>0.61</v>
      </c>
      <c r="J107" s="10">
        <f t="shared" si="89"/>
        <v>7.9299999999999995E-2</v>
      </c>
      <c r="K107" s="10">
        <f t="shared" si="96"/>
        <v>0</v>
      </c>
      <c r="L107" s="11">
        <f t="shared" si="90"/>
        <v>0</v>
      </c>
      <c r="M107" s="12">
        <f t="shared" si="91"/>
        <v>0.13</v>
      </c>
      <c r="N107" s="13">
        <v>0.33</v>
      </c>
      <c r="O107" s="13">
        <f t="shared" si="92"/>
        <v>4.2900000000000001E-2</v>
      </c>
      <c r="P107" s="13">
        <f t="shared" si="97"/>
        <v>0</v>
      </c>
      <c r="Q107" s="14">
        <f t="shared" si="93"/>
        <v>0</v>
      </c>
    </row>
    <row r="108" spans="1:17" x14ac:dyDescent="0.3">
      <c r="A108" s="250">
        <f>VLOOKUP($B108,Reporting!$U:$AC,MATCH($A$102,Reporting!$V$4:$AC$4,0)+1,FALSE)</f>
        <v>0</v>
      </c>
      <c r="B108" s="274" t="s">
        <v>393</v>
      </c>
      <c r="C108" s="105">
        <v>0.15</v>
      </c>
      <c r="D108" s="6">
        <v>0.61</v>
      </c>
      <c r="E108" s="7">
        <f t="shared" si="87"/>
        <v>9.1499999999999998E-2</v>
      </c>
      <c r="F108" s="7">
        <f t="shared" si="94"/>
        <v>0</v>
      </c>
      <c r="G108" s="8">
        <f t="shared" si="88"/>
        <v>0</v>
      </c>
      <c r="H108" s="9">
        <f t="shared" si="95"/>
        <v>0.15</v>
      </c>
      <c r="I108" s="10">
        <v>0.61</v>
      </c>
      <c r="J108" s="10">
        <f t="shared" si="89"/>
        <v>9.1499999999999998E-2</v>
      </c>
      <c r="K108" s="10">
        <f t="shared" si="96"/>
        <v>0</v>
      </c>
      <c r="L108" s="11">
        <f t="shared" si="90"/>
        <v>0</v>
      </c>
      <c r="M108" s="12">
        <f t="shared" si="91"/>
        <v>0.15</v>
      </c>
      <c r="N108" s="13">
        <v>0.33</v>
      </c>
      <c r="O108" s="13">
        <f t="shared" si="92"/>
        <v>4.9500000000000002E-2</v>
      </c>
      <c r="P108" s="13">
        <f t="shared" si="97"/>
        <v>0</v>
      </c>
      <c r="Q108" s="14">
        <f t="shared" si="93"/>
        <v>0</v>
      </c>
    </row>
    <row r="109" spans="1:17" x14ac:dyDescent="0.3">
      <c r="A109" s="250">
        <f>VLOOKUP($B109,Reporting!$U:$AC,MATCH($A$102,Reporting!$V$4:$AC$4,0)+1,FALSE)</f>
        <v>0</v>
      </c>
      <c r="B109" s="274" t="s">
        <v>394</v>
      </c>
      <c r="C109" s="105">
        <v>0.16</v>
      </c>
      <c r="D109" s="6">
        <v>0.61</v>
      </c>
      <c r="E109" s="7">
        <f t="shared" si="87"/>
        <v>9.7600000000000006E-2</v>
      </c>
      <c r="F109" s="7">
        <f t="shared" si="94"/>
        <v>0</v>
      </c>
      <c r="G109" s="8">
        <f t="shared" si="88"/>
        <v>0</v>
      </c>
      <c r="H109" s="9">
        <f t="shared" si="95"/>
        <v>0.16</v>
      </c>
      <c r="I109" s="10">
        <v>0.61</v>
      </c>
      <c r="J109" s="10">
        <f t="shared" si="89"/>
        <v>9.7600000000000006E-2</v>
      </c>
      <c r="K109" s="10">
        <f t="shared" si="96"/>
        <v>0</v>
      </c>
      <c r="L109" s="11">
        <f t="shared" si="90"/>
        <v>0</v>
      </c>
      <c r="M109" s="12">
        <f t="shared" si="91"/>
        <v>0.16</v>
      </c>
      <c r="N109" s="13">
        <v>0.33</v>
      </c>
      <c r="O109" s="13">
        <f t="shared" si="92"/>
        <v>5.2800000000000007E-2</v>
      </c>
      <c r="P109" s="13">
        <f t="shared" si="97"/>
        <v>0</v>
      </c>
      <c r="Q109" s="14">
        <f t="shared" si="93"/>
        <v>0</v>
      </c>
    </row>
    <row r="110" spans="1:17" x14ac:dyDescent="0.3">
      <c r="A110" s="250">
        <f>VLOOKUP($B110,Reporting!$U:$AC,MATCH($A$102,Reporting!$V$4:$AC$4,0)+1,FALSE)</f>
        <v>0</v>
      </c>
      <c r="B110" s="274" t="s">
        <v>395</v>
      </c>
      <c r="C110" s="105">
        <v>0.18</v>
      </c>
      <c r="D110" s="6">
        <v>0.61</v>
      </c>
      <c r="E110" s="7">
        <f t="shared" si="87"/>
        <v>0.10979999999999999</v>
      </c>
      <c r="F110" s="7">
        <f t="shared" si="94"/>
        <v>0</v>
      </c>
      <c r="G110" s="8">
        <f t="shared" si="88"/>
        <v>0</v>
      </c>
      <c r="H110" s="9">
        <f t="shared" si="95"/>
        <v>0.18</v>
      </c>
      <c r="I110" s="10">
        <v>0.61</v>
      </c>
      <c r="J110" s="10">
        <f t="shared" si="89"/>
        <v>0.10979999999999999</v>
      </c>
      <c r="K110" s="10">
        <f t="shared" si="96"/>
        <v>0</v>
      </c>
      <c r="L110" s="11">
        <f t="shared" si="90"/>
        <v>0</v>
      </c>
      <c r="M110" s="12">
        <f t="shared" si="91"/>
        <v>0.18</v>
      </c>
      <c r="N110" s="13">
        <v>0.33</v>
      </c>
      <c r="O110" s="13">
        <f t="shared" si="92"/>
        <v>5.9400000000000001E-2</v>
      </c>
      <c r="P110" s="13">
        <f t="shared" si="97"/>
        <v>0</v>
      </c>
      <c r="Q110" s="14">
        <f t="shared" si="93"/>
        <v>0</v>
      </c>
    </row>
    <row r="111" spans="1:17" x14ac:dyDescent="0.3">
      <c r="A111" s="250">
        <f>VLOOKUP($B111,Reporting!$U:$AC,MATCH($A$102,Reporting!$V$4:$AC$4,0)+1,FALSE)</f>
        <v>0</v>
      </c>
      <c r="B111" s="274" t="s">
        <v>396</v>
      </c>
      <c r="C111" s="105">
        <v>0.2</v>
      </c>
      <c r="D111" s="6">
        <v>0.61</v>
      </c>
      <c r="E111" s="7">
        <f t="shared" si="87"/>
        <v>0.122</v>
      </c>
      <c r="F111" s="7">
        <f t="shared" si="94"/>
        <v>0</v>
      </c>
      <c r="G111" s="8">
        <f t="shared" si="88"/>
        <v>0</v>
      </c>
      <c r="H111" s="9">
        <f t="shared" si="95"/>
        <v>0.2</v>
      </c>
      <c r="I111" s="10">
        <v>0.61</v>
      </c>
      <c r="J111" s="10">
        <f t="shared" si="89"/>
        <v>0.122</v>
      </c>
      <c r="K111" s="10">
        <f t="shared" si="96"/>
        <v>0</v>
      </c>
      <c r="L111" s="11">
        <f t="shared" si="90"/>
        <v>0</v>
      </c>
      <c r="M111" s="12">
        <f t="shared" si="91"/>
        <v>0.2</v>
      </c>
      <c r="N111" s="13">
        <v>0.33</v>
      </c>
      <c r="O111" s="13">
        <f t="shared" si="92"/>
        <v>6.6000000000000003E-2</v>
      </c>
      <c r="P111" s="13">
        <f t="shared" si="97"/>
        <v>0</v>
      </c>
      <c r="Q111" s="14">
        <f t="shared" si="93"/>
        <v>0</v>
      </c>
    </row>
    <row r="112" spans="1:17" x14ac:dyDescent="0.3">
      <c r="A112" s="250">
        <f>VLOOKUP($B112,Reporting!$U:$AC,MATCH($A$102,Reporting!$V$4:$AC$4,0)+1,FALSE)</f>
        <v>0</v>
      </c>
      <c r="B112" s="274" t="s">
        <v>397</v>
      </c>
      <c r="C112" s="105">
        <v>0.23</v>
      </c>
      <c r="D112" s="6">
        <v>0.61</v>
      </c>
      <c r="E112" s="7">
        <f t="shared" si="87"/>
        <v>0.14030000000000001</v>
      </c>
      <c r="F112" s="7">
        <f t="shared" si="94"/>
        <v>0</v>
      </c>
      <c r="G112" s="8">
        <f t="shared" si="88"/>
        <v>0</v>
      </c>
      <c r="H112" s="9">
        <f t="shared" si="95"/>
        <v>0.23</v>
      </c>
      <c r="I112" s="10">
        <v>0.61</v>
      </c>
      <c r="J112" s="10">
        <f t="shared" si="89"/>
        <v>0.14030000000000001</v>
      </c>
      <c r="K112" s="10">
        <f t="shared" si="96"/>
        <v>0</v>
      </c>
      <c r="L112" s="11">
        <f t="shared" si="90"/>
        <v>0</v>
      </c>
      <c r="M112" s="12">
        <f t="shared" si="91"/>
        <v>0.23</v>
      </c>
      <c r="N112" s="13">
        <v>0.33</v>
      </c>
      <c r="O112" s="13">
        <f t="shared" si="92"/>
        <v>7.5900000000000009E-2</v>
      </c>
      <c r="P112" s="13">
        <f t="shared" si="97"/>
        <v>0</v>
      </c>
      <c r="Q112" s="14">
        <f t="shared" si="93"/>
        <v>0</v>
      </c>
    </row>
    <row r="113" spans="1:17" ht="15" thickBot="1" x14ac:dyDescent="0.35">
      <c r="A113" s="126">
        <f>ROUNDUP(SUM(A104:A112),0)</f>
        <v>0</v>
      </c>
      <c r="B113" s="275"/>
      <c r="C113" s="59"/>
      <c r="D113" s="644" t="s">
        <v>9</v>
      </c>
      <c r="E113" s="645"/>
      <c r="F113" s="645"/>
      <c r="G113" s="16">
        <f>SUM(G104:G112)</f>
        <v>0</v>
      </c>
      <c r="H113" s="1"/>
      <c r="I113" s="646" t="s">
        <v>10</v>
      </c>
      <c r="J113" s="646"/>
      <c r="K113" s="646"/>
      <c r="L113" s="17">
        <f>SUM(L104:L112)</f>
        <v>0</v>
      </c>
      <c r="M113" s="15"/>
      <c r="N113" s="647" t="s">
        <v>11</v>
      </c>
      <c r="O113" s="647"/>
      <c r="P113" s="647"/>
      <c r="Q113" s="18">
        <f>SUM(Q104:Q112)</f>
        <v>0</v>
      </c>
    </row>
    <row r="114" spans="1:17" ht="15" thickBot="1" x14ac:dyDescent="0.35"/>
    <row r="115" spans="1:17" ht="15" customHeight="1" x14ac:dyDescent="0.3">
      <c r="A115" s="662" t="s">
        <v>21</v>
      </c>
      <c r="B115" s="662"/>
      <c r="C115" s="662"/>
      <c r="D115" s="658" t="s">
        <v>93</v>
      </c>
      <c r="E115" s="658"/>
      <c r="F115" s="658"/>
      <c r="G115" s="658"/>
      <c r="H115" s="75"/>
      <c r="I115" s="75"/>
      <c r="J115" s="75"/>
      <c r="K115" s="75"/>
      <c r="L115" s="75"/>
      <c r="M115" s="75"/>
      <c r="N115" s="75"/>
      <c r="O115" s="75"/>
      <c r="P115" s="75"/>
      <c r="Q115" s="76"/>
    </row>
    <row r="116" spans="1:17" ht="15" customHeight="1" x14ac:dyDescent="0.3">
      <c r="A116" s="663"/>
      <c r="B116" s="663"/>
      <c r="C116" s="663"/>
      <c r="D116" s="659"/>
      <c r="E116" s="659"/>
      <c r="F116" s="659"/>
      <c r="G116" s="659"/>
      <c r="H116" s="77"/>
      <c r="I116" s="77"/>
      <c r="J116" s="77"/>
      <c r="K116" s="77"/>
      <c r="L116" s="77"/>
      <c r="M116" s="77"/>
      <c r="N116" s="77"/>
      <c r="O116" s="77"/>
      <c r="P116" s="77"/>
      <c r="Q116" s="78"/>
    </row>
    <row r="117" spans="1:17" ht="15" customHeight="1" x14ac:dyDescent="0.3">
      <c r="A117" s="250">
        <f>VLOOKUP($B117,Reporting!$U:$AC,MATCH($A$115,Reporting!$V$4:$AC$4,0)+1,FALSE)</f>
        <v>0</v>
      </c>
      <c r="B117" s="265" t="s">
        <v>371</v>
      </c>
      <c r="C117" s="106">
        <v>0.05</v>
      </c>
      <c r="D117" s="6">
        <v>0.61</v>
      </c>
      <c r="E117" s="7">
        <f t="shared" ref="E117:E131" si="98">C117*D117</f>
        <v>3.0499999999999999E-2</v>
      </c>
      <c r="F117" s="7">
        <f>A117*E117</f>
        <v>0</v>
      </c>
      <c r="G117" s="8">
        <f t="shared" ref="G117:G131" si="99">F117/8</f>
        <v>0</v>
      </c>
      <c r="H117" s="9">
        <f>C117</f>
        <v>0.05</v>
      </c>
      <c r="I117" s="10">
        <v>0.61</v>
      </c>
      <c r="J117" s="10">
        <f t="shared" ref="J117:J131" si="100">H117*I117</f>
        <v>3.0499999999999999E-2</v>
      </c>
      <c r="K117" s="10">
        <f>A117*J117</f>
        <v>0</v>
      </c>
      <c r="L117" s="11">
        <f t="shared" ref="L117:L131" si="101">K117/8</f>
        <v>0</v>
      </c>
      <c r="M117" s="12">
        <f t="shared" ref="M117:M131" si="102">H117</f>
        <v>0.05</v>
      </c>
      <c r="N117" s="13">
        <v>0.55000000000000004</v>
      </c>
      <c r="O117" s="13">
        <f t="shared" ref="O117:O131" si="103">M117*N117</f>
        <v>2.7500000000000004E-2</v>
      </c>
      <c r="P117" s="13">
        <f>A117*O117</f>
        <v>0</v>
      </c>
      <c r="Q117" s="14">
        <f t="shared" ref="Q117:Q131" si="104">P117/8</f>
        <v>0</v>
      </c>
    </row>
    <row r="118" spans="1:17" ht="15" customHeight="1" x14ac:dyDescent="0.3">
      <c r="A118" s="250">
        <f>VLOOKUP($B118,Reporting!$U:$AC,MATCH($A$115,Reporting!$V$4:$AC$4,0)+1,FALSE)</f>
        <v>0</v>
      </c>
      <c r="B118" s="265" t="s">
        <v>372</v>
      </c>
      <c r="C118" s="106">
        <v>0.06</v>
      </c>
      <c r="D118" s="6">
        <v>0.61</v>
      </c>
      <c r="E118" s="7">
        <f t="shared" si="98"/>
        <v>3.6600000000000001E-2</v>
      </c>
      <c r="F118" s="7">
        <f t="shared" ref="F118:F131" si="105">A118*E118</f>
        <v>0</v>
      </c>
      <c r="G118" s="8">
        <f t="shared" si="99"/>
        <v>0</v>
      </c>
      <c r="H118" s="9">
        <f t="shared" ref="H118:H131" si="106">C118</f>
        <v>0.06</v>
      </c>
      <c r="I118" s="10">
        <v>0.61</v>
      </c>
      <c r="J118" s="10">
        <f t="shared" si="100"/>
        <v>3.6600000000000001E-2</v>
      </c>
      <c r="K118" s="10">
        <f t="shared" ref="K118:K131" si="107">A118*J118</f>
        <v>0</v>
      </c>
      <c r="L118" s="11">
        <f t="shared" si="101"/>
        <v>0</v>
      </c>
      <c r="M118" s="12">
        <f t="shared" si="102"/>
        <v>0.06</v>
      </c>
      <c r="N118" s="13">
        <v>0.55000000000000004</v>
      </c>
      <c r="O118" s="13">
        <f t="shared" si="103"/>
        <v>3.3000000000000002E-2</v>
      </c>
      <c r="P118" s="13">
        <f t="shared" ref="P118:P131" si="108">A118*O118</f>
        <v>0</v>
      </c>
      <c r="Q118" s="14">
        <f t="shared" si="104"/>
        <v>0</v>
      </c>
    </row>
    <row r="119" spans="1:17" ht="15" customHeight="1" x14ac:dyDescent="0.3">
      <c r="A119" s="250">
        <f>VLOOKUP($B119,Reporting!$U:$AC,MATCH($A$115,Reporting!$V$4:$AC$4,0)+1,FALSE)</f>
        <v>0</v>
      </c>
      <c r="B119" s="72" t="s">
        <v>389</v>
      </c>
      <c r="C119" s="106">
        <v>7.0000000000000007E-2</v>
      </c>
      <c r="D119" s="6">
        <v>0.61</v>
      </c>
      <c r="E119" s="7">
        <f t="shared" si="98"/>
        <v>4.2700000000000002E-2</v>
      </c>
      <c r="F119" s="7">
        <f t="shared" si="105"/>
        <v>0</v>
      </c>
      <c r="G119" s="8">
        <f t="shared" si="99"/>
        <v>0</v>
      </c>
      <c r="H119" s="9">
        <f t="shared" si="106"/>
        <v>7.0000000000000007E-2</v>
      </c>
      <c r="I119" s="10">
        <v>0.61</v>
      </c>
      <c r="J119" s="10">
        <f t="shared" si="100"/>
        <v>4.2700000000000002E-2</v>
      </c>
      <c r="K119" s="10">
        <f t="shared" si="107"/>
        <v>0</v>
      </c>
      <c r="L119" s="11">
        <f t="shared" si="101"/>
        <v>0</v>
      </c>
      <c r="M119" s="12">
        <f t="shared" si="102"/>
        <v>7.0000000000000007E-2</v>
      </c>
      <c r="N119" s="13">
        <v>0.55000000000000004</v>
      </c>
      <c r="O119" s="13">
        <f t="shared" si="103"/>
        <v>3.8500000000000006E-2</v>
      </c>
      <c r="P119" s="13">
        <f t="shared" si="108"/>
        <v>0</v>
      </c>
      <c r="Q119" s="14">
        <f t="shared" si="104"/>
        <v>0</v>
      </c>
    </row>
    <row r="120" spans="1:17" ht="15" customHeight="1" x14ac:dyDescent="0.3">
      <c r="A120" s="250">
        <f>VLOOKUP($B120,Reporting!$U:$AC,MATCH($A$115,Reporting!$V$4:$AC$4,0)+1,FALSE)</f>
        <v>0</v>
      </c>
      <c r="B120" s="265" t="s">
        <v>373</v>
      </c>
      <c r="C120" s="106">
        <v>0.08</v>
      </c>
      <c r="D120" s="6">
        <v>0.61</v>
      </c>
      <c r="E120" s="7">
        <f t="shared" si="98"/>
        <v>4.8800000000000003E-2</v>
      </c>
      <c r="F120" s="7">
        <f t="shared" si="105"/>
        <v>0</v>
      </c>
      <c r="G120" s="8">
        <f t="shared" si="99"/>
        <v>0</v>
      </c>
      <c r="H120" s="9">
        <f t="shared" si="106"/>
        <v>0.08</v>
      </c>
      <c r="I120" s="10">
        <v>0.61</v>
      </c>
      <c r="J120" s="10">
        <f t="shared" si="100"/>
        <v>4.8800000000000003E-2</v>
      </c>
      <c r="K120" s="10">
        <f t="shared" si="107"/>
        <v>0</v>
      </c>
      <c r="L120" s="11">
        <f t="shared" si="101"/>
        <v>0</v>
      </c>
      <c r="M120" s="12">
        <f t="shared" si="102"/>
        <v>0.08</v>
      </c>
      <c r="N120" s="13">
        <v>0.55000000000000004</v>
      </c>
      <c r="O120" s="13">
        <f t="shared" si="103"/>
        <v>4.4000000000000004E-2</v>
      </c>
      <c r="P120" s="13">
        <f t="shared" si="108"/>
        <v>0</v>
      </c>
      <c r="Q120" s="14">
        <f t="shared" si="104"/>
        <v>0</v>
      </c>
    </row>
    <row r="121" spans="1:17" x14ac:dyDescent="0.3">
      <c r="A121" s="250">
        <f>VLOOKUP($B121,Reporting!$U:$AC,MATCH($A$115,Reporting!$V$4:$AC$4,0)+1,FALSE)</f>
        <v>0</v>
      </c>
      <c r="B121" s="276" t="s">
        <v>374</v>
      </c>
      <c r="C121" s="107">
        <v>0.09</v>
      </c>
      <c r="D121" s="6">
        <v>0.61</v>
      </c>
      <c r="E121" s="7">
        <f t="shared" si="98"/>
        <v>5.4899999999999997E-2</v>
      </c>
      <c r="F121" s="7">
        <f t="shared" si="105"/>
        <v>0</v>
      </c>
      <c r="G121" s="8">
        <f t="shared" si="99"/>
        <v>0</v>
      </c>
      <c r="H121" s="9">
        <f t="shared" si="106"/>
        <v>0.09</v>
      </c>
      <c r="I121" s="10">
        <v>0.61</v>
      </c>
      <c r="J121" s="10">
        <f t="shared" si="100"/>
        <v>5.4899999999999997E-2</v>
      </c>
      <c r="K121" s="10">
        <f t="shared" si="107"/>
        <v>0</v>
      </c>
      <c r="L121" s="11">
        <f t="shared" si="101"/>
        <v>0</v>
      </c>
      <c r="M121" s="12">
        <f t="shared" si="102"/>
        <v>0.09</v>
      </c>
      <c r="N121" s="13">
        <v>0.55000000000000004</v>
      </c>
      <c r="O121" s="13">
        <f t="shared" si="103"/>
        <v>4.9500000000000002E-2</v>
      </c>
      <c r="P121" s="13">
        <f t="shared" si="108"/>
        <v>0</v>
      </c>
      <c r="Q121" s="14">
        <f t="shared" si="104"/>
        <v>0</v>
      </c>
    </row>
    <row r="122" spans="1:17" x14ac:dyDescent="0.3">
      <c r="A122" s="250">
        <f>VLOOKUP($B122,Reporting!$U:$AC,MATCH($A$115,Reporting!$V$4:$AC$4,0)+1,FALSE)</f>
        <v>0</v>
      </c>
      <c r="B122" s="277" t="s">
        <v>390</v>
      </c>
      <c r="C122" s="107">
        <v>0.09</v>
      </c>
      <c r="D122" s="6">
        <v>0.61</v>
      </c>
      <c r="E122" s="7">
        <f t="shared" si="98"/>
        <v>5.4899999999999997E-2</v>
      </c>
      <c r="F122" s="7">
        <f t="shared" si="105"/>
        <v>0</v>
      </c>
      <c r="G122" s="8">
        <f t="shared" si="99"/>
        <v>0</v>
      </c>
      <c r="H122" s="9">
        <f t="shared" si="106"/>
        <v>0.09</v>
      </c>
      <c r="I122" s="10">
        <v>0.61</v>
      </c>
      <c r="J122" s="10">
        <f t="shared" si="100"/>
        <v>5.4899999999999997E-2</v>
      </c>
      <c r="K122" s="10">
        <f t="shared" si="107"/>
        <v>0</v>
      </c>
      <c r="L122" s="11">
        <f t="shared" si="101"/>
        <v>0</v>
      </c>
      <c r="M122" s="12">
        <f t="shared" si="102"/>
        <v>0.09</v>
      </c>
      <c r="N122" s="13">
        <v>0.55000000000000004</v>
      </c>
      <c r="O122" s="13">
        <f t="shared" si="103"/>
        <v>4.9500000000000002E-2</v>
      </c>
      <c r="P122" s="13">
        <f t="shared" si="108"/>
        <v>0</v>
      </c>
      <c r="Q122" s="14">
        <f t="shared" si="104"/>
        <v>0</v>
      </c>
    </row>
    <row r="123" spans="1:17" x14ac:dyDescent="0.3">
      <c r="A123" s="250">
        <f>VLOOKUP($B123,Reporting!$U:$AC,MATCH($A$115,Reporting!$V$4:$AC$4,0)+1,FALSE)</f>
        <v>0</v>
      </c>
      <c r="B123" s="276" t="s">
        <v>376</v>
      </c>
      <c r="C123" s="107">
        <v>0.1</v>
      </c>
      <c r="D123" s="6">
        <v>0.61</v>
      </c>
      <c r="E123" s="7">
        <f t="shared" si="98"/>
        <v>6.0999999999999999E-2</v>
      </c>
      <c r="F123" s="7">
        <f t="shared" si="105"/>
        <v>0</v>
      </c>
      <c r="G123" s="8">
        <f t="shared" si="99"/>
        <v>0</v>
      </c>
      <c r="H123" s="9">
        <f t="shared" si="106"/>
        <v>0.1</v>
      </c>
      <c r="I123" s="10">
        <v>0.61</v>
      </c>
      <c r="J123" s="10">
        <f t="shared" si="100"/>
        <v>6.0999999999999999E-2</v>
      </c>
      <c r="K123" s="10">
        <f t="shared" si="107"/>
        <v>0</v>
      </c>
      <c r="L123" s="11">
        <f t="shared" si="101"/>
        <v>0</v>
      </c>
      <c r="M123" s="12">
        <f t="shared" si="102"/>
        <v>0.1</v>
      </c>
      <c r="N123" s="13">
        <v>0.55000000000000004</v>
      </c>
      <c r="O123" s="13">
        <f t="shared" si="103"/>
        <v>5.5000000000000007E-2</v>
      </c>
      <c r="P123" s="13">
        <f t="shared" si="108"/>
        <v>0</v>
      </c>
      <c r="Q123" s="14">
        <f t="shared" si="104"/>
        <v>0</v>
      </c>
    </row>
    <row r="124" spans="1:17" x14ac:dyDescent="0.3">
      <c r="A124" s="250">
        <f>VLOOKUP($B124,Reporting!$U:$AC,MATCH($A$115,Reporting!$V$4:$AC$4,0)+1,FALSE)</f>
        <v>0</v>
      </c>
      <c r="B124" s="277" t="s">
        <v>391</v>
      </c>
      <c r="C124" s="107">
        <v>0.11</v>
      </c>
      <c r="D124" s="6">
        <v>0.61</v>
      </c>
      <c r="E124" s="7">
        <f t="shared" si="98"/>
        <v>6.7099999999999993E-2</v>
      </c>
      <c r="F124" s="7">
        <f t="shared" si="105"/>
        <v>0</v>
      </c>
      <c r="G124" s="8">
        <f t="shared" si="99"/>
        <v>0</v>
      </c>
      <c r="H124" s="9">
        <f t="shared" si="106"/>
        <v>0.11</v>
      </c>
      <c r="I124" s="10">
        <v>0.61</v>
      </c>
      <c r="J124" s="10">
        <f t="shared" si="100"/>
        <v>6.7099999999999993E-2</v>
      </c>
      <c r="K124" s="10">
        <f t="shared" si="107"/>
        <v>0</v>
      </c>
      <c r="L124" s="11">
        <f t="shared" si="101"/>
        <v>0</v>
      </c>
      <c r="M124" s="12">
        <f t="shared" si="102"/>
        <v>0.11</v>
      </c>
      <c r="N124" s="13">
        <v>0.55000000000000004</v>
      </c>
      <c r="O124" s="13">
        <f t="shared" si="103"/>
        <v>6.0500000000000005E-2</v>
      </c>
      <c r="P124" s="13">
        <f t="shared" si="108"/>
        <v>0</v>
      </c>
      <c r="Q124" s="14">
        <f t="shared" si="104"/>
        <v>0</v>
      </c>
    </row>
    <row r="125" spans="1:17" x14ac:dyDescent="0.3">
      <c r="A125" s="250">
        <f>VLOOKUP($B125,Reporting!$U:$AC,MATCH($A$115,Reporting!$V$4:$AC$4,0)+1,FALSE)</f>
        <v>0</v>
      </c>
      <c r="B125" s="277" t="s">
        <v>392</v>
      </c>
      <c r="C125" s="107">
        <v>0.13</v>
      </c>
      <c r="D125" s="6">
        <v>0.61</v>
      </c>
      <c r="E125" s="7">
        <f t="shared" si="98"/>
        <v>7.9299999999999995E-2</v>
      </c>
      <c r="F125" s="7">
        <f t="shared" si="105"/>
        <v>0</v>
      </c>
      <c r="G125" s="8">
        <f t="shared" si="99"/>
        <v>0</v>
      </c>
      <c r="H125" s="9">
        <f t="shared" si="106"/>
        <v>0.13</v>
      </c>
      <c r="I125" s="10">
        <v>0.61</v>
      </c>
      <c r="J125" s="10">
        <f t="shared" si="100"/>
        <v>7.9299999999999995E-2</v>
      </c>
      <c r="K125" s="10">
        <f t="shared" si="107"/>
        <v>0</v>
      </c>
      <c r="L125" s="11">
        <f t="shared" si="101"/>
        <v>0</v>
      </c>
      <c r="M125" s="12">
        <f t="shared" si="102"/>
        <v>0.13</v>
      </c>
      <c r="N125" s="13">
        <v>0.55000000000000004</v>
      </c>
      <c r="O125" s="13">
        <f t="shared" si="103"/>
        <v>7.1500000000000008E-2</v>
      </c>
      <c r="P125" s="13">
        <f t="shared" si="108"/>
        <v>0</v>
      </c>
      <c r="Q125" s="14">
        <f t="shared" si="104"/>
        <v>0</v>
      </c>
    </row>
    <row r="126" spans="1:17" x14ac:dyDescent="0.3">
      <c r="A126" s="250">
        <f>VLOOKUP($B126,Reporting!$U:$AC,MATCH($A$115,Reporting!$V$4:$AC$4,0)+1,FALSE)</f>
        <v>0</v>
      </c>
      <c r="B126" s="277" t="s">
        <v>393</v>
      </c>
      <c r="C126" s="107">
        <v>0.14000000000000001</v>
      </c>
      <c r="D126" s="6">
        <v>0.61</v>
      </c>
      <c r="E126" s="7">
        <f t="shared" si="98"/>
        <v>8.5400000000000004E-2</v>
      </c>
      <c r="F126" s="7">
        <f t="shared" si="105"/>
        <v>0</v>
      </c>
      <c r="G126" s="8">
        <f t="shared" si="99"/>
        <v>0</v>
      </c>
      <c r="H126" s="9">
        <f t="shared" si="106"/>
        <v>0.14000000000000001</v>
      </c>
      <c r="I126" s="10">
        <v>0.61</v>
      </c>
      <c r="J126" s="10">
        <f t="shared" si="100"/>
        <v>8.5400000000000004E-2</v>
      </c>
      <c r="K126" s="10">
        <f t="shared" si="107"/>
        <v>0</v>
      </c>
      <c r="L126" s="11">
        <f t="shared" si="101"/>
        <v>0</v>
      </c>
      <c r="M126" s="12">
        <f t="shared" si="102"/>
        <v>0.14000000000000001</v>
      </c>
      <c r="N126" s="13">
        <v>0.55000000000000004</v>
      </c>
      <c r="O126" s="13">
        <f t="shared" si="103"/>
        <v>7.7000000000000013E-2</v>
      </c>
      <c r="P126" s="13">
        <f t="shared" si="108"/>
        <v>0</v>
      </c>
      <c r="Q126" s="14">
        <f t="shared" si="104"/>
        <v>0</v>
      </c>
    </row>
    <row r="127" spans="1:17" x14ac:dyDescent="0.3">
      <c r="A127" s="250">
        <f>VLOOKUP($B127,Reporting!$U:$AC,MATCH($A$115,Reporting!$V$4:$AC$4,0)+1,FALSE)</f>
        <v>0</v>
      </c>
      <c r="B127" s="277" t="s">
        <v>394</v>
      </c>
      <c r="C127" s="107">
        <v>0.15</v>
      </c>
      <c r="D127" s="6">
        <v>0.61</v>
      </c>
      <c r="E127" s="7">
        <f t="shared" si="98"/>
        <v>9.1499999999999998E-2</v>
      </c>
      <c r="F127" s="7">
        <f t="shared" si="105"/>
        <v>0</v>
      </c>
      <c r="G127" s="8">
        <f t="shared" si="99"/>
        <v>0</v>
      </c>
      <c r="H127" s="9">
        <f t="shared" si="106"/>
        <v>0.15</v>
      </c>
      <c r="I127" s="10">
        <v>0.61</v>
      </c>
      <c r="J127" s="10">
        <f t="shared" si="100"/>
        <v>9.1499999999999998E-2</v>
      </c>
      <c r="K127" s="10">
        <f t="shared" si="107"/>
        <v>0</v>
      </c>
      <c r="L127" s="11">
        <f t="shared" si="101"/>
        <v>0</v>
      </c>
      <c r="M127" s="12">
        <f t="shared" si="102"/>
        <v>0.15</v>
      </c>
      <c r="N127" s="13">
        <v>0.55000000000000004</v>
      </c>
      <c r="O127" s="13">
        <f t="shared" si="103"/>
        <v>8.2500000000000004E-2</v>
      </c>
      <c r="P127" s="13">
        <f t="shared" si="108"/>
        <v>0</v>
      </c>
      <c r="Q127" s="14">
        <f t="shared" si="104"/>
        <v>0</v>
      </c>
    </row>
    <row r="128" spans="1:17" x14ac:dyDescent="0.3">
      <c r="A128" s="250">
        <f>VLOOKUP($B128,Reporting!$U:$AC,MATCH($A$115,Reporting!$V$4:$AC$4,0)+1,FALSE)</f>
        <v>0</v>
      </c>
      <c r="B128" s="277" t="s">
        <v>395</v>
      </c>
      <c r="C128" s="107">
        <v>0.16</v>
      </c>
      <c r="D128" s="6">
        <v>0.61</v>
      </c>
      <c r="E128" s="7">
        <f t="shared" si="98"/>
        <v>9.7600000000000006E-2</v>
      </c>
      <c r="F128" s="7">
        <f t="shared" si="105"/>
        <v>0</v>
      </c>
      <c r="G128" s="8">
        <f t="shared" si="99"/>
        <v>0</v>
      </c>
      <c r="H128" s="9">
        <f t="shared" si="106"/>
        <v>0.16</v>
      </c>
      <c r="I128" s="10">
        <v>0.61</v>
      </c>
      <c r="J128" s="10">
        <f t="shared" si="100"/>
        <v>9.7600000000000006E-2</v>
      </c>
      <c r="K128" s="10">
        <f t="shared" si="107"/>
        <v>0</v>
      </c>
      <c r="L128" s="11">
        <f t="shared" si="101"/>
        <v>0</v>
      </c>
      <c r="M128" s="12">
        <f t="shared" si="102"/>
        <v>0.16</v>
      </c>
      <c r="N128" s="13">
        <v>0.55000000000000004</v>
      </c>
      <c r="O128" s="13">
        <f t="shared" si="103"/>
        <v>8.8000000000000009E-2</v>
      </c>
      <c r="P128" s="13">
        <f t="shared" si="108"/>
        <v>0</v>
      </c>
      <c r="Q128" s="14">
        <f t="shared" si="104"/>
        <v>0</v>
      </c>
    </row>
    <row r="129" spans="1:17" x14ac:dyDescent="0.3">
      <c r="A129" s="250">
        <f>VLOOKUP($B129,Reporting!$U:$AC,MATCH($A$115,Reporting!$V$4:$AC$4,0)+1,FALSE)</f>
        <v>0</v>
      </c>
      <c r="B129" s="277" t="s">
        <v>396</v>
      </c>
      <c r="C129" s="107">
        <v>0.18</v>
      </c>
      <c r="D129" s="6">
        <v>0.61</v>
      </c>
      <c r="E129" s="7">
        <f t="shared" si="98"/>
        <v>0.10979999999999999</v>
      </c>
      <c r="F129" s="7">
        <f t="shared" si="105"/>
        <v>0</v>
      </c>
      <c r="G129" s="8">
        <f t="shared" si="99"/>
        <v>0</v>
      </c>
      <c r="H129" s="9">
        <f t="shared" si="106"/>
        <v>0.18</v>
      </c>
      <c r="I129" s="10">
        <v>0.61</v>
      </c>
      <c r="J129" s="10">
        <f t="shared" si="100"/>
        <v>0.10979999999999999</v>
      </c>
      <c r="K129" s="10">
        <f t="shared" si="107"/>
        <v>0</v>
      </c>
      <c r="L129" s="11">
        <f t="shared" si="101"/>
        <v>0</v>
      </c>
      <c r="M129" s="12">
        <f t="shared" si="102"/>
        <v>0.18</v>
      </c>
      <c r="N129" s="13">
        <v>0.55000000000000004</v>
      </c>
      <c r="O129" s="13">
        <f t="shared" si="103"/>
        <v>9.9000000000000005E-2</v>
      </c>
      <c r="P129" s="13">
        <f t="shared" si="108"/>
        <v>0</v>
      </c>
      <c r="Q129" s="14">
        <f t="shared" si="104"/>
        <v>0</v>
      </c>
    </row>
    <row r="130" spans="1:17" x14ac:dyDescent="0.3">
      <c r="A130" s="250">
        <f>VLOOKUP($B130,Reporting!$U:$AC,MATCH($A$115,Reporting!$V$4:$AC$4,0)+1,FALSE)</f>
        <v>0</v>
      </c>
      <c r="B130" s="277" t="s">
        <v>397</v>
      </c>
      <c r="C130" s="107">
        <v>0.2</v>
      </c>
      <c r="D130" s="6">
        <v>0.61</v>
      </c>
      <c r="E130" s="7">
        <f t="shared" si="98"/>
        <v>0.122</v>
      </c>
      <c r="F130" s="7">
        <f t="shared" si="105"/>
        <v>0</v>
      </c>
      <c r="G130" s="8">
        <f t="shared" si="99"/>
        <v>0</v>
      </c>
      <c r="H130" s="9">
        <f t="shared" si="106"/>
        <v>0.2</v>
      </c>
      <c r="I130" s="10">
        <v>0.61</v>
      </c>
      <c r="J130" s="10">
        <f t="shared" si="100"/>
        <v>0.122</v>
      </c>
      <c r="K130" s="10">
        <f t="shared" si="107"/>
        <v>0</v>
      </c>
      <c r="L130" s="11">
        <f t="shared" si="101"/>
        <v>0</v>
      </c>
      <c r="M130" s="12">
        <f t="shared" si="102"/>
        <v>0.2</v>
      </c>
      <c r="N130" s="13">
        <v>0.55000000000000004</v>
      </c>
      <c r="O130" s="13">
        <f t="shared" si="103"/>
        <v>0.11000000000000001</v>
      </c>
      <c r="P130" s="13">
        <f t="shared" si="108"/>
        <v>0</v>
      </c>
      <c r="Q130" s="14">
        <f t="shared" si="104"/>
        <v>0</v>
      </c>
    </row>
    <row r="131" spans="1:17" x14ac:dyDescent="0.3">
      <c r="A131" s="250">
        <f>VLOOKUP($B131,Reporting!$U:$AC,MATCH($A$115,Reporting!$V$4:$AC$4,0)+1,FALSE)</f>
        <v>0</v>
      </c>
      <c r="B131" s="277" t="s">
        <v>398</v>
      </c>
      <c r="C131" s="107">
        <v>0.23</v>
      </c>
      <c r="D131" s="6">
        <v>0.61</v>
      </c>
      <c r="E131" s="7">
        <f t="shared" si="98"/>
        <v>0.14030000000000001</v>
      </c>
      <c r="F131" s="7">
        <f t="shared" si="105"/>
        <v>0</v>
      </c>
      <c r="G131" s="8">
        <f t="shared" si="99"/>
        <v>0</v>
      </c>
      <c r="H131" s="9">
        <f t="shared" si="106"/>
        <v>0.23</v>
      </c>
      <c r="I131" s="10">
        <v>0.61</v>
      </c>
      <c r="J131" s="10">
        <f t="shared" si="100"/>
        <v>0.14030000000000001</v>
      </c>
      <c r="K131" s="10">
        <f t="shared" si="107"/>
        <v>0</v>
      </c>
      <c r="L131" s="11">
        <f t="shared" si="101"/>
        <v>0</v>
      </c>
      <c r="M131" s="12">
        <f t="shared" si="102"/>
        <v>0.23</v>
      </c>
      <c r="N131" s="13">
        <v>0.55000000000000004</v>
      </c>
      <c r="O131" s="13">
        <f t="shared" si="103"/>
        <v>0.12650000000000003</v>
      </c>
      <c r="P131" s="13">
        <f t="shared" si="108"/>
        <v>0</v>
      </c>
      <c r="Q131" s="14">
        <f t="shared" si="104"/>
        <v>0</v>
      </c>
    </row>
    <row r="132" spans="1:17" ht="15" thickBot="1" x14ac:dyDescent="0.35">
      <c r="A132" s="73">
        <f>ROUNDUP(SUM(A117:A131),0)</f>
        <v>0</v>
      </c>
      <c r="B132" s="278"/>
      <c r="C132" s="74"/>
      <c r="D132" s="644" t="s">
        <v>9</v>
      </c>
      <c r="E132" s="645"/>
      <c r="F132" s="645"/>
      <c r="G132" s="16">
        <f>SUM(G117:G131)</f>
        <v>0</v>
      </c>
      <c r="H132" s="1"/>
      <c r="I132" s="646" t="s">
        <v>10</v>
      </c>
      <c r="J132" s="646"/>
      <c r="K132" s="646"/>
      <c r="L132" s="17">
        <f>SUM(L117:L131)</f>
        <v>0</v>
      </c>
      <c r="M132" s="15"/>
      <c r="N132" s="647" t="s">
        <v>11</v>
      </c>
      <c r="O132" s="647"/>
      <c r="P132" s="647"/>
      <c r="Q132" s="18">
        <f>SUM(Q117:Q131)</f>
        <v>0</v>
      </c>
    </row>
    <row r="133" spans="1:17" ht="15" thickBot="1" x14ac:dyDescent="0.35"/>
    <row r="134" spans="1:17" ht="15" customHeight="1" x14ac:dyDescent="0.3">
      <c r="A134" s="656" t="s">
        <v>19</v>
      </c>
      <c r="B134" s="656"/>
      <c r="C134" s="656"/>
      <c r="D134" s="660" t="s">
        <v>94</v>
      </c>
      <c r="E134" s="660"/>
      <c r="F134" s="660"/>
      <c r="G134" s="660"/>
      <c r="H134" s="66"/>
      <c r="I134" s="66"/>
      <c r="J134" s="66"/>
      <c r="K134" s="66"/>
      <c r="L134" s="66"/>
      <c r="M134" s="66"/>
      <c r="N134" s="66"/>
      <c r="O134" s="66"/>
      <c r="P134" s="66"/>
      <c r="Q134" s="67"/>
    </row>
    <row r="135" spans="1:17" ht="15" customHeight="1" x14ac:dyDescent="0.3">
      <c r="A135" s="657"/>
      <c r="B135" s="657"/>
      <c r="C135" s="657"/>
      <c r="D135" s="661"/>
      <c r="E135" s="661"/>
      <c r="F135" s="661"/>
      <c r="G135" s="661"/>
      <c r="H135" s="68"/>
      <c r="I135" s="68"/>
      <c r="J135" s="68"/>
      <c r="K135" s="68"/>
      <c r="L135" s="68"/>
      <c r="M135" s="68"/>
      <c r="N135" s="68"/>
      <c r="O135" s="68"/>
      <c r="P135" s="68"/>
      <c r="Q135" s="69"/>
    </row>
    <row r="136" spans="1:17" ht="15" customHeight="1" x14ac:dyDescent="0.3">
      <c r="A136" s="129"/>
      <c r="B136" s="70" t="s">
        <v>20</v>
      </c>
      <c r="C136" s="113">
        <v>7.0000000000000001E-3</v>
      </c>
      <c r="D136" s="6">
        <v>0.61</v>
      </c>
      <c r="E136" s="7">
        <f t="shared" ref="E136:E145" si="109">C136*D136</f>
        <v>4.2700000000000004E-3</v>
      </c>
      <c r="F136" s="7">
        <f>A136*E136</f>
        <v>0</v>
      </c>
      <c r="G136" s="8">
        <f t="shared" ref="G136:G145" si="110">F136/8</f>
        <v>0</v>
      </c>
      <c r="H136" s="9">
        <f>C136</f>
        <v>7.0000000000000001E-3</v>
      </c>
      <c r="I136" s="10">
        <v>0.61</v>
      </c>
      <c r="J136" s="10">
        <f t="shared" ref="J136:J145" si="111">H136*I136</f>
        <v>4.2700000000000004E-3</v>
      </c>
      <c r="K136" s="10">
        <f>A136*J136</f>
        <v>0</v>
      </c>
      <c r="L136" s="11">
        <f t="shared" ref="L136:L145" si="112">K136/8</f>
        <v>0</v>
      </c>
      <c r="M136" s="12">
        <f t="shared" ref="M136:M145" si="113">H136</f>
        <v>7.0000000000000001E-3</v>
      </c>
      <c r="N136" s="13">
        <v>0.55000000000000004</v>
      </c>
      <c r="O136" s="13">
        <f t="shared" ref="O136:O145" si="114">M136*N136</f>
        <v>3.8500000000000006E-3</v>
      </c>
      <c r="P136" s="13">
        <f>A136*O136</f>
        <v>0</v>
      </c>
      <c r="Q136" s="14">
        <f t="shared" ref="Q136:Q145" si="115">P136/8</f>
        <v>0</v>
      </c>
    </row>
    <row r="137" spans="1:17" ht="15" customHeight="1" x14ac:dyDescent="0.3">
      <c r="A137" s="129"/>
      <c r="B137" s="70" t="s">
        <v>44</v>
      </c>
      <c r="C137" s="113">
        <v>0.28000000000000003</v>
      </c>
      <c r="D137" s="6">
        <v>0.61</v>
      </c>
      <c r="E137" s="7">
        <f t="shared" si="109"/>
        <v>0.17080000000000001</v>
      </c>
      <c r="F137" s="7">
        <f t="shared" ref="F137:F145" si="116">A137*E137</f>
        <v>0</v>
      </c>
      <c r="G137" s="8">
        <f t="shared" si="110"/>
        <v>0</v>
      </c>
      <c r="H137" s="9">
        <f t="shared" ref="H137:H144" si="117">C137</f>
        <v>0.28000000000000003</v>
      </c>
      <c r="I137" s="10">
        <v>0.61</v>
      </c>
      <c r="J137" s="10">
        <f t="shared" si="111"/>
        <v>0.17080000000000001</v>
      </c>
      <c r="K137" s="10">
        <f t="shared" ref="K137:K145" si="118">A137*J137</f>
        <v>0</v>
      </c>
      <c r="L137" s="11">
        <f t="shared" si="112"/>
        <v>0</v>
      </c>
      <c r="M137" s="12">
        <f t="shared" si="113"/>
        <v>0.28000000000000003</v>
      </c>
      <c r="N137" s="13">
        <v>0.55000000000000004</v>
      </c>
      <c r="O137" s="13">
        <f t="shared" si="114"/>
        <v>0.15400000000000003</v>
      </c>
      <c r="P137" s="13">
        <f t="shared" ref="P137:P145" si="119">A137*O137</f>
        <v>0</v>
      </c>
      <c r="Q137" s="14">
        <f t="shared" si="115"/>
        <v>0</v>
      </c>
    </row>
    <row r="138" spans="1:17" ht="15" customHeight="1" x14ac:dyDescent="0.3">
      <c r="A138" s="129"/>
      <c r="B138" s="70" t="s">
        <v>45</v>
      </c>
      <c r="C138" s="113">
        <v>0.26</v>
      </c>
      <c r="D138" s="6">
        <v>0.61</v>
      </c>
      <c r="E138" s="7">
        <f t="shared" si="109"/>
        <v>0.15859999999999999</v>
      </c>
      <c r="F138" s="7">
        <f t="shared" si="116"/>
        <v>0</v>
      </c>
      <c r="G138" s="8">
        <f t="shared" si="110"/>
        <v>0</v>
      </c>
      <c r="H138" s="9">
        <f t="shared" si="117"/>
        <v>0.26</v>
      </c>
      <c r="I138" s="10">
        <v>0.61</v>
      </c>
      <c r="J138" s="10">
        <f t="shared" si="111"/>
        <v>0.15859999999999999</v>
      </c>
      <c r="K138" s="10">
        <f t="shared" si="118"/>
        <v>0</v>
      </c>
      <c r="L138" s="11">
        <f t="shared" si="112"/>
        <v>0</v>
      </c>
      <c r="M138" s="12">
        <f t="shared" si="113"/>
        <v>0.26</v>
      </c>
      <c r="N138" s="13">
        <v>0.55000000000000004</v>
      </c>
      <c r="O138" s="13">
        <f t="shared" si="114"/>
        <v>0.14300000000000002</v>
      </c>
      <c r="P138" s="13">
        <f t="shared" si="119"/>
        <v>0</v>
      </c>
      <c r="Q138" s="14">
        <f t="shared" si="115"/>
        <v>0</v>
      </c>
    </row>
    <row r="139" spans="1:17" ht="15" customHeight="1" x14ac:dyDescent="0.3">
      <c r="A139" s="129"/>
      <c r="B139" s="70" t="s">
        <v>46</v>
      </c>
      <c r="C139" s="113">
        <v>0.39</v>
      </c>
      <c r="D139" s="6">
        <v>0.61</v>
      </c>
      <c r="E139" s="7">
        <f t="shared" si="109"/>
        <v>0.2379</v>
      </c>
      <c r="F139" s="7">
        <f t="shared" si="116"/>
        <v>0</v>
      </c>
      <c r="G139" s="8">
        <f t="shared" si="110"/>
        <v>0</v>
      </c>
      <c r="H139" s="9">
        <f t="shared" si="117"/>
        <v>0.39</v>
      </c>
      <c r="I139" s="10">
        <v>0.61</v>
      </c>
      <c r="J139" s="10">
        <f t="shared" si="111"/>
        <v>0.2379</v>
      </c>
      <c r="K139" s="10">
        <f t="shared" si="118"/>
        <v>0</v>
      </c>
      <c r="L139" s="11">
        <f t="shared" si="112"/>
        <v>0</v>
      </c>
      <c r="M139" s="12">
        <f t="shared" si="113"/>
        <v>0.39</v>
      </c>
      <c r="N139" s="13">
        <v>0.55000000000000004</v>
      </c>
      <c r="O139" s="13">
        <f t="shared" si="114"/>
        <v>0.21450000000000002</v>
      </c>
      <c r="P139" s="13">
        <f t="shared" si="119"/>
        <v>0</v>
      </c>
      <c r="Q139" s="14">
        <f t="shared" si="115"/>
        <v>0</v>
      </c>
    </row>
    <row r="140" spans="1:17" x14ac:dyDescent="0.3">
      <c r="A140" s="129"/>
      <c r="B140" s="70" t="s">
        <v>47</v>
      </c>
      <c r="C140" s="109">
        <v>0.34</v>
      </c>
      <c r="D140" s="6">
        <v>0.61</v>
      </c>
      <c r="E140" s="7">
        <f t="shared" si="109"/>
        <v>0.2074</v>
      </c>
      <c r="F140" s="7">
        <f t="shared" si="116"/>
        <v>0</v>
      </c>
      <c r="G140" s="8">
        <f t="shared" si="110"/>
        <v>0</v>
      </c>
      <c r="H140" s="9">
        <f t="shared" si="117"/>
        <v>0.34</v>
      </c>
      <c r="I140" s="10">
        <v>0.61</v>
      </c>
      <c r="J140" s="10">
        <f t="shared" si="111"/>
        <v>0.2074</v>
      </c>
      <c r="K140" s="10">
        <f t="shared" si="118"/>
        <v>0</v>
      </c>
      <c r="L140" s="11">
        <f t="shared" si="112"/>
        <v>0</v>
      </c>
      <c r="M140" s="12">
        <f t="shared" si="113"/>
        <v>0.34</v>
      </c>
      <c r="N140" s="13">
        <v>0.55000000000000004</v>
      </c>
      <c r="O140" s="13">
        <f t="shared" si="114"/>
        <v>0.18700000000000003</v>
      </c>
      <c r="P140" s="13">
        <f t="shared" si="119"/>
        <v>0</v>
      </c>
      <c r="Q140" s="14">
        <f t="shared" si="115"/>
        <v>0</v>
      </c>
    </row>
    <row r="141" spans="1:17" x14ac:dyDescent="0.3">
      <c r="A141" s="130"/>
      <c r="B141" s="71" t="s">
        <v>370</v>
      </c>
      <c r="C141" s="109">
        <v>0.08</v>
      </c>
      <c r="D141" s="6">
        <v>0.61</v>
      </c>
      <c r="E141" s="7">
        <f t="shared" si="109"/>
        <v>4.8800000000000003E-2</v>
      </c>
      <c r="F141" s="7">
        <f t="shared" si="116"/>
        <v>0</v>
      </c>
      <c r="G141" s="8">
        <f t="shared" si="110"/>
        <v>0</v>
      </c>
      <c r="H141" s="9">
        <f t="shared" si="117"/>
        <v>0.08</v>
      </c>
      <c r="I141" s="10">
        <v>0.61</v>
      </c>
      <c r="J141" s="10">
        <f t="shared" si="111"/>
        <v>4.8800000000000003E-2</v>
      </c>
      <c r="K141" s="10">
        <f t="shared" si="118"/>
        <v>0</v>
      </c>
      <c r="L141" s="11">
        <f t="shared" si="112"/>
        <v>0</v>
      </c>
      <c r="M141" s="12">
        <f t="shared" si="113"/>
        <v>0.08</v>
      </c>
      <c r="N141" s="13">
        <v>0.55000000000000004</v>
      </c>
      <c r="O141" s="13">
        <f t="shared" si="114"/>
        <v>4.4000000000000004E-2</v>
      </c>
      <c r="P141" s="13">
        <f t="shared" si="119"/>
        <v>0</v>
      </c>
      <c r="Q141" s="14">
        <f t="shared" si="115"/>
        <v>0</v>
      </c>
    </row>
    <row r="142" spans="1:17" x14ac:dyDescent="0.3">
      <c r="A142" s="130"/>
      <c r="B142" s="71" t="s">
        <v>49</v>
      </c>
      <c r="C142" s="109">
        <v>0.26</v>
      </c>
      <c r="D142" s="6">
        <v>0.61</v>
      </c>
      <c r="E142" s="7">
        <f t="shared" si="109"/>
        <v>0.15859999999999999</v>
      </c>
      <c r="F142" s="7">
        <f t="shared" si="116"/>
        <v>0</v>
      </c>
      <c r="G142" s="8">
        <f t="shared" si="110"/>
        <v>0</v>
      </c>
      <c r="H142" s="9">
        <f t="shared" si="117"/>
        <v>0.26</v>
      </c>
      <c r="I142" s="10">
        <v>0.61</v>
      </c>
      <c r="J142" s="10">
        <f t="shared" si="111"/>
        <v>0.15859999999999999</v>
      </c>
      <c r="K142" s="10">
        <f t="shared" si="118"/>
        <v>0</v>
      </c>
      <c r="L142" s="11">
        <f t="shared" si="112"/>
        <v>0</v>
      </c>
      <c r="M142" s="12">
        <f t="shared" si="113"/>
        <v>0.26</v>
      </c>
      <c r="N142" s="13">
        <v>0.55000000000000004</v>
      </c>
      <c r="O142" s="13">
        <f t="shared" si="114"/>
        <v>0.14300000000000002</v>
      </c>
      <c r="P142" s="13">
        <f t="shared" si="119"/>
        <v>0</v>
      </c>
      <c r="Q142" s="14">
        <f t="shared" si="115"/>
        <v>0</v>
      </c>
    </row>
    <row r="143" spans="1:17" x14ac:dyDescent="0.3">
      <c r="A143" s="130"/>
      <c r="B143" s="83" t="s">
        <v>125</v>
      </c>
      <c r="C143" s="109">
        <v>0.34</v>
      </c>
      <c r="D143" s="6">
        <v>0.61</v>
      </c>
      <c r="E143" s="7">
        <f t="shared" si="109"/>
        <v>0.2074</v>
      </c>
      <c r="F143" s="7">
        <f t="shared" si="116"/>
        <v>0</v>
      </c>
      <c r="G143" s="8">
        <f t="shared" si="110"/>
        <v>0</v>
      </c>
      <c r="H143" s="9">
        <f t="shared" si="117"/>
        <v>0.34</v>
      </c>
      <c r="I143" s="10">
        <v>0.61</v>
      </c>
      <c r="J143" s="10">
        <f t="shared" si="111"/>
        <v>0.2074</v>
      </c>
      <c r="K143" s="10">
        <f t="shared" si="118"/>
        <v>0</v>
      </c>
      <c r="L143" s="11">
        <f t="shared" si="112"/>
        <v>0</v>
      </c>
      <c r="M143" s="12">
        <f t="shared" si="113"/>
        <v>0.34</v>
      </c>
      <c r="N143" s="13">
        <v>0.55000000000000004</v>
      </c>
      <c r="O143" s="13">
        <f t="shared" si="114"/>
        <v>0.18700000000000003</v>
      </c>
      <c r="P143" s="13">
        <f t="shared" si="119"/>
        <v>0</v>
      </c>
      <c r="Q143" s="14">
        <f t="shared" si="115"/>
        <v>0</v>
      </c>
    </row>
    <row r="144" spans="1:17" x14ac:dyDescent="0.3">
      <c r="A144" s="130"/>
      <c r="B144" s="71" t="s">
        <v>50</v>
      </c>
      <c r="C144" s="109">
        <v>0.39</v>
      </c>
      <c r="D144" s="6">
        <v>0.61</v>
      </c>
      <c r="E144" s="7">
        <f t="shared" si="109"/>
        <v>0.2379</v>
      </c>
      <c r="F144" s="7">
        <f t="shared" si="116"/>
        <v>0</v>
      </c>
      <c r="G144" s="8">
        <f t="shared" si="110"/>
        <v>0</v>
      </c>
      <c r="H144" s="9">
        <f t="shared" si="117"/>
        <v>0.39</v>
      </c>
      <c r="I144" s="10">
        <v>0.61</v>
      </c>
      <c r="J144" s="10">
        <f t="shared" si="111"/>
        <v>0.2379</v>
      </c>
      <c r="K144" s="10">
        <f t="shared" si="118"/>
        <v>0</v>
      </c>
      <c r="L144" s="11">
        <f t="shared" si="112"/>
        <v>0</v>
      </c>
      <c r="M144" s="12">
        <f t="shared" si="113"/>
        <v>0.39</v>
      </c>
      <c r="N144" s="13">
        <v>0.55000000000000004</v>
      </c>
      <c r="O144" s="13">
        <f t="shared" si="114"/>
        <v>0.21450000000000002</v>
      </c>
      <c r="P144" s="13">
        <f t="shared" si="119"/>
        <v>0</v>
      </c>
      <c r="Q144" s="14">
        <f t="shared" si="115"/>
        <v>0</v>
      </c>
    </row>
    <row r="145" spans="1:17" x14ac:dyDescent="0.3">
      <c r="A145" s="130"/>
      <c r="B145" s="83" t="s">
        <v>127</v>
      </c>
      <c r="C145" s="109">
        <v>0.27</v>
      </c>
      <c r="D145" s="6">
        <v>0.61</v>
      </c>
      <c r="E145" s="7">
        <f t="shared" si="109"/>
        <v>0.16470000000000001</v>
      </c>
      <c r="F145" s="7">
        <f t="shared" si="116"/>
        <v>0</v>
      </c>
      <c r="G145" s="8">
        <f t="shared" si="110"/>
        <v>0</v>
      </c>
      <c r="H145" s="9">
        <f>C145</f>
        <v>0.27</v>
      </c>
      <c r="I145" s="10">
        <v>0.61</v>
      </c>
      <c r="J145" s="10">
        <f t="shared" si="111"/>
        <v>0.16470000000000001</v>
      </c>
      <c r="K145" s="10">
        <f t="shared" si="118"/>
        <v>0</v>
      </c>
      <c r="L145" s="11">
        <f t="shared" si="112"/>
        <v>0</v>
      </c>
      <c r="M145" s="12">
        <f t="shared" si="113"/>
        <v>0.27</v>
      </c>
      <c r="N145" s="13">
        <v>0.55000000000000004</v>
      </c>
      <c r="O145" s="13">
        <f t="shared" si="114"/>
        <v>0.14850000000000002</v>
      </c>
      <c r="P145" s="13">
        <f t="shared" si="119"/>
        <v>0</v>
      </c>
      <c r="Q145" s="14">
        <f t="shared" si="115"/>
        <v>0</v>
      </c>
    </row>
    <row r="146" spans="1:17" ht="15" thickBot="1" x14ac:dyDescent="0.35">
      <c r="A146" s="279">
        <f>ROUNDUP(SUM(A136:A145),0)</f>
        <v>0</v>
      </c>
      <c r="B146" s="279"/>
      <c r="C146" s="65"/>
      <c r="D146" s="644" t="s">
        <v>9</v>
      </c>
      <c r="E146" s="645"/>
      <c r="F146" s="645"/>
      <c r="G146" s="16">
        <f>SUM(G136:G145)</f>
        <v>0</v>
      </c>
      <c r="H146" s="1"/>
      <c r="I146" s="646" t="s">
        <v>10</v>
      </c>
      <c r="J146" s="646"/>
      <c r="K146" s="646"/>
      <c r="L146" s="17">
        <f>SUM(L136:L145)</f>
        <v>0</v>
      </c>
      <c r="M146" s="15"/>
      <c r="N146" s="647" t="s">
        <v>11</v>
      </c>
      <c r="O146" s="647"/>
      <c r="P146" s="647"/>
      <c r="Q146" s="18">
        <f>SUM(Q136:Q145)</f>
        <v>0</v>
      </c>
    </row>
  </sheetData>
  <sheetProtection algorithmName="SHA-512" hashValue="8TaCCCxsyaG+J80A46UOVmBJor8MWkO/9merqiqxgRvNQAdiipILcRcg96yzAW1uy3ot9qU8NkF87U7Cbymv9w==" saltValue="q/F/LzQT1K2M+hjmjZS7+A==" spinCount="100000" sheet="1" objects="1" scenarios="1"/>
  <mergeCells count="59">
    <mergeCell ref="W87:Y87"/>
    <mergeCell ref="S87:U87"/>
    <mergeCell ref="D75:G76"/>
    <mergeCell ref="H62:K63"/>
    <mergeCell ref="W88:Y90"/>
    <mergeCell ref="D73:F73"/>
    <mergeCell ref="I73:K73"/>
    <mergeCell ref="N73:P73"/>
    <mergeCell ref="A62:E63"/>
    <mergeCell ref="S88:U90"/>
    <mergeCell ref="A75:C76"/>
    <mergeCell ref="A89:C90"/>
    <mergeCell ref="D89:G90"/>
    <mergeCell ref="D87:F87"/>
    <mergeCell ref="D100:F100"/>
    <mergeCell ref="I100:K100"/>
    <mergeCell ref="N100:P100"/>
    <mergeCell ref="I87:K87"/>
    <mergeCell ref="N87:P87"/>
    <mergeCell ref="D146:F146"/>
    <mergeCell ref="I146:K146"/>
    <mergeCell ref="N146:P146"/>
    <mergeCell ref="A102:C103"/>
    <mergeCell ref="D113:F113"/>
    <mergeCell ref="I113:K113"/>
    <mergeCell ref="N113:P113"/>
    <mergeCell ref="D102:G103"/>
    <mergeCell ref="D115:G116"/>
    <mergeCell ref="D134:G135"/>
    <mergeCell ref="A115:C116"/>
    <mergeCell ref="D132:F132"/>
    <mergeCell ref="I132:K132"/>
    <mergeCell ref="N132:P132"/>
    <mergeCell ref="A134:C135"/>
    <mergeCell ref="N27:P27"/>
    <mergeCell ref="D60:F60"/>
    <mergeCell ref="I60:K60"/>
    <mergeCell ref="N60:P60"/>
    <mergeCell ref="H29:K30"/>
    <mergeCell ref="A29:D30"/>
    <mergeCell ref="N44:P44"/>
    <mergeCell ref="D44:F44"/>
    <mergeCell ref="I44:K44"/>
    <mergeCell ref="M2:Q2"/>
    <mergeCell ref="S2:U2"/>
    <mergeCell ref="AA2:AC2"/>
    <mergeCell ref="W3:X3"/>
    <mergeCell ref="AA3:AB3"/>
    <mergeCell ref="W2:Y2"/>
    <mergeCell ref="S3:T3"/>
    <mergeCell ref="H2:L2"/>
    <mergeCell ref="H5:K6"/>
    <mergeCell ref="A5:D6"/>
    <mergeCell ref="H46:K47"/>
    <mergeCell ref="A46:E47"/>
    <mergeCell ref="A1:C2"/>
    <mergeCell ref="D2:G2"/>
    <mergeCell ref="D27:F27"/>
    <mergeCell ref="I27:K27"/>
  </mergeCells>
  <printOptions horizontalCentered="1"/>
  <pageMargins left="0.25" right="0.25" top="0.4" bottom="0.3" header="0.3" footer="0.25"/>
  <pageSetup scale="65" fitToHeight="0" orientation="portrait" r:id="rId1"/>
  <headerFooter alignWithMargins="0">
    <oddFooter>&amp;F&amp;RPage &amp;P</oddFooter>
  </headerFooter>
  <rowBreaks count="1" manualBreakCount="1">
    <brk id="74" max="1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D3DF-B93E-4EC8-96D5-0EEFCD66356E}">
  <sheetPr codeName="Sheet13">
    <tabColor rgb="FF92D050"/>
  </sheetPr>
  <dimension ref="A1:AC117"/>
  <sheetViews>
    <sheetView workbookViewId="0">
      <selection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20" t="s">
        <v>25</v>
      </c>
      <c r="B1" s="721"/>
      <c r="C1" s="72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2"/>
      <c r="B2" s="723"/>
      <c r="C2" s="723"/>
      <c r="D2" s="695" t="s">
        <v>6</v>
      </c>
      <c r="E2" s="696"/>
      <c r="F2" s="696"/>
      <c r="G2" s="697"/>
      <c r="H2" s="633" t="s">
        <v>8</v>
      </c>
      <c r="I2" s="634"/>
      <c r="J2" s="634"/>
      <c r="K2" s="634"/>
      <c r="L2" s="635"/>
      <c r="M2" s="684" t="s">
        <v>257</v>
      </c>
      <c r="N2" s="685"/>
      <c r="O2" s="685"/>
      <c r="P2" s="685"/>
      <c r="Q2" s="686"/>
      <c r="S2" s="673" t="s">
        <v>41</v>
      </c>
      <c r="T2" s="674"/>
      <c r="U2" s="675"/>
      <c r="W2" s="676" t="s">
        <v>42</v>
      </c>
      <c r="X2" s="677"/>
      <c r="Y2" s="678"/>
      <c r="AA2" s="666" t="s">
        <v>22</v>
      </c>
      <c r="AB2" s="667"/>
      <c r="AC2" s="668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1">
        <f>G23+G38+G79+G117+G92+G102+G51+G66</f>
        <v>0</v>
      </c>
      <c r="T3" s="672"/>
      <c r="U3" s="80" t="s">
        <v>23</v>
      </c>
      <c r="W3" s="679">
        <f>L23+L38+L79+L117+L92+L102+L51+L66</f>
        <v>0</v>
      </c>
      <c r="X3" s="680"/>
      <c r="Y3" s="81" t="s">
        <v>23</v>
      </c>
      <c r="AA3" s="669">
        <f>Q23+Q38+Q79+Q117+Q92+Q102+Q51+Q66</f>
        <v>0</v>
      </c>
      <c r="AB3" s="670"/>
      <c r="AC3" s="79" t="s">
        <v>23</v>
      </c>
    </row>
    <row r="4" spans="1:29" ht="15" thickBot="1" x14ac:dyDescent="0.35">
      <c r="A4">
        <f>A23+A38+A51+A66+A79+A92+A102+A117</f>
        <v>0</v>
      </c>
    </row>
    <row r="5" spans="1:29" ht="15" customHeight="1" x14ac:dyDescent="0.3">
      <c r="A5" s="689" t="s">
        <v>163</v>
      </c>
      <c r="B5" s="689"/>
      <c r="C5" s="689"/>
      <c r="D5" s="689"/>
      <c r="E5" s="689"/>
      <c r="F5" s="689"/>
      <c r="G5" s="122"/>
      <c r="H5" s="698" t="s">
        <v>95</v>
      </c>
      <c r="I5" s="698"/>
      <c r="J5" s="698"/>
      <c r="K5" s="2"/>
      <c r="L5" s="2"/>
      <c r="M5" s="2"/>
      <c r="N5" s="2"/>
      <c r="O5" s="2"/>
      <c r="P5" s="2"/>
      <c r="Q5" s="5"/>
    </row>
    <row r="6" spans="1:29" ht="15" customHeight="1" x14ac:dyDescent="0.3">
      <c r="A6" s="690"/>
      <c r="B6" s="690"/>
      <c r="C6" s="690"/>
      <c r="D6" s="690"/>
      <c r="E6" s="690"/>
      <c r="F6" s="690"/>
      <c r="G6" s="123"/>
      <c r="H6" s="699"/>
      <c r="I6" s="699"/>
      <c r="J6" s="69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VLOOKUP($B7,Reporting!$AD:$AK,MATCH($A$5,Reporting!$AE$4:$AK$4,0)+1,FALSE)</f>
        <v>0</v>
      </c>
      <c r="B7" s="262" t="s">
        <v>374</v>
      </c>
      <c r="C7" s="96">
        <v>0.23</v>
      </c>
      <c r="D7" s="6">
        <v>0.61</v>
      </c>
      <c r="E7" s="7">
        <f>C7*D7</f>
        <v>0.14030000000000001</v>
      </c>
      <c r="F7" s="7">
        <f>A7*E7</f>
        <v>0</v>
      </c>
      <c r="G7" s="8">
        <f>F7/8</f>
        <v>0</v>
      </c>
      <c r="H7" s="9">
        <f>C7</f>
        <v>0.23</v>
      </c>
      <c r="I7" s="10">
        <v>0.61</v>
      </c>
      <c r="J7" s="10">
        <f>H7*I7</f>
        <v>0.14030000000000001</v>
      </c>
      <c r="K7" s="10">
        <f>A7*J7</f>
        <v>0</v>
      </c>
      <c r="L7" s="11">
        <f>K7/8</f>
        <v>0</v>
      </c>
      <c r="M7" s="12">
        <f>H7</f>
        <v>0.23</v>
      </c>
      <c r="N7" s="13">
        <v>0.55000000000000004</v>
      </c>
      <c r="O7" s="13">
        <f>M7*N7</f>
        <v>0.12650000000000003</v>
      </c>
      <c r="P7" s="13">
        <f>A7*O7</f>
        <v>0</v>
      </c>
      <c r="Q7" s="14">
        <f>P7/8</f>
        <v>0</v>
      </c>
    </row>
    <row r="8" spans="1:29" ht="15.75" customHeight="1" x14ac:dyDescent="0.3">
      <c r="A8" s="250">
        <f>VLOOKUP($B8,Reporting!$AD:$AK,MATCH($A$5,Reporting!$AE$4:$AK$4,0)+1,FALSE)</f>
        <v>0</v>
      </c>
      <c r="B8" s="119" t="s">
        <v>390</v>
      </c>
      <c r="C8" s="97">
        <v>0.3</v>
      </c>
      <c r="D8" s="6">
        <v>0.61</v>
      </c>
      <c r="E8" s="7">
        <f>C8*D8</f>
        <v>0.183</v>
      </c>
      <c r="F8" s="7">
        <f t="shared" ref="F8:F22" si="0">A8*E8</f>
        <v>0</v>
      </c>
      <c r="G8" s="8">
        <f>F8/8</f>
        <v>0</v>
      </c>
      <c r="H8" s="9">
        <f t="shared" ref="H8:H22" si="1">C8</f>
        <v>0.3</v>
      </c>
      <c r="I8" s="10">
        <v>0.61</v>
      </c>
      <c r="J8" s="10">
        <f>H8*I8</f>
        <v>0.183</v>
      </c>
      <c r="K8" s="10">
        <f t="shared" ref="K8:K22" si="2">A8*J8</f>
        <v>0</v>
      </c>
      <c r="L8" s="11">
        <f>K8/8</f>
        <v>0</v>
      </c>
      <c r="M8" s="12">
        <f>H8</f>
        <v>0.3</v>
      </c>
      <c r="N8" s="13">
        <v>0.55000000000000004</v>
      </c>
      <c r="O8" s="13">
        <f>M8*N8</f>
        <v>0.16500000000000001</v>
      </c>
      <c r="P8" s="13">
        <f t="shared" ref="P8:P22" si="3">A8*O8</f>
        <v>0</v>
      </c>
      <c r="Q8" s="14">
        <f>P8/8</f>
        <v>0</v>
      </c>
    </row>
    <row r="9" spans="1:29" x14ac:dyDescent="0.3">
      <c r="A9" s="250">
        <f>VLOOKUP($B9,Reporting!$AD:$AK,MATCH($A$5,Reporting!$AE$4:$AK$4,0)+1,FALSE)</f>
        <v>0</v>
      </c>
      <c r="B9" s="266" t="s">
        <v>376</v>
      </c>
      <c r="C9" s="97">
        <v>0.26</v>
      </c>
      <c r="D9" s="6">
        <v>0.61</v>
      </c>
      <c r="E9" s="7">
        <f t="shared" ref="E9:E22" si="4">C9*D9</f>
        <v>0.15859999999999999</v>
      </c>
      <c r="F9" s="7">
        <f t="shared" si="0"/>
        <v>0</v>
      </c>
      <c r="G9" s="8">
        <f t="shared" ref="G9:G22" si="5">F9/8</f>
        <v>0</v>
      </c>
      <c r="H9" s="9">
        <f t="shared" si="1"/>
        <v>0.26</v>
      </c>
      <c r="I9" s="10">
        <v>0.61</v>
      </c>
      <c r="J9" s="10">
        <f t="shared" ref="J9:J22" si="6">H9*I9</f>
        <v>0.15859999999999999</v>
      </c>
      <c r="K9" s="10">
        <f t="shared" si="2"/>
        <v>0</v>
      </c>
      <c r="L9" s="11">
        <f t="shared" ref="L9:L22" si="7">K9/8</f>
        <v>0</v>
      </c>
      <c r="M9" s="12">
        <f t="shared" ref="M9:M22" si="8">H9</f>
        <v>0.26</v>
      </c>
      <c r="N9" s="13">
        <v>0.55000000000000004</v>
      </c>
      <c r="O9" s="13">
        <f t="shared" ref="O9:O22" si="9">M9*N9</f>
        <v>0.14300000000000002</v>
      </c>
      <c r="P9" s="13">
        <f t="shared" si="3"/>
        <v>0</v>
      </c>
      <c r="Q9" s="14">
        <f t="shared" ref="Q9:Q22" si="10">P9/8</f>
        <v>0</v>
      </c>
    </row>
    <row r="10" spans="1:29" x14ac:dyDescent="0.3">
      <c r="A10" s="250">
        <f>VLOOKUP($B10,Reporting!$AD:$AK,MATCH($A$5,Reporting!$AE$4:$AK$4,0)+1,FALSE)</f>
        <v>0</v>
      </c>
      <c r="B10" s="119" t="s">
        <v>391</v>
      </c>
      <c r="C10" s="97">
        <v>0.28000000000000003</v>
      </c>
      <c r="D10" s="6">
        <v>0.61</v>
      </c>
      <c r="E10" s="7">
        <f t="shared" si="4"/>
        <v>0.17080000000000001</v>
      </c>
      <c r="F10" s="7">
        <f t="shared" si="0"/>
        <v>0</v>
      </c>
      <c r="G10" s="8">
        <f t="shared" si="5"/>
        <v>0</v>
      </c>
      <c r="H10" s="9">
        <f t="shared" si="1"/>
        <v>0.28000000000000003</v>
      </c>
      <c r="I10" s="10">
        <v>0.61</v>
      </c>
      <c r="J10" s="10">
        <f t="shared" si="6"/>
        <v>0.17080000000000001</v>
      </c>
      <c r="K10" s="10">
        <f t="shared" si="2"/>
        <v>0</v>
      </c>
      <c r="L10" s="11">
        <f t="shared" si="7"/>
        <v>0</v>
      </c>
      <c r="M10" s="12">
        <f t="shared" si="8"/>
        <v>0.28000000000000003</v>
      </c>
      <c r="N10" s="13">
        <v>0.55000000000000004</v>
      </c>
      <c r="O10" s="13">
        <f t="shared" si="9"/>
        <v>0.15400000000000003</v>
      </c>
      <c r="P10" s="13">
        <f t="shared" si="3"/>
        <v>0</v>
      </c>
      <c r="Q10" s="14">
        <f t="shared" si="10"/>
        <v>0</v>
      </c>
    </row>
    <row r="11" spans="1:29" x14ac:dyDescent="0.3">
      <c r="A11" s="250">
        <f>VLOOKUP($B11,Reporting!$AD:$AK,MATCH($A$5,Reporting!$AE$4:$AK$4,0)+1,FALSE)</f>
        <v>0</v>
      </c>
      <c r="B11" s="119" t="s">
        <v>392</v>
      </c>
      <c r="C11" s="97">
        <v>0.34</v>
      </c>
      <c r="D11" s="6">
        <v>0.61</v>
      </c>
      <c r="E11" s="7">
        <f t="shared" si="4"/>
        <v>0.2074</v>
      </c>
      <c r="F11" s="7">
        <f t="shared" si="0"/>
        <v>0</v>
      </c>
      <c r="G11" s="8">
        <f t="shared" si="5"/>
        <v>0</v>
      </c>
      <c r="H11" s="9">
        <f t="shared" si="1"/>
        <v>0.34</v>
      </c>
      <c r="I11" s="10">
        <v>0.61</v>
      </c>
      <c r="J11" s="10">
        <f t="shared" si="6"/>
        <v>0.2074</v>
      </c>
      <c r="K11" s="10">
        <f t="shared" si="2"/>
        <v>0</v>
      </c>
      <c r="L11" s="11">
        <f t="shared" si="7"/>
        <v>0</v>
      </c>
      <c r="M11" s="12">
        <f t="shared" si="8"/>
        <v>0.34</v>
      </c>
      <c r="N11" s="13">
        <v>0.55000000000000004</v>
      </c>
      <c r="O11" s="13">
        <f t="shared" si="9"/>
        <v>0.18700000000000003</v>
      </c>
      <c r="P11" s="13">
        <f t="shared" si="3"/>
        <v>0</v>
      </c>
      <c r="Q11" s="14">
        <f t="shared" si="10"/>
        <v>0</v>
      </c>
    </row>
    <row r="12" spans="1:29" x14ac:dyDescent="0.3">
      <c r="A12" s="250">
        <f>VLOOKUP($B12,Reporting!$AD:$AK,MATCH($A$5,Reporting!$AE$4:$AK$4,0)+1,FALSE)</f>
        <v>0</v>
      </c>
      <c r="B12" s="119" t="s">
        <v>393</v>
      </c>
      <c r="C12" s="97">
        <v>0.39</v>
      </c>
      <c r="D12" s="6">
        <v>0.61</v>
      </c>
      <c r="E12" s="7">
        <f t="shared" si="4"/>
        <v>0.2379</v>
      </c>
      <c r="F12" s="7">
        <f t="shared" si="0"/>
        <v>0</v>
      </c>
      <c r="G12" s="8">
        <f t="shared" si="5"/>
        <v>0</v>
      </c>
      <c r="H12" s="9">
        <f t="shared" si="1"/>
        <v>0.39</v>
      </c>
      <c r="I12" s="10">
        <v>0.61</v>
      </c>
      <c r="J12" s="10">
        <f t="shared" si="6"/>
        <v>0.2379</v>
      </c>
      <c r="K12" s="10">
        <f t="shared" si="2"/>
        <v>0</v>
      </c>
      <c r="L12" s="11">
        <f t="shared" si="7"/>
        <v>0</v>
      </c>
      <c r="M12" s="12">
        <f t="shared" si="8"/>
        <v>0.39</v>
      </c>
      <c r="N12" s="13">
        <v>0.55000000000000004</v>
      </c>
      <c r="O12" s="13">
        <f t="shared" si="9"/>
        <v>0.21450000000000002</v>
      </c>
      <c r="P12" s="13">
        <f t="shared" si="3"/>
        <v>0</v>
      </c>
      <c r="Q12" s="14">
        <f t="shared" si="10"/>
        <v>0</v>
      </c>
    </row>
    <row r="13" spans="1:29" x14ac:dyDescent="0.3">
      <c r="A13" s="250">
        <f>VLOOKUP($B13,Reporting!$AD:$AK,MATCH($A$5,Reporting!$AE$4:$AK$4,0)+1,FALSE)</f>
        <v>0</v>
      </c>
      <c r="B13" s="119" t="s">
        <v>394</v>
      </c>
      <c r="C13" s="97">
        <v>0.4</v>
      </c>
      <c r="D13" s="6">
        <v>0.61</v>
      </c>
      <c r="E13" s="7">
        <f t="shared" si="4"/>
        <v>0.24399999999999999</v>
      </c>
      <c r="F13" s="7">
        <f t="shared" si="0"/>
        <v>0</v>
      </c>
      <c r="G13" s="8">
        <f t="shared" si="5"/>
        <v>0</v>
      </c>
      <c r="H13" s="9">
        <f t="shared" si="1"/>
        <v>0.4</v>
      </c>
      <c r="I13" s="10">
        <v>0.61</v>
      </c>
      <c r="J13" s="10">
        <f t="shared" si="6"/>
        <v>0.24399999999999999</v>
      </c>
      <c r="K13" s="10">
        <f t="shared" si="2"/>
        <v>0</v>
      </c>
      <c r="L13" s="11">
        <f t="shared" si="7"/>
        <v>0</v>
      </c>
      <c r="M13" s="12">
        <f t="shared" si="8"/>
        <v>0.4</v>
      </c>
      <c r="N13" s="13">
        <v>0.55000000000000004</v>
      </c>
      <c r="O13" s="13">
        <f t="shared" si="9"/>
        <v>0.22000000000000003</v>
      </c>
      <c r="P13" s="13">
        <f t="shared" si="3"/>
        <v>0</v>
      </c>
      <c r="Q13" s="14">
        <f t="shared" si="10"/>
        <v>0</v>
      </c>
    </row>
    <row r="14" spans="1:29" x14ac:dyDescent="0.3">
      <c r="A14" s="250">
        <f>VLOOKUP($B14,Reporting!$AD:$AK,MATCH($A$5,Reporting!$AE$4:$AK$4,0)+1,FALSE)</f>
        <v>0</v>
      </c>
      <c r="B14" s="119" t="s">
        <v>395</v>
      </c>
      <c r="C14" s="97">
        <v>0.47</v>
      </c>
      <c r="D14" s="6">
        <v>0.61</v>
      </c>
      <c r="E14" s="7">
        <f t="shared" si="4"/>
        <v>0.28669999999999995</v>
      </c>
      <c r="F14" s="7">
        <f t="shared" si="0"/>
        <v>0</v>
      </c>
      <c r="G14" s="8">
        <f t="shared" si="5"/>
        <v>0</v>
      </c>
      <c r="H14" s="9">
        <f t="shared" si="1"/>
        <v>0.47</v>
      </c>
      <c r="I14" s="10">
        <v>0.61</v>
      </c>
      <c r="J14" s="10">
        <f t="shared" si="6"/>
        <v>0.28669999999999995</v>
      </c>
      <c r="K14" s="10">
        <f t="shared" si="2"/>
        <v>0</v>
      </c>
      <c r="L14" s="11">
        <f t="shared" si="7"/>
        <v>0</v>
      </c>
      <c r="M14" s="12">
        <f t="shared" si="8"/>
        <v>0.47</v>
      </c>
      <c r="N14" s="13">
        <v>0.55000000000000004</v>
      </c>
      <c r="O14" s="13">
        <f t="shared" si="9"/>
        <v>0.25850000000000001</v>
      </c>
      <c r="P14" s="13">
        <f t="shared" si="3"/>
        <v>0</v>
      </c>
      <c r="Q14" s="14">
        <f t="shared" si="10"/>
        <v>0</v>
      </c>
    </row>
    <row r="15" spans="1:29" x14ac:dyDescent="0.3">
      <c r="A15" s="250">
        <f>VLOOKUP($B15,Reporting!$AD:$AK,MATCH($A$5,Reporting!$AE$4:$AK$4,0)+1,FALSE)</f>
        <v>0</v>
      </c>
      <c r="B15" s="119" t="s">
        <v>396</v>
      </c>
      <c r="C15" s="97">
        <v>0.54</v>
      </c>
      <c r="D15" s="6">
        <v>0.61</v>
      </c>
      <c r="E15" s="7">
        <f t="shared" si="4"/>
        <v>0.32940000000000003</v>
      </c>
      <c r="F15" s="7">
        <f t="shared" si="0"/>
        <v>0</v>
      </c>
      <c r="G15" s="8">
        <f t="shared" si="5"/>
        <v>0</v>
      </c>
      <c r="H15" s="9">
        <f t="shared" si="1"/>
        <v>0.54</v>
      </c>
      <c r="I15" s="10">
        <v>0.61</v>
      </c>
      <c r="J15" s="10">
        <f t="shared" si="6"/>
        <v>0.32940000000000003</v>
      </c>
      <c r="K15" s="10">
        <f t="shared" si="2"/>
        <v>0</v>
      </c>
      <c r="L15" s="11">
        <f t="shared" si="7"/>
        <v>0</v>
      </c>
      <c r="M15" s="12">
        <f t="shared" si="8"/>
        <v>0.54</v>
      </c>
      <c r="N15" s="13">
        <v>0.55000000000000004</v>
      </c>
      <c r="O15" s="13">
        <f t="shared" si="9"/>
        <v>0.29700000000000004</v>
      </c>
      <c r="P15" s="13">
        <f t="shared" si="3"/>
        <v>0</v>
      </c>
      <c r="Q15" s="14">
        <f t="shared" si="10"/>
        <v>0</v>
      </c>
    </row>
    <row r="16" spans="1:29" x14ac:dyDescent="0.3">
      <c r="A16" s="250">
        <f>VLOOKUP($B16,Reporting!$AD:$AK,MATCH($A$5,Reporting!$AE$4:$AK$4,0)+1,FALSE)</f>
        <v>0</v>
      </c>
      <c r="B16" s="119" t="s">
        <v>397</v>
      </c>
      <c r="C16" s="97">
        <v>0.54</v>
      </c>
      <c r="D16" s="6">
        <v>0.61</v>
      </c>
      <c r="E16" s="7">
        <f t="shared" si="4"/>
        <v>0.32940000000000003</v>
      </c>
      <c r="F16" s="7">
        <f t="shared" si="0"/>
        <v>0</v>
      </c>
      <c r="G16" s="8">
        <f t="shared" si="5"/>
        <v>0</v>
      </c>
      <c r="H16" s="9">
        <f t="shared" si="1"/>
        <v>0.54</v>
      </c>
      <c r="I16" s="10">
        <v>0.61</v>
      </c>
      <c r="J16" s="10">
        <f t="shared" si="6"/>
        <v>0.32940000000000003</v>
      </c>
      <c r="K16" s="10">
        <f t="shared" si="2"/>
        <v>0</v>
      </c>
      <c r="L16" s="11">
        <f t="shared" si="7"/>
        <v>0</v>
      </c>
      <c r="M16" s="12">
        <f t="shared" si="8"/>
        <v>0.54</v>
      </c>
      <c r="N16" s="13">
        <v>0.55000000000000004</v>
      </c>
      <c r="O16" s="13">
        <f t="shared" si="9"/>
        <v>0.29700000000000004</v>
      </c>
      <c r="P16" s="13">
        <f t="shared" si="3"/>
        <v>0</v>
      </c>
      <c r="Q16" s="14">
        <f t="shared" si="10"/>
        <v>0</v>
      </c>
    </row>
    <row r="17" spans="1:25" x14ac:dyDescent="0.3">
      <c r="A17" s="250">
        <f>VLOOKUP($B17,Reporting!$AD:$AK,MATCH($A$5,Reporting!$AE$4:$AK$4,0)+1,FALSE)</f>
        <v>0</v>
      </c>
      <c r="B17" s="119" t="s">
        <v>398</v>
      </c>
      <c r="C17" s="97">
        <v>0.63</v>
      </c>
      <c r="D17" s="6">
        <v>0.61</v>
      </c>
      <c r="E17" s="7">
        <f t="shared" si="4"/>
        <v>0.38429999999999997</v>
      </c>
      <c r="F17" s="7">
        <f t="shared" si="0"/>
        <v>0</v>
      </c>
      <c r="G17" s="8">
        <f t="shared" si="5"/>
        <v>0</v>
      </c>
      <c r="H17" s="9">
        <f t="shared" si="1"/>
        <v>0.63</v>
      </c>
      <c r="I17" s="10">
        <v>0.61</v>
      </c>
      <c r="J17" s="10">
        <f t="shared" si="6"/>
        <v>0.38429999999999997</v>
      </c>
      <c r="K17" s="10">
        <f t="shared" si="2"/>
        <v>0</v>
      </c>
      <c r="L17" s="11">
        <f t="shared" si="7"/>
        <v>0</v>
      </c>
      <c r="M17" s="12">
        <f t="shared" si="8"/>
        <v>0.63</v>
      </c>
      <c r="N17" s="13">
        <v>0.55000000000000004</v>
      </c>
      <c r="O17" s="13">
        <f t="shared" si="9"/>
        <v>0.34650000000000003</v>
      </c>
      <c r="P17" s="13">
        <f t="shared" si="3"/>
        <v>0</v>
      </c>
      <c r="Q17" s="14">
        <f t="shared" si="10"/>
        <v>0</v>
      </c>
    </row>
    <row r="18" spans="1:25" x14ac:dyDescent="0.3">
      <c r="A18" s="250">
        <f>VLOOKUP($B18,Reporting!$AD:$AK,MATCH($A$5,Reporting!$AE$4:$AK$4,0)+1,FALSE)</f>
        <v>0</v>
      </c>
      <c r="B18" s="119" t="s">
        <v>399</v>
      </c>
      <c r="C18" s="97">
        <v>0.72</v>
      </c>
      <c r="D18" s="6">
        <v>0.61</v>
      </c>
      <c r="E18" s="7">
        <f t="shared" si="4"/>
        <v>0.43919999999999998</v>
      </c>
      <c r="F18" s="7">
        <f t="shared" si="0"/>
        <v>0</v>
      </c>
      <c r="G18" s="8">
        <f t="shared" si="5"/>
        <v>0</v>
      </c>
      <c r="H18" s="9">
        <f t="shared" si="1"/>
        <v>0.72</v>
      </c>
      <c r="I18" s="10">
        <v>0.61</v>
      </c>
      <c r="J18" s="10">
        <f t="shared" si="6"/>
        <v>0.43919999999999998</v>
      </c>
      <c r="K18" s="10">
        <f t="shared" si="2"/>
        <v>0</v>
      </c>
      <c r="L18" s="11">
        <f t="shared" si="7"/>
        <v>0</v>
      </c>
      <c r="M18" s="12">
        <f t="shared" si="8"/>
        <v>0.72</v>
      </c>
      <c r="N18" s="13">
        <v>0.55000000000000004</v>
      </c>
      <c r="O18" s="13">
        <f t="shared" si="9"/>
        <v>0.39600000000000002</v>
      </c>
      <c r="P18" s="13">
        <f t="shared" si="3"/>
        <v>0</v>
      </c>
      <c r="Q18" s="14">
        <f t="shared" si="10"/>
        <v>0</v>
      </c>
    </row>
    <row r="19" spans="1:25" x14ac:dyDescent="0.3">
      <c r="A19" s="250">
        <f>VLOOKUP($B19,Reporting!$AD:$AK,MATCH($A$5,Reporting!$AE$4:$AK$4,0)+1,FALSE)</f>
        <v>0</v>
      </c>
      <c r="B19" s="119" t="s">
        <v>400</v>
      </c>
      <c r="C19" s="97">
        <v>0.81</v>
      </c>
      <c r="D19" s="6">
        <v>0.61</v>
      </c>
      <c r="E19" s="7">
        <f t="shared" si="4"/>
        <v>0.49410000000000004</v>
      </c>
      <c r="F19" s="7">
        <f t="shared" si="0"/>
        <v>0</v>
      </c>
      <c r="G19" s="8">
        <f t="shared" si="5"/>
        <v>0</v>
      </c>
      <c r="H19" s="9">
        <f t="shared" si="1"/>
        <v>0.81</v>
      </c>
      <c r="I19" s="10">
        <v>0.61</v>
      </c>
      <c r="J19" s="10">
        <f t="shared" si="6"/>
        <v>0.49410000000000004</v>
      </c>
      <c r="K19" s="10">
        <f t="shared" si="2"/>
        <v>0</v>
      </c>
      <c r="L19" s="11">
        <f t="shared" si="7"/>
        <v>0</v>
      </c>
      <c r="M19" s="12">
        <f t="shared" si="8"/>
        <v>0.81</v>
      </c>
      <c r="N19" s="13">
        <v>0.55000000000000004</v>
      </c>
      <c r="O19" s="13">
        <f t="shared" si="9"/>
        <v>0.44550000000000006</v>
      </c>
      <c r="P19" s="13">
        <f t="shared" si="3"/>
        <v>0</v>
      </c>
      <c r="Q19" s="14">
        <f t="shared" si="10"/>
        <v>0</v>
      </c>
    </row>
    <row r="20" spans="1:25" x14ac:dyDescent="0.3">
      <c r="A20" s="250">
        <f>VLOOKUP($B20,Reporting!$AD:$AK,MATCH($A$5,Reporting!$AE$4:$AK$4,0)+1,FALSE)</f>
        <v>0</v>
      </c>
      <c r="B20" s="119" t="s">
        <v>401</v>
      </c>
      <c r="C20" s="97">
        <v>0.9</v>
      </c>
      <c r="D20" s="6">
        <v>0.61</v>
      </c>
      <c r="E20" s="7">
        <f t="shared" si="4"/>
        <v>0.54900000000000004</v>
      </c>
      <c r="F20" s="7">
        <f t="shared" si="0"/>
        <v>0</v>
      </c>
      <c r="G20" s="8">
        <f t="shared" si="5"/>
        <v>0</v>
      </c>
      <c r="H20" s="9">
        <f t="shared" si="1"/>
        <v>0.9</v>
      </c>
      <c r="I20" s="10">
        <v>0.61</v>
      </c>
      <c r="J20" s="10">
        <f t="shared" si="6"/>
        <v>0.54900000000000004</v>
      </c>
      <c r="K20" s="10">
        <f t="shared" si="2"/>
        <v>0</v>
      </c>
      <c r="L20" s="11">
        <f t="shared" si="7"/>
        <v>0</v>
      </c>
      <c r="M20" s="12">
        <f t="shared" si="8"/>
        <v>0.9</v>
      </c>
      <c r="N20" s="13">
        <v>0.55000000000000004</v>
      </c>
      <c r="O20" s="13">
        <f t="shared" si="9"/>
        <v>0.49500000000000005</v>
      </c>
      <c r="P20" s="13">
        <f t="shared" si="3"/>
        <v>0</v>
      </c>
      <c r="Q20" s="14">
        <f t="shared" si="10"/>
        <v>0</v>
      </c>
    </row>
    <row r="21" spans="1:25" x14ac:dyDescent="0.3">
      <c r="A21" s="250">
        <f>VLOOKUP($B21,Reporting!$AD:$AK,MATCH($A$5,Reporting!$AE$4:$AK$4,0)+1,FALSE)</f>
        <v>0</v>
      </c>
      <c r="B21" s="119" t="s">
        <v>402</v>
      </c>
      <c r="C21" s="97">
        <v>1.08</v>
      </c>
      <c r="D21" s="6">
        <v>0.61</v>
      </c>
      <c r="E21" s="7">
        <f t="shared" si="4"/>
        <v>0.65880000000000005</v>
      </c>
      <c r="F21" s="7">
        <f t="shared" si="0"/>
        <v>0</v>
      </c>
      <c r="G21" s="8">
        <f t="shared" si="5"/>
        <v>0</v>
      </c>
      <c r="H21" s="9">
        <f t="shared" si="1"/>
        <v>1.08</v>
      </c>
      <c r="I21" s="10">
        <v>0.61</v>
      </c>
      <c r="J21" s="10">
        <f t="shared" si="6"/>
        <v>0.65880000000000005</v>
      </c>
      <c r="K21" s="10">
        <f t="shared" si="2"/>
        <v>0</v>
      </c>
      <c r="L21" s="11">
        <f t="shared" si="7"/>
        <v>0</v>
      </c>
      <c r="M21" s="12">
        <f t="shared" si="8"/>
        <v>1.08</v>
      </c>
      <c r="N21" s="13">
        <v>0.55000000000000004</v>
      </c>
      <c r="O21" s="13">
        <f t="shared" si="9"/>
        <v>0.59400000000000008</v>
      </c>
      <c r="P21" s="13">
        <f t="shared" si="3"/>
        <v>0</v>
      </c>
      <c r="Q21" s="14">
        <f t="shared" si="10"/>
        <v>0</v>
      </c>
    </row>
    <row r="22" spans="1:25" x14ac:dyDescent="0.3">
      <c r="A22" s="250">
        <f>VLOOKUP($B22,Reporting!$AD:$AK,MATCH($A$5,Reporting!$AE$4:$AK$4,0)+1,FALSE)</f>
        <v>0</v>
      </c>
      <c r="B22" s="119" t="s">
        <v>403</v>
      </c>
      <c r="C22" s="97">
        <v>1.35</v>
      </c>
      <c r="D22" s="6">
        <v>0.61</v>
      </c>
      <c r="E22" s="7">
        <f t="shared" si="4"/>
        <v>0.82350000000000001</v>
      </c>
      <c r="F22" s="7">
        <f t="shared" si="0"/>
        <v>0</v>
      </c>
      <c r="G22" s="8">
        <f t="shared" si="5"/>
        <v>0</v>
      </c>
      <c r="H22" s="9">
        <f t="shared" si="1"/>
        <v>1.35</v>
      </c>
      <c r="I22" s="10">
        <v>0.61</v>
      </c>
      <c r="J22" s="10">
        <f t="shared" si="6"/>
        <v>0.82350000000000001</v>
      </c>
      <c r="K22" s="10">
        <f t="shared" si="2"/>
        <v>0</v>
      </c>
      <c r="L22" s="11">
        <f t="shared" si="7"/>
        <v>0</v>
      </c>
      <c r="M22" s="12">
        <f t="shared" si="8"/>
        <v>1.35</v>
      </c>
      <c r="N22" s="13">
        <v>0.55000000000000004</v>
      </c>
      <c r="O22" s="13">
        <f t="shared" si="9"/>
        <v>0.74250000000000016</v>
      </c>
      <c r="P22" s="13">
        <f t="shared" si="3"/>
        <v>0</v>
      </c>
      <c r="Q22" s="14">
        <f t="shared" si="10"/>
        <v>0</v>
      </c>
    </row>
    <row r="23" spans="1:25" ht="15" thickBot="1" x14ac:dyDescent="0.35">
      <c r="A23" s="3">
        <f>SUM(A7:A22)</f>
        <v>0</v>
      </c>
      <c r="B23" s="267"/>
      <c r="C23" s="4"/>
      <c r="D23" s="644" t="s">
        <v>9</v>
      </c>
      <c r="E23" s="645"/>
      <c r="F23" s="645"/>
      <c r="G23" s="16">
        <f>SUM(G7:G22)</f>
        <v>0</v>
      </c>
      <c r="H23" s="1"/>
      <c r="I23" s="646" t="s">
        <v>10</v>
      </c>
      <c r="J23" s="646"/>
      <c r="K23" s="646"/>
      <c r="L23" s="17">
        <f>SUM(L7:L22)</f>
        <v>0</v>
      </c>
      <c r="M23" s="15"/>
      <c r="N23" s="647" t="s">
        <v>11</v>
      </c>
      <c r="O23" s="647"/>
      <c r="P23" s="647"/>
      <c r="Q23" s="18">
        <f>SUM(Q7:Q22)</f>
        <v>0</v>
      </c>
      <c r="S23" s="598" t="s">
        <v>167</v>
      </c>
      <c r="T23" s="598"/>
      <c r="U23" s="598"/>
      <c r="W23" s="681" t="s">
        <v>167</v>
      </c>
      <c r="X23" s="681"/>
      <c r="Y23" s="681"/>
    </row>
    <row r="24" spans="1:25" ht="15" thickBot="1" x14ac:dyDescent="0.35">
      <c r="S24" s="664">
        <f>Q23+Q38</f>
        <v>0</v>
      </c>
      <c r="T24" s="665"/>
      <c r="U24" s="665"/>
      <c r="W24" s="682">
        <f>L23+L38</f>
        <v>0</v>
      </c>
      <c r="X24" s="683"/>
      <c r="Y24" s="683"/>
    </row>
    <row r="25" spans="1:25" ht="15" customHeight="1" x14ac:dyDescent="0.3">
      <c r="A25" s="689" t="s">
        <v>164</v>
      </c>
      <c r="B25" s="689"/>
      <c r="C25" s="689"/>
      <c r="D25" s="689"/>
      <c r="E25" s="689"/>
      <c r="F25" s="689"/>
      <c r="G25" s="689"/>
      <c r="H25" s="698" t="s">
        <v>96</v>
      </c>
      <c r="I25" s="698"/>
      <c r="J25" s="698"/>
      <c r="K25" s="2"/>
      <c r="L25" s="2"/>
      <c r="M25" s="2"/>
      <c r="N25" s="2"/>
      <c r="O25" s="2"/>
      <c r="P25" s="2"/>
      <c r="Q25" s="5"/>
      <c r="S25" s="665"/>
      <c r="T25" s="665"/>
      <c r="U25" s="665"/>
      <c r="W25" s="683"/>
      <c r="X25" s="683"/>
      <c r="Y25" s="683"/>
    </row>
    <row r="26" spans="1:25" ht="15" customHeight="1" x14ac:dyDescent="0.3">
      <c r="A26" s="690"/>
      <c r="B26" s="690"/>
      <c r="C26" s="690"/>
      <c r="D26" s="690"/>
      <c r="E26" s="690"/>
      <c r="F26" s="690"/>
      <c r="G26" s="690"/>
      <c r="H26" s="699"/>
      <c r="I26" s="699"/>
      <c r="J26" s="699"/>
      <c r="K26" s="29"/>
      <c r="L26" s="29"/>
      <c r="M26" s="29"/>
      <c r="N26" s="29"/>
      <c r="O26" s="29"/>
      <c r="P26" s="29"/>
      <c r="Q26" s="30"/>
      <c r="S26" s="665"/>
      <c r="T26" s="665"/>
      <c r="U26" s="665"/>
      <c r="W26" s="683"/>
      <c r="X26" s="683"/>
      <c r="Y26" s="683"/>
    </row>
    <row r="27" spans="1:25" ht="15" customHeight="1" x14ac:dyDescent="0.3">
      <c r="A27" s="250">
        <f>VLOOKUP($B27,Reporting!$AD:$AK,MATCH($A$25,Reporting!$AE$4:$AK$4,0)+1,FALSE)</f>
        <v>0</v>
      </c>
      <c r="B27" s="262" t="s">
        <v>371</v>
      </c>
      <c r="C27" s="96">
        <v>0.05</v>
      </c>
      <c r="D27" s="6">
        <v>0.61</v>
      </c>
      <c r="E27" s="7">
        <f t="shared" ref="E27:E37" si="11">C27*D27</f>
        <v>3.0499999999999999E-2</v>
      </c>
      <c r="F27" s="7">
        <f>A27*E27</f>
        <v>0</v>
      </c>
      <c r="G27" s="8">
        <f t="shared" ref="G27:G37" si="12">F27/8</f>
        <v>0</v>
      </c>
      <c r="H27" s="9">
        <f>C27</f>
        <v>0.05</v>
      </c>
      <c r="I27" s="10">
        <v>0.61</v>
      </c>
      <c r="J27" s="10">
        <f t="shared" ref="J27:J37" si="13">H27*I27</f>
        <v>3.0499999999999999E-2</v>
      </c>
      <c r="K27" s="10">
        <f>A27*J27</f>
        <v>0</v>
      </c>
      <c r="L27" s="11">
        <f t="shared" ref="L27:L37" si="14">K27/8</f>
        <v>0</v>
      </c>
      <c r="M27" s="12">
        <f t="shared" ref="M27:M37" si="15">H27</f>
        <v>0.05</v>
      </c>
      <c r="N27" s="13">
        <v>0.55000000000000004</v>
      </c>
      <c r="O27" s="13">
        <f t="shared" ref="O27:O37" si="16">M27*N27</f>
        <v>2.7500000000000004E-2</v>
      </c>
      <c r="P27" s="13">
        <f>A27*O27</f>
        <v>0</v>
      </c>
      <c r="Q27" s="14">
        <f t="shared" ref="Q27:Q37" si="17">P27/8</f>
        <v>0</v>
      </c>
    </row>
    <row r="28" spans="1:25" ht="15" customHeight="1" x14ac:dyDescent="0.3">
      <c r="A28" s="250">
        <f>VLOOKUP($B28,Reporting!$AD:$AK,MATCH($A$25,Reporting!$AE$4:$AK$4,0)+1,FALSE)</f>
        <v>0</v>
      </c>
      <c r="B28" s="262" t="s">
        <v>372</v>
      </c>
      <c r="C28" s="96">
        <v>0.06</v>
      </c>
      <c r="D28" s="6">
        <v>0.61</v>
      </c>
      <c r="E28" s="7">
        <f t="shared" si="11"/>
        <v>3.6600000000000001E-2</v>
      </c>
      <c r="F28" s="7">
        <f t="shared" ref="F28:F37" si="18">A28*E28</f>
        <v>0</v>
      </c>
      <c r="G28" s="8">
        <f t="shared" si="12"/>
        <v>0</v>
      </c>
      <c r="H28" s="9">
        <f t="shared" ref="H28:H37" si="19">C28</f>
        <v>0.06</v>
      </c>
      <c r="I28" s="10">
        <v>0.61</v>
      </c>
      <c r="J28" s="10">
        <f t="shared" si="13"/>
        <v>3.6600000000000001E-2</v>
      </c>
      <c r="K28" s="10">
        <f t="shared" ref="K28:K37" si="20">A28*J28</f>
        <v>0</v>
      </c>
      <c r="L28" s="11">
        <f t="shared" si="14"/>
        <v>0</v>
      </c>
      <c r="M28" s="12">
        <f t="shared" si="15"/>
        <v>0.06</v>
      </c>
      <c r="N28" s="13">
        <v>0.55000000000000004</v>
      </c>
      <c r="O28" s="13">
        <f t="shared" si="16"/>
        <v>3.3000000000000002E-2</v>
      </c>
      <c r="P28" s="13">
        <f t="shared" ref="P28:P37" si="21">A28*O28</f>
        <v>0</v>
      </c>
      <c r="Q28" s="14">
        <f t="shared" si="17"/>
        <v>0</v>
      </c>
    </row>
    <row r="29" spans="1:25" ht="15" customHeight="1" x14ac:dyDescent="0.3">
      <c r="A29" s="250">
        <f>VLOOKUP($B29,Reporting!$AD:$AK,MATCH($A$25,Reporting!$AE$4:$AK$4,0)+1,FALSE)</f>
        <v>0</v>
      </c>
      <c r="B29" s="19" t="s">
        <v>389</v>
      </c>
      <c r="C29" s="96">
        <v>0.06</v>
      </c>
      <c r="D29" s="6">
        <v>0.61</v>
      </c>
      <c r="E29" s="7">
        <f t="shared" si="11"/>
        <v>3.6600000000000001E-2</v>
      </c>
      <c r="F29" s="7">
        <f t="shared" si="18"/>
        <v>0</v>
      </c>
      <c r="G29" s="8">
        <f t="shared" si="12"/>
        <v>0</v>
      </c>
      <c r="H29" s="9">
        <f t="shared" si="19"/>
        <v>0.06</v>
      </c>
      <c r="I29" s="10">
        <v>0.61</v>
      </c>
      <c r="J29" s="10">
        <f t="shared" si="13"/>
        <v>3.6600000000000001E-2</v>
      </c>
      <c r="K29" s="10">
        <f t="shared" si="20"/>
        <v>0</v>
      </c>
      <c r="L29" s="11">
        <f t="shared" si="14"/>
        <v>0</v>
      </c>
      <c r="M29" s="12">
        <f t="shared" si="15"/>
        <v>0.06</v>
      </c>
      <c r="N29" s="13">
        <v>0.55000000000000004</v>
      </c>
      <c r="O29" s="13">
        <f t="shared" si="16"/>
        <v>3.3000000000000002E-2</v>
      </c>
      <c r="P29" s="13">
        <f t="shared" si="21"/>
        <v>0</v>
      </c>
      <c r="Q29" s="14">
        <f t="shared" si="17"/>
        <v>0</v>
      </c>
    </row>
    <row r="30" spans="1:25" ht="15" customHeight="1" x14ac:dyDescent="0.3">
      <c r="A30" s="250">
        <f>VLOOKUP($B30,Reporting!$AD:$AK,MATCH($A$25,Reporting!$AE$4:$AK$4,0)+1,FALSE)</f>
        <v>0</v>
      </c>
      <c r="B30" s="262" t="s">
        <v>373</v>
      </c>
      <c r="C30" s="96">
        <v>0.06</v>
      </c>
      <c r="D30" s="6">
        <v>0.61</v>
      </c>
      <c r="E30" s="7">
        <f t="shared" si="11"/>
        <v>3.6600000000000001E-2</v>
      </c>
      <c r="F30" s="7">
        <f t="shared" si="18"/>
        <v>0</v>
      </c>
      <c r="G30" s="8">
        <f t="shared" si="12"/>
        <v>0</v>
      </c>
      <c r="H30" s="9">
        <f t="shared" si="19"/>
        <v>0.06</v>
      </c>
      <c r="I30" s="10">
        <v>0.61</v>
      </c>
      <c r="J30" s="10">
        <f t="shared" si="13"/>
        <v>3.6600000000000001E-2</v>
      </c>
      <c r="K30" s="10">
        <f t="shared" si="20"/>
        <v>0</v>
      </c>
      <c r="L30" s="11">
        <f t="shared" si="14"/>
        <v>0</v>
      </c>
      <c r="M30" s="12">
        <f t="shared" si="15"/>
        <v>0.06</v>
      </c>
      <c r="N30" s="13">
        <v>0.55000000000000004</v>
      </c>
      <c r="O30" s="13">
        <f t="shared" si="16"/>
        <v>3.3000000000000002E-2</v>
      </c>
      <c r="P30" s="13">
        <f t="shared" si="21"/>
        <v>0</v>
      </c>
      <c r="Q30" s="14">
        <f t="shared" si="17"/>
        <v>0</v>
      </c>
    </row>
    <row r="31" spans="1:25" ht="15" customHeight="1" x14ac:dyDescent="0.3">
      <c r="A31" s="250">
        <f>VLOOKUP($B31,Reporting!$AD:$AK,MATCH($A$25,Reporting!$AE$4:$AK$4,0)+1,FALSE)</f>
        <v>0</v>
      </c>
      <c r="B31" s="262" t="s">
        <v>374</v>
      </c>
      <c r="C31" s="96">
        <v>0.06</v>
      </c>
      <c r="D31" s="6">
        <v>0.61</v>
      </c>
      <c r="E31" s="7">
        <f t="shared" si="11"/>
        <v>3.6600000000000001E-2</v>
      </c>
      <c r="F31" s="7">
        <f t="shared" si="18"/>
        <v>0</v>
      </c>
      <c r="G31" s="8">
        <f t="shared" si="12"/>
        <v>0</v>
      </c>
      <c r="H31" s="9">
        <f t="shared" si="19"/>
        <v>0.06</v>
      </c>
      <c r="I31" s="10">
        <v>0.61</v>
      </c>
      <c r="J31" s="10">
        <f t="shared" si="13"/>
        <v>3.6600000000000001E-2</v>
      </c>
      <c r="K31" s="10">
        <f t="shared" si="20"/>
        <v>0</v>
      </c>
      <c r="L31" s="11">
        <f t="shared" si="14"/>
        <v>0</v>
      </c>
      <c r="M31" s="12">
        <f t="shared" si="15"/>
        <v>0.06</v>
      </c>
      <c r="N31" s="13">
        <v>0.55000000000000004</v>
      </c>
      <c r="O31" s="13">
        <f t="shared" si="16"/>
        <v>3.3000000000000002E-2</v>
      </c>
      <c r="P31" s="13">
        <f t="shared" si="21"/>
        <v>0</v>
      </c>
      <c r="Q31" s="14">
        <f t="shared" si="17"/>
        <v>0</v>
      </c>
    </row>
    <row r="32" spans="1:25" ht="15.75" customHeight="1" x14ac:dyDescent="0.3">
      <c r="A32" s="250">
        <f>VLOOKUP($B32,Reporting!$AD:$AK,MATCH($A$25,Reporting!$AE$4:$AK$4,0)+1,FALSE)</f>
        <v>0</v>
      </c>
      <c r="B32" s="119" t="s">
        <v>390</v>
      </c>
      <c r="C32" s="97">
        <v>7.0000000000000007E-2</v>
      </c>
      <c r="D32" s="6">
        <v>0.61</v>
      </c>
      <c r="E32" s="7">
        <f t="shared" si="11"/>
        <v>4.2700000000000002E-2</v>
      </c>
      <c r="F32" s="7">
        <f t="shared" si="18"/>
        <v>0</v>
      </c>
      <c r="G32" s="8">
        <f t="shared" si="12"/>
        <v>0</v>
      </c>
      <c r="H32" s="9">
        <f t="shared" si="19"/>
        <v>7.0000000000000007E-2</v>
      </c>
      <c r="I32" s="10">
        <v>0.61</v>
      </c>
      <c r="J32" s="10">
        <f t="shared" si="13"/>
        <v>4.2700000000000002E-2</v>
      </c>
      <c r="K32" s="10">
        <f t="shared" si="20"/>
        <v>0</v>
      </c>
      <c r="L32" s="11">
        <f t="shared" si="14"/>
        <v>0</v>
      </c>
      <c r="M32" s="12">
        <f t="shared" si="15"/>
        <v>7.0000000000000007E-2</v>
      </c>
      <c r="N32" s="13">
        <v>0.55000000000000004</v>
      </c>
      <c r="O32" s="13">
        <f t="shared" si="16"/>
        <v>3.8500000000000006E-2</v>
      </c>
      <c r="P32" s="13">
        <f t="shared" si="21"/>
        <v>0</v>
      </c>
      <c r="Q32" s="14">
        <f t="shared" si="17"/>
        <v>0</v>
      </c>
    </row>
    <row r="33" spans="1:17" x14ac:dyDescent="0.3">
      <c r="A33" s="250">
        <f>VLOOKUP($B33,Reporting!$AD:$AK,MATCH($A$25,Reporting!$AE$4:$AK$4,0)+1,FALSE)</f>
        <v>0</v>
      </c>
      <c r="B33" s="266" t="s">
        <v>376</v>
      </c>
      <c r="C33" s="97">
        <v>0.08</v>
      </c>
      <c r="D33" s="6">
        <v>0.61</v>
      </c>
      <c r="E33" s="7">
        <f t="shared" si="11"/>
        <v>4.8800000000000003E-2</v>
      </c>
      <c r="F33" s="7">
        <f t="shared" si="18"/>
        <v>0</v>
      </c>
      <c r="G33" s="8">
        <f t="shared" si="12"/>
        <v>0</v>
      </c>
      <c r="H33" s="9">
        <f t="shared" si="19"/>
        <v>0.08</v>
      </c>
      <c r="I33" s="10">
        <v>0.61</v>
      </c>
      <c r="J33" s="10">
        <f t="shared" si="13"/>
        <v>4.8800000000000003E-2</v>
      </c>
      <c r="K33" s="10">
        <f t="shared" si="20"/>
        <v>0</v>
      </c>
      <c r="L33" s="11">
        <f t="shared" si="14"/>
        <v>0</v>
      </c>
      <c r="M33" s="12">
        <f t="shared" si="15"/>
        <v>0.08</v>
      </c>
      <c r="N33" s="13">
        <v>0.55000000000000004</v>
      </c>
      <c r="O33" s="13">
        <f t="shared" si="16"/>
        <v>4.4000000000000004E-2</v>
      </c>
      <c r="P33" s="13">
        <f t="shared" si="21"/>
        <v>0</v>
      </c>
      <c r="Q33" s="14">
        <f t="shared" si="17"/>
        <v>0</v>
      </c>
    </row>
    <row r="34" spans="1:17" x14ac:dyDescent="0.3">
      <c r="A34" s="250">
        <f>VLOOKUP($B34,Reporting!$AD:$AK,MATCH($A$25,Reporting!$AE$4:$AK$4,0)+1,FALSE)</f>
        <v>0</v>
      </c>
      <c r="B34" s="119" t="s">
        <v>391</v>
      </c>
      <c r="C34" s="97">
        <v>0.08</v>
      </c>
      <c r="D34" s="6">
        <v>0.61</v>
      </c>
      <c r="E34" s="7">
        <f t="shared" si="11"/>
        <v>4.8800000000000003E-2</v>
      </c>
      <c r="F34" s="7">
        <f t="shared" si="18"/>
        <v>0</v>
      </c>
      <c r="G34" s="8">
        <f t="shared" si="12"/>
        <v>0</v>
      </c>
      <c r="H34" s="9">
        <f t="shared" si="19"/>
        <v>0.08</v>
      </c>
      <c r="I34" s="10">
        <v>0.61</v>
      </c>
      <c r="J34" s="10">
        <f t="shared" si="13"/>
        <v>4.8800000000000003E-2</v>
      </c>
      <c r="K34" s="10">
        <f t="shared" si="20"/>
        <v>0</v>
      </c>
      <c r="L34" s="11">
        <f t="shared" si="14"/>
        <v>0</v>
      </c>
      <c r="M34" s="12">
        <f t="shared" si="15"/>
        <v>0.08</v>
      </c>
      <c r="N34" s="13">
        <v>0.55000000000000004</v>
      </c>
      <c r="O34" s="13">
        <f t="shared" si="16"/>
        <v>4.4000000000000004E-2</v>
      </c>
      <c r="P34" s="13">
        <f t="shared" si="21"/>
        <v>0</v>
      </c>
      <c r="Q34" s="14">
        <f t="shared" si="17"/>
        <v>0</v>
      </c>
    </row>
    <row r="35" spans="1:17" x14ac:dyDescent="0.3">
      <c r="A35" s="250">
        <f>VLOOKUP($B35,Reporting!$AD:$AK,MATCH($A$25,Reporting!$AE$4:$AK$4,0)+1,FALSE)</f>
        <v>0</v>
      </c>
      <c r="B35" s="119" t="s">
        <v>392</v>
      </c>
      <c r="C35" s="97">
        <v>0.08</v>
      </c>
      <c r="D35" s="6">
        <v>0.61</v>
      </c>
      <c r="E35" s="7">
        <f t="shared" si="11"/>
        <v>4.8800000000000003E-2</v>
      </c>
      <c r="F35" s="7">
        <f t="shared" si="18"/>
        <v>0</v>
      </c>
      <c r="G35" s="8">
        <f t="shared" si="12"/>
        <v>0</v>
      </c>
      <c r="H35" s="9">
        <f t="shared" si="19"/>
        <v>0.08</v>
      </c>
      <c r="I35" s="10">
        <v>0.61</v>
      </c>
      <c r="J35" s="10">
        <f t="shared" si="13"/>
        <v>4.8800000000000003E-2</v>
      </c>
      <c r="K35" s="10">
        <f t="shared" si="20"/>
        <v>0</v>
      </c>
      <c r="L35" s="11">
        <f t="shared" si="14"/>
        <v>0</v>
      </c>
      <c r="M35" s="12">
        <f t="shared" si="15"/>
        <v>0.08</v>
      </c>
      <c r="N35" s="13">
        <v>0.55000000000000004</v>
      </c>
      <c r="O35" s="13">
        <f t="shared" si="16"/>
        <v>4.4000000000000004E-2</v>
      </c>
      <c r="P35" s="13">
        <f t="shared" si="21"/>
        <v>0</v>
      </c>
      <c r="Q35" s="14">
        <f t="shared" si="17"/>
        <v>0</v>
      </c>
    </row>
    <row r="36" spans="1:17" x14ac:dyDescent="0.3">
      <c r="A36" s="250">
        <f>VLOOKUP($B36,Reporting!$AD:$AK,MATCH($A$25,Reporting!$AE$4:$AK$4,0)+1,FALSE)</f>
        <v>0</v>
      </c>
      <c r="B36" s="119" t="s">
        <v>393</v>
      </c>
      <c r="C36" s="97">
        <v>0.1</v>
      </c>
      <c r="D36" s="6">
        <v>0.61</v>
      </c>
      <c r="E36" s="7">
        <f t="shared" si="11"/>
        <v>6.0999999999999999E-2</v>
      </c>
      <c r="F36" s="7">
        <f t="shared" si="18"/>
        <v>0</v>
      </c>
      <c r="G36" s="8">
        <f t="shared" si="12"/>
        <v>0</v>
      </c>
      <c r="H36" s="9">
        <f t="shared" si="19"/>
        <v>0.1</v>
      </c>
      <c r="I36" s="10">
        <v>0.61</v>
      </c>
      <c r="J36" s="10">
        <f t="shared" si="13"/>
        <v>6.0999999999999999E-2</v>
      </c>
      <c r="K36" s="10">
        <f t="shared" si="20"/>
        <v>0</v>
      </c>
      <c r="L36" s="11">
        <f t="shared" si="14"/>
        <v>0</v>
      </c>
      <c r="M36" s="12">
        <f t="shared" si="15"/>
        <v>0.1</v>
      </c>
      <c r="N36" s="13">
        <v>0.55000000000000004</v>
      </c>
      <c r="O36" s="13">
        <f t="shared" si="16"/>
        <v>5.5000000000000007E-2</v>
      </c>
      <c r="P36" s="13">
        <f t="shared" si="21"/>
        <v>0</v>
      </c>
      <c r="Q36" s="14">
        <f t="shared" si="17"/>
        <v>0</v>
      </c>
    </row>
    <row r="37" spans="1:17" x14ac:dyDescent="0.3">
      <c r="A37" s="250">
        <f>VLOOKUP($B37,Reporting!$AD:$AK,MATCH($A$25,Reporting!$AE$4:$AK$4,0)+1,FALSE)</f>
        <v>0</v>
      </c>
      <c r="B37" s="119" t="s">
        <v>394</v>
      </c>
      <c r="C37" s="97">
        <v>0.12</v>
      </c>
      <c r="D37" s="6">
        <v>0.61</v>
      </c>
      <c r="E37" s="7">
        <f t="shared" si="11"/>
        <v>7.3200000000000001E-2</v>
      </c>
      <c r="F37" s="7">
        <f t="shared" si="18"/>
        <v>0</v>
      </c>
      <c r="G37" s="8">
        <f t="shared" si="12"/>
        <v>0</v>
      </c>
      <c r="H37" s="9">
        <f t="shared" si="19"/>
        <v>0.12</v>
      </c>
      <c r="I37" s="10">
        <v>0.61</v>
      </c>
      <c r="J37" s="10">
        <f t="shared" si="13"/>
        <v>7.3200000000000001E-2</v>
      </c>
      <c r="K37" s="10">
        <f t="shared" si="20"/>
        <v>0</v>
      </c>
      <c r="L37" s="11">
        <f t="shared" si="14"/>
        <v>0</v>
      </c>
      <c r="M37" s="12">
        <f t="shared" si="15"/>
        <v>0.12</v>
      </c>
      <c r="N37" s="13">
        <v>0.55000000000000004</v>
      </c>
      <c r="O37" s="13">
        <f t="shared" si="16"/>
        <v>6.6000000000000003E-2</v>
      </c>
      <c r="P37" s="13">
        <f t="shared" si="21"/>
        <v>0</v>
      </c>
      <c r="Q37" s="14">
        <f t="shared" si="17"/>
        <v>0</v>
      </c>
    </row>
    <row r="38" spans="1:17" ht="15" thickBot="1" x14ac:dyDescent="0.35">
      <c r="A38" s="3">
        <f>SUM(A27:A37)</f>
        <v>0</v>
      </c>
      <c r="B38" s="267"/>
      <c r="C38" s="4"/>
      <c r="D38" s="644" t="s">
        <v>9</v>
      </c>
      <c r="E38" s="645"/>
      <c r="F38" s="645"/>
      <c r="G38" s="16">
        <f>SUM(G27:G37)</f>
        <v>0</v>
      </c>
      <c r="H38" s="1"/>
      <c r="I38" s="646" t="s">
        <v>10</v>
      </c>
      <c r="J38" s="646"/>
      <c r="K38" s="646"/>
      <c r="L38" s="17">
        <f>SUM(L27:L37)</f>
        <v>0</v>
      </c>
      <c r="M38" s="15"/>
      <c r="N38" s="647" t="s">
        <v>11</v>
      </c>
      <c r="O38" s="647"/>
      <c r="P38" s="647"/>
      <c r="Q38" s="18">
        <f>SUM(Q27:Q37)</f>
        <v>0</v>
      </c>
    </row>
    <row r="39" spans="1:17" ht="15" thickBot="1" x14ac:dyDescent="0.35"/>
    <row r="40" spans="1:17" ht="15" customHeight="1" x14ac:dyDescent="0.3">
      <c r="A40" s="689" t="s">
        <v>165</v>
      </c>
      <c r="B40" s="689"/>
      <c r="C40" s="689"/>
      <c r="D40" s="689"/>
      <c r="E40" s="689"/>
      <c r="F40" s="689"/>
      <c r="G40" s="122"/>
      <c r="H40" s="698" t="s">
        <v>95</v>
      </c>
      <c r="I40" s="698"/>
      <c r="J40" s="698"/>
      <c r="K40" s="2"/>
      <c r="L40" s="2"/>
      <c r="M40" s="2"/>
      <c r="N40" s="2"/>
      <c r="O40" s="2"/>
      <c r="P40" s="2"/>
      <c r="Q40" s="5"/>
    </row>
    <row r="41" spans="1:17" ht="15" customHeight="1" x14ac:dyDescent="0.3">
      <c r="A41" s="690"/>
      <c r="B41" s="690"/>
      <c r="C41" s="690"/>
      <c r="D41" s="690"/>
      <c r="E41" s="690"/>
      <c r="F41" s="690"/>
      <c r="G41" s="123"/>
      <c r="H41" s="699"/>
      <c r="I41" s="699"/>
      <c r="J41" s="699"/>
      <c r="K41" s="29"/>
      <c r="L41" s="29"/>
      <c r="M41" s="29"/>
      <c r="N41" s="29"/>
      <c r="O41" s="29"/>
      <c r="P41" s="29"/>
      <c r="Q41" s="30"/>
    </row>
    <row r="42" spans="1:17" ht="15" customHeight="1" x14ac:dyDescent="0.3">
      <c r="A42" s="250">
        <f>VLOOKUP($B42,Reporting!$AD:$AK,MATCH($A$40,Reporting!$AE$4:$AK$4,0)+1,FALSE)</f>
        <v>0</v>
      </c>
      <c r="B42" s="262" t="s">
        <v>374</v>
      </c>
      <c r="C42" s="96">
        <v>0.23</v>
      </c>
      <c r="D42" s="6">
        <v>0.61</v>
      </c>
      <c r="E42" s="7">
        <f>C42*D42</f>
        <v>0.14030000000000001</v>
      </c>
      <c r="F42" s="7">
        <f>A42*E42</f>
        <v>0</v>
      </c>
      <c r="G42" s="8">
        <f>F42/8</f>
        <v>0</v>
      </c>
      <c r="H42" s="9">
        <f>C42</f>
        <v>0.23</v>
      </c>
      <c r="I42" s="10">
        <v>0.61</v>
      </c>
      <c r="J42" s="10">
        <f>H42*I42</f>
        <v>0.14030000000000001</v>
      </c>
      <c r="K42" s="10">
        <f>A42*J42</f>
        <v>0</v>
      </c>
      <c r="L42" s="11">
        <f>K42/8</f>
        <v>0</v>
      </c>
      <c r="M42" s="12">
        <f>H42</f>
        <v>0.23</v>
      </c>
      <c r="N42" s="13">
        <v>0.55000000000000004</v>
      </c>
      <c r="O42" s="13">
        <f>M42*N42</f>
        <v>0.12650000000000003</v>
      </c>
      <c r="P42" s="13">
        <f>A42*O42</f>
        <v>0</v>
      </c>
      <c r="Q42" s="14">
        <f>P42/8</f>
        <v>0</v>
      </c>
    </row>
    <row r="43" spans="1:17" ht="15.75" customHeight="1" x14ac:dyDescent="0.3">
      <c r="A43" s="250">
        <f>VLOOKUP($B43,Reporting!$AD:$AK,MATCH($A$40,Reporting!$AE$4:$AK$4,0)+1,FALSE)</f>
        <v>0</v>
      </c>
      <c r="B43" s="119" t="s">
        <v>390</v>
      </c>
      <c r="C43" s="97">
        <v>0.3</v>
      </c>
      <c r="D43" s="6">
        <v>0.61</v>
      </c>
      <c r="E43" s="7">
        <f>C43*D43</f>
        <v>0.183</v>
      </c>
      <c r="F43" s="7">
        <f>A43*E43</f>
        <v>0</v>
      </c>
      <c r="G43" s="8">
        <f>F43/8</f>
        <v>0</v>
      </c>
      <c r="H43" s="9">
        <f t="shared" ref="H43:H50" si="22">C43</f>
        <v>0.3</v>
      </c>
      <c r="I43" s="10">
        <v>0.61</v>
      </c>
      <c r="J43" s="10">
        <f>H43*I43</f>
        <v>0.183</v>
      </c>
      <c r="K43" s="10">
        <f>A43*J43</f>
        <v>0</v>
      </c>
      <c r="L43" s="11">
        <f>K43/8</f>
        <v>0</v>
      </c>
      <c r="M43" s="12">
        <f>H43</f>
        <v>0.3</v>
      </c>
      <c r="N43" s="13">
        <v>0.55000000000000004</v>
      </c>
      <c r="O43" s="13">
        <f>M43*N43</f>
        <v>0.16500000000000001</v>
      </c>
      <c r="P43" s="13">
        <f>A43*O43</f>
        <v>0</v>
      </c>
      <c r="Q43" s="14">
        <f>P43/8</f>
        <v>0</v>
      </c>
    </row>
    <row r="44" spans="1:17" x14ac:dyDescent="0.3">
      <c r="A44" s="250">
        <f>VLOOKUP($B44,Reporting!$AD:$AK,MATCH($A$40,Reporting!$AE$4:$AK$4,0)+1,FALSE)</f>
        <v>0</v>
      </c>
      <c r="B44" s="266" t="s">
        <v>376</v>
      </c>
      <c r="C44" s="97">
        <v>0.26</v>
      </c>
      <c r="D44" s="6">
        <v>0.61</v>
      </c>
      <c r="E44" s="7">
        <f t="shared" ref="E44:E50" si="23">C44*D44</f>
        <v>0.15859999999999999</v>
      </c>
      <c r="F44" s="7">
        <f t="shared" ref="F44:F50" si="24">A44*E44</f>
        <v>0</v>
      </c>
      <c r="G44" s="8">
        <f t="shared" ref="G44:G50" si="25">F44/8</f>
        <v>0</v>
      </c>
      <c r="H44" s="9">
        <f t="shared" si="22"/>
        <v>0.26</v>
      </c>
      <c r="I44" s="10">
        <v>0.61</v>
      </c>
      <c r="J44" s="10">
        <f t="shared" ref="J44:J50" si="26">H44*I44</f>
        <v>0.15859999999999999</v>
      </c>
      <c r="K44" s="10">
        <f t="shared" ref="K44:K50" si="27">A44*J44</f>
        <v>0</v>
      </c>
      <c r="L44" s="11">
        <f t="shared" ref="L44:L50" si="28">K44/8</f>
        <v>0</v>
      </c>
      <c r="M44" s="12">
        <f t="shared" ref="M44:M50" si="29">H44</f>
        <v>0.26</v>
      </c>
      <c r="N44" s="13">
        <v>0.55000000000000004</v>
      </c>
      <c r="O44" s="13">
        <f t="shared" ref="O44:O50" si="30">M44*N44</f>
        <v>0.14300000000000002</v>
      </c>
      <c r="P44" s="13">
        <f t="shared" ref="P44:P50" si="31">A44*O44</f>
        <v>0</v>
      </c>
      <c r="Q44" s="14">
        <f t="shared" ref="Q44:Q50" si="32">P44/8</f>
        <v>0</v>
      </c>
    </row>
    <row r="45" spans="1:17" x14ac:dyDescent="0.3">
      <c r="A45" s="250">
        <f>VLOOKUP($B45,Reporting!$AD:$AK,MATCH($A$40,Reporting!$AE$4:$AK$4,0)+1,FALSE)</f>
        <v>0</v>
      </c>
      <c r="B45" s="119" t="s">
        <v>391</v>
      </c>
      <c r="C45" s="97">
        <v>0.28000000000000003</v>
      </c>
      <c r="D45" s="6">
        <v>0.61</v>
      </c>
      <c r="E45" s="7">
        <f t="shared" si="23"/>
        <v>0.17080000000000001</v>
      </c>
      <c r="F45" s="7">
        <f t="shared" si="24"/>
        <v>0</v>
      </c>
      <c r="G45" s="8">
        <f t="shared" si="25"/>
        <v>0</v>
      </c>
      <c r="H45" s="9">
        <f t="shared" si="22"/>
        <v>0.28000000000000003</v>
      </c>
      <c r="I45" s="10">
        <v>0.61</v>
      </c>
      <c r="J45" s="10">
        <f t="shared" si="26"/>
        <v>0.17080000000000001</v>
      </c>
      <c r="K45" s="10">
        <f t="shared" si="27"/>
        <v>0</v>
      </c>
      <c r="L45" s="11">
        <f t="shared" si="28"/>
        <v>0</v>
      </c>
      <c r="M45" s="12">
        <f t="shared" si="29"/>
        <v>0.28000000000000003</v>
      </c>
      <c r="N45" s="13">
        <v>0.55000000000000004</v>
      </c>
      <c r="O45" s="13">
        <f t="shared" si="30"/>
        <v>0.15400000000000003</v>
      </c>
      <c r="P45" s="13">
        <f t="shared" si="31"/>
        <v>0</v>
      </c>
      <c r="Q45" s="14">
        <f t="shared" si="32"/>
        <v>0</v>
      </c>
    </row>
    <row r="46" spans="1:17" x14ac:dyDescent="0.3">
      <c r="A46" s="250">
        <f>VLOOKUP($B46,Reporting!$AD:$AK,MATCH($A$40,Reporting!$AE$4:$AK$4,0)+1,FALSE)</f>
        <v>0</v>
      </c>
      <c r="B46" s="119" t="s">
        <v>392</v>
      </c>
      <c r="C46" s="97">
        <v>0.34</v>
      </c>
      <c r="D46" s="6">
        <v>0.61</v>
      </c>
      <c r="E46" s="7">
        <f t="shared" si="23"/>
        <v>0.2074</v>
      </c>
      <c r="F46" s="7">
        <f t="shared" si="24"/>
        <v>0</v>
      </c>
      <c r="G46" s="8">
        <f t="shared" si="25"/>
        <v>0</v>
      </c>
      <c r="H46" s="9">
        <f t="shared" si="22"/>
        <v>0.34</v>
      </c>
      <c r="I46" s="10">
        <v>0.61</v>
      </c>
      <c r="J46" s="10">
        <f t="shared" si="26"/>
        <v>0.2074</v>
      </c>
      <c r="K46" s="10">
        <f t="shared" si="27"/>
        <v>0</v>
      </c>
      <c r="L46" s="11">
        <f t="shared" si="28"/>
        <v>0</v>
      </c>
      <c r="M46" s="12">
        <f t="shared" si="29"/>
        <v>0.34</v>
      </c>
      <c r="N46" s="13">
        <v>0.55000000000000004</v>
      </c>
      <c r="O46" s="13">
        <f t="shared" si="30"/>
        <v>0.18700000000000003</v>
      </c>
      <c r="P46" s="13">
        <f t="shared" si="31"/>
        <v>0</v>
      </c>
      <c r="Q46" s="14">
        <f t="shared" si="32"/>
        <v>0</v>
      </c>
    </row>
    <row r="47" spans="1:17" x14ac:dyDescent="0.3">
      <c r="A47" s="250">
        <f>VLOOKUP($B47,Reporting!$AD:$AK,MATCH($A$40,Reporting!$AE$4:$AK$4,0)+1,FALSE)</f>
        <v>0</v>
      </c>
      <c r="B47" s="119" t="s">
        <v>393</v>
      </c>
      <c r="C47" s="97">
        <v>0.39</v>
      </c>
      <c r="D47" s="6">
        <v>0.61</v>
      </c>
      <c r="E47" s="7">
        <f t="shared" si="23"/>
        <v>0.2379</v>
      </c>
      <c r="F47" s="7">
        <f t="shared" si="24"/>
        <v>0</v>
      </c>
      <c r="G47" s="8">
        <f t="shared" si="25"/>
        <v>0</v>
      </c>
      <c r="H47" s="9">
        <f t="shared" si="22"/>
        <v>0.39</v>
      </c>
      <c r="I47" s="10">
        <v>0.61</v>
      </c>
      <c r="J47" s="10">
        <f t="shared" si="26"/>
        <v>0.2379</v>
      </c>
      <c r="K47" s="10">
        <f t="shared" si="27"/>
        <v>0</v>
      </c>
      <c r="L47" s="11">
        <f t="shared" si="28"/>
        <v>0</v>
      </c>
      <c r="M47" s="12">
        <f t="shared" si="29"/>
        <v>0.39</v>
      </c>
      <c r="N47" s="13">
        <v>0.55000000000000004</v>
      </c>
      <c r="O47" s="13">
        <f t="shared" si="30"/>
        <v>0.21450000000000002</v>
      </c>
      <c r="P47" s="13">
        <f t="shared" si="31"/>
        <v>0</v>
      </c>
      <c r="Q47" s="14">
        <f t="shared" si="32"/>
        <v>0</v>
      </c>
    </row>
    <row r="48" spans="1:17" x14ac:dyDescent="0.3">
      <c r="A48" s="250">
        <f>VLOOKUP($B48,Reporting!$AD:$AK,MATCH($A$40,Reporting!$AE$4:$AK$4,0)+1,FALSE)</f>
        <v>0</v>
      </c>
      <c r="B48" s="119" t="s">
        <v>394</v>
      </c>
      <c r="C48" s="97">
        <v>0.4</v>
      </c>
      <c r="D48" s="6">
        <v>0.61</v>
      </c>
      <c r="E48" s="7">
        <f t="shared" si="23"/>
        <v>0.24399999999999999</v>
      </c>
      <c r="F48" s="7">
        <f t="shared" si="24"/>
        <v>0</v>
      </c>
      <c r="G48" s="8">
        <f t="shared" si="25"/>
        <v>0</v>
      </c>
      <c r="H48" s="9">
        <f t="shared" si="22"/>
        <v>0.4</v>
      </c>
      <c r="I48" s="10">
        <v>0.61</v>
      </c>
      <c r="J48" s="10">
        <f t="shared" si="26"/>
        <v>0.24399999999999999</v>
      </c>
      <c r="K48" s="10">
        <f t="shared" si="27"/>
        <v>0</v>
      </c>
      <c r="L48" s="11">
        <f t="shared" si="28"/>
        <v>0</v>
      </c>
      <c r="M48" s="12">
        <f t="shared" si="29"/>
        <v>0.4</v>
      </c>
      <c r="N48" s="13">
        <v>0.55000000000000004</v>
      </c>
      <c r="O48" s="13">
        <f t="shared" si="30"/>
        <v>0.22000000000000003</v>
      </c>
      <c r="P48" s="13">
        <f t="shared" si="31"/>
        <v>0</v>
      </c>
      <c r="Q48" s="14">
        <f t="shared" si="32"/>
        <v>0</v>
      </c>
    </row>
    <row r="49" spans="1:25" x14ac:dyDescent="0.3">
      <c r="A49" s="250">
        <f>VLOOKUP($B49,Reporting!$AD:$AK,MATCH($A$40,Reporting!$AE$4:$AK$4,0)+1,FALSE)</f>
        <v>0</v>
      </c>
      <c r="B49" s="119" t="s">
        <v>395</v>
      </c>
      <c r="C49" s="97">
        <v>0.47</v>
      </c>
      <c r="D49" s="6">
        <v>0.61</v>
      </c>
      <c r="E49" s="7">
        <f t="shared" si="23"/>
        <v>0.28669999999999995</v>
      </c>
      <c r="F49" s="7">
        <f t="shared" si="24"/>
        <v>0</v>
      </c>
      <c r="G49" s="8">
        <f t="shared" si="25"/>
        <v>0</v>
      </c>
      <c r="H49" s="9">
        <f t="shared" si="22"/>
        <v>0.47</v>
      </c>
      <c r="I49" s="10">
        <v>0.61</v>
      </c>
      <c r="J49" s="10">
        <f t="shared" si="26"/>
        <v>0.28669999999999995</v>
      </c>
      <c r="K49" s="10">
        <f t="shared" si="27"/>
        <v>0</v>
      </c>
      <c r="L49" s="11">
        <f t="shared" si="28"/>
        <v>0</v>
      </c>
      <c r="M49" s="12">
        <f t="shared" si="29"/>
        <v>0.47</v>
      </c>
      <c r="N49" s="13">
        <v>0.55000000000000004</v>
      </c>
      <c r="O49" s="13">
        <f t="shared" si="30"/>
        <v>0.25850000000000001</v>
      </c>
      <c r="P49" s="13">
        <f t="shared" si="31"/>
        <v>0</v>
      </c>
      <c r="Q49" s="14">
        <f t="shared" si="32"/>
        <v>0</v>
      </c>
    </row>
    <row r="50" spans="1:25" x14ac:dyDescent="0.3">
      <c r="A50" s="250">
        <f>VLOOKUP($B50,Reporting!$AD:$AK,MATCH($A$40,Reporting!$AE$4:$AK$4,0)+1,FALSE)</f>
        <v>0</v>
      </c>
      <c r="B50" s="119" t="s">
        <v>396</v>
      </c>
      <c r="C50" s="97">
        <v>0.54</v>
      </c>
      <c r="D50" s="6">
        <v>0.61</v>
      </c>
      <c r="E50" s="7">
        <f t="shared" si="23"/>
        <v>0.32940000000000003</v>
      </c>
      <c r="F50" s="7">
        <f t="shared" si="24"/>
        <v>0</v>
      </c>
      <c r="G50" s="8">
        <f t="shared" si="25"/>
        <v>0</v>
      </c>
      <c r="H50" s="9">
        <f t="shared" si="22"/>
        <v>0.54</v>
      </c>
      <c r="I50" s="10">
        <v>0.61</v>
      </c>
      <c r="J50" s="10">
        <f t="shared" si="26"/>
        <v>0.32940000000000003</v>
      </c>
      <c r="K50" s="10">
        <f t="shared" si="27"/>
        <v>0</v>
      </c>
      <c r="L50" s="11">
        <f t="shared" si="28"/>
        <v>0</v>
      </c>
      <c r="M50" s="12">
        <f t="shared" si="29"/>
        <v>0.54</v>
      </c>
      <c r="N50" s="13">
        <v>0.55000000000000004</v>
      </c>
      <c r="O50" s="13">
        <f t="shared" si="30"/>
        <v>0.29700000000000004</v>
      </c>
      <c r="P50" s="13">
        <f t="shared" si="31"/>
        <v>0</v>
      </c>
      <c r="Q50" s="14">
        <f t="shared" si="32"/>
        <v>0</v>
      </c>
    </row>
    <row r="51" spans="1:25" ht="15" thickBot="1" x14ac:dyDescent="0.35">
      <c r="A51" s="3">
        <f>SUM(A42:A50)</f>
        <v>0</v>
      </c>
      <c r="B51" s="267"/>
      <c r="C51" s="4"/>
      <c r="D51" s="644" t="s">
        <v>9</v>
      </c>
      <c r="E51" s="645"/>
      <c r="F51" s="645"/>
      <c r="G51" s="16">
        <f>SUM(G42:G50)</f>
        <v>0</v>
      </c>
      <c r="H51" s="1"/>
      <c r="I51" s="646" t="s">
        <v>10</v>
      </c>
      <c r="J51" s="646"/>
      <c r="K51" s="646"/>
      <c r="L51" s="17">
        <f>SUM(L42:L50)</f>
        <v>0</v>
      </c>
      <c r="M51" s="15"/>
      <c r="N51" s="647" t="s">
        <v>11</v>
      </c>
      <c r="O51" s="647"/>
      <c r="P51" s="647"/>
      <c r="Q51" s="18">
        <f>SUM(Q42:Q50)</f>
        <v>0</v>
      </c>
      <c r="S51" s="598" t="s">
        <v>168</v>
      </c>
      <c r="T51" s="598"/>
      <c r="U51" s="598"/>
      <c r="W51" s="681" t="s">
        <v>168</v>
      </c>
      <c r="X51" s="681"/>
      <c r="Y51" s="681"/>
    </row>
    <row r="52" spans="1:25" ht="15" thickBot="1" x14ac:dyDescent="0.35">
      <c r="S52" s="664">
        <f>Q51+Q66</f>
        <v>0</v>
      </c>
      <c r="T52" s="665"/>
      <c r="U52" s="665"/>
      <c r="W52" s="682">
        <f>L51+L66</f>
        <v>0</v>
      </c>
      <c r="X52" s="683"/>
      <c r="Y52" s="683"/>
    </row>
    <row r="53" spans="1:25" ht="15" customHeight="1" x14ac:dyDescent="0.3">
      <c r="A53" s="689" t="s">
        <v>166</v>
      </c>
      <c r="B53" s="689"/>
      <c r="C53" s="689"/>
      <c r="D53" s="689"/>
      <c r="E53" s="689"/>
      <c r="F53" s="689"/>
      <c r="G53" s="689"/>
      <c r="H53" s="698" t="s">
        <v>96</v>
      </c>
      <c r="I53" s="698"/>
      <c r="J53" s="698"/>
      <c r="K53" s="2"/>
      <c r="L53" s="2"/>
      <c r="M53" s="2"/>
      <c r="N53" s="2"/>
      <c r="O53" s="2"/>
      <c r="P53" s="2"/>
      <c r="Q53" s="5"/>
      <c r="S53" s="665"/>
      <c r="T53" s="665"/>
      <c r="U53" s="665"/>
      <c r="W53" s="683"/>
      <c r="X53" s="683"/>
      <c r="Y53" s="683"/>
    </row>
    <row r="54" spans="1:25" ht="15" customHeight="1" x14ac:dyDescent="0.3">
      <c r="A54" s="690"/>
      <c r="B54" s="690"/>
      <c r="C54" s="690"/>
      <c r="D54" s="690"/>
      <c r="E54" s="690"/>
      <c r="F54" s="690"/>
      <c r="G54" s="690"/>
      <c r="H54" s="699"/>
      <c r="I54" s="699"/>
      <c r="J54" s="699"/>
      <c r="K54" s="29"/>
      <c r="L54" s="29"/>
      <c r="M54" s="29"/>
      <c r="N54" s="29"/>
      <c r="O54" s="29"/>
      <c r="P54" s="29"/>
      <c r="Q54" s="30"/>
      <c r="S54" s="665"/>
      <c r="T54" s="665"/>
      <c r="U54" s="665"/>
      <c r="W54" s="683"/>
      <c r="X54" s="683"/>
      <c r="Y54" s="683"/>
    </row>
    <row r="55" spans="1:25" ht="15" customHeight="1" x14ac:dyDescent="0.3">
      <c r="A55" s="250">
        <f>VLOOKUP($B55,Reporting!$AD:$AK,MATCH($A$53,Reporting!$AE$4:$AK$4,0)+1,FALSE)</f>
        <v>0</v>
      </c>
      <c r="B55" s="262" t="s">
        <v>371</v>
      </c>
      <c r="C55" s="96">
        <v>0.05</v>
      </c>
      <c r="D55" s="6">
        <v>0.61</v>
      </c>
      <c r="E55" s="7">
        <f t="shared" ref="E55:E65" si="33">C55*D55</f>
        <v>3.0499999999999999E-2</v>
      </c>
      <c r="F55" s="7">
        <f>A55*E55</f>
        <v>0</v>
      </c>
      <c r="G55" s="8">
        <f t="shared" ref="G55:G65" si="34">F55/8</f>
        <v>0</v>
      </c>
      <c r="H55" s="9">
        <f>C55</f>
        <v>0.05</v>
      </c>
      <c r="I55" s="10">
        <v>0.61</v>
      </c>
      <c r="J55" s="10">
        <f t="shared" ref="J55:J65" si="35">H55*I55</f>
        <v>3.0499999999999999E-2</v>
      </c>
      <c r="K55" s="10">
        <f>A55*J55</f>
        <v>0</v>
      </c>
      <c r="L55" s="11">
        <f t="shared" ref="L55:L65" si="36">K55/8</f>
        <v>0</v>
      </c>
      <c r="M55" s="12">
        <f t="shared" ref="M55:M65" si="37">H55</f>
        <v>0.05</v>
      </c>
      <c r="N55" s="13">
        <v>0.55000000000000004</v>
      </c>
      <c r="O55" s="13">
        <f t="shared" ref="O55:O65" si="38">M55*N55</f>
        <v>2.7500000000000004E-2</v>
      </c>
      <c r="P55" s="13">
        <f>A55*O55</f>
        <v>0</v>
      </c>
      <c r="Q55" s="14">
        <f t="shared" ref="Q55:Q65" si="39">P55/8</f>
        <v>0</v>
      </c>
    </row>
    <row r="56" spans="1:25" ht="15" customHeight="1" x14ac:dyDescent="0.3">
      <c r="A56" s="250">
        <f>VLOOKUP($B56,Reporting!$AD:$AK,MATCH($A$53,Reporting!$AE$4:$AK$4,0)+1,FALSE)</f>
        <v>0</v>
      </c>
      <c r="B56" s="262" t="s">
        <v>372</v>
      </c>
      <c r="C56" s="96">
        <v>0.06</v>
      </c>
      <c r="D56" s="6">
        <v>0.61</v>
      </c>
      <c r="E56" s="7">
        <f t="shared" si="33"/>
        <v>3.6600000000000001E-2</v>
      </c>
      <c r="F56" s="7">
        <f t="shared" ref="F56:F65" si="40">A56*E56</f>
        <v>0</v>
      </c>
      <c r="G56" s="8">
        <f t="shared" si="34"/>
        <v>0</v>
      </c>
      <c r="H56" s="9">
        <f t="shared" ref="H56:H65" si="41">C56</f>
        <v>0.06</v>
      </c>
      <c r="I56" s="10">
        <v>0.61</v>
      </c>
      <c r="J56" s="10">
        <f t="shared" si="35"/>
        <v>3.6600000000000001E-2</v>
      </c>
      <c r="K56" s="10">
        <f t="shared" ref="K56:K65" si="42">A56*J56</f>
        <v>0</v>
      </c>
      <c r="L56" s="11">
        <f t="shared" si="36"/>
        <v>0</v>
      </c>
      <c r="M56" s="12">
        <f t="shared" si="37"/>
        <v>0.06</v>
      </c>
      <c r="N56" s="13">
        <v>0.55000000000000004</v>
      </c>
      <c r="O56" s="13">
        <f t="shared" si="38"/>
        <v>3.3000000000000002E-2</v>
      </c>
      <c r="P56" s="13">
        <f t="shared" ref="P56:P65" si="43">A56*O56</f>
        <v>0</v>
      </c>
      <c r="Q56" s="14">
        <f t="shared" si="39"/>
        <v>0</v>
      </c>
    </row>
    <row r="57" spans="1:25" ht="15" customHeight="1" x14ac:dyDescent="0.3">
      <c r="A57" s="250">
        <f>VLOOKUP($B57,Reporting!$AD:$AK,MATCH($A$53,Reporting!$AE$4:$AK$4,0)+1,FALSE)</f>
        <v>0</v>
      </c>
      <c r="B57" s="19" t="s">
        <v>389</v>
      </c>
      <c r="C57" s="96">
        <v>0.06</v>
      </c>
      <c r="D57" s="6">
        <v>0.61</v>
      </c>
      <c r="E57" s="7">
        <f t="shared" si="33"/>
        <v>3.6600000000000001E-2</v>
      </c>
      <c r="F57" s="7">
        <f t="shared" si="40"/>
        <v>0</v>
      </c>
      <c r="G57" s="8">
        <f t="shared" si="34"/>
        <v>0</v>
      </c>
      <c r="H57" s="9">
        <f t="shared" si="41"/>
        <v>0.06</v>
      </c>
      <c r="I57" s="10">
        <v>0.61</v>
      </c>
      <c r="J57" s="10">
        <f t="shared" si="35"/>
        <v>3.6600000000000001E-2</v>
      </c>
      <c r="K57" s="10">
        <f t="shared" si="42"/>
        <v>0</v>
      </c>
      <c r="L57" s="11">
        <f t="shared" si="36"/>
        <v>0</v>
      </c>
      <c r="M57" s="12">
        <f t="shared" si="37"/>
        <v>0.06</v>
      </c>
      <c r="N57" s="13">
        <v>0.55000000000000004</v>
      </c>
      <c r="O57" s="13">
        <f t="shared" si="38"/>
        <v>3.3000000000000002E-2</v>
      </c>
      <c r="P57" s="13">
        <f t="shared" si="43"/>
        <v>0</v>
      </c>
      <c r="Q57" s="14">
        <f t="shared" si="39"/>
        <v>0</v>
      </c>
    </row>
    <row r="58" spans="1:25" ht="15" customHeight="1" x14ac:dyDescent="0.3">
      <c r="A58" s="250">
        <f>VLOOKUP($B58,Reporting!$AD:$AK,MATCH($A$53,Reporting!$AE$4:$AK$4,0)+1,FALSE)</f>
        <v>0</v>
      </c>
      <c r="B58" s="262" t="s">
        <v>373</v>
      </c>
      <c r="C58" s="96">
        <v>0.06</v>
      </c>
      <c r="D58" s="6">
        <v>0.61</v>
      </c>
      <c r="E58" s="7">
        <f t="shared" si="33"/>
        <v>3.6600000000000001E-2</v>
      </c>
      <c r="F58" s="7">
        <f t="shared" si="40"/>
        <v>0</v>
      </c>
      <c r="G58" s="8">
        <f t="shared" si="34"/>
        <v>0</v>
      </c>
      <c r="H58" s="9">
        <f t="shared" si="41"/>
        <v>0.06</v>
      </c>
      <c r="I58" s="10">
        <v>0.61</v>
      </c>
      <c r="J58" s="10">
        <f t="shared" si="35"/>
        <v>3.6600000000000001E-2</v>
      </c>
      <c r="K58" s="10">
        <f t="shared" si="42"/>
        <v>0</v>
      </c>
      <c r="L58" s="11">
        <f t="shared" si="36"/>
        <v>0</v>
      </c>
      <c r="M58" s="12">
        <f t="shared" si="37"/>
        <v>0.06</v>
      </c>
      <c r="N58" s="13">
        <v>0.55000000000000004</v>
      </c>
      <c r="O58" s="13">
        <f t="shared" si="38"/>
        <v>3.3000000000000002E-2</v>
      </c>
      <c r="P58" s="13">
        <f t="shared" si="43"/>
        <v>0</v>
      </c>
      <c r="Q58" s="14">
        <f t="shared" si="39"/>
        <v>0</v>
      </c>
    </row>
    <row r="59" spans="1:25" ht="15" customHeight="1" x14ac:dyDescent="0.3">
      <c r="A59" s="250">
        <f>VLOOKUP($B59,Reporting!$AD:$AK,MATCH($A$53,Reporting!$AE$4:$AK$4,0)+1,FALSE)</f>
        <v>0</v>
      </c>
      <c r="B59" s="262" t="s">
        <v>374</v>
      </c>
      <c r="C59" s="96">
        <v>0.06</v>
      </c>
      <c r="D59" s="6">
        <v>0.61</v>
      </c>
      <c r="E59" s="7">
        <f t="shared" si="33"/>
        <v>3.6600000000000001E-2</v>
      </c>
      <c r="F59" s="7">
        <f t="shared" si="40"/>
        <v>0</v>
      </c>
      <c r="G59" s="8">
        <f t="shared" si="34"/>
        <v>0</v>
      </c>
      <c r="H59" s="9">
        <f t="shared" si="41"/>
        <v>0.06</v>
      </c>
      <c r="I59" s="10">
        <v>0.61</v>
      </c>
      <c r="J59" s="10">
        <f t="shared" si="35"/>
        <v>3.6600000000000001E-2</v>
      </c>
      <c r="K59" s="10">
        <f t="shared" si="42"/>
        <v>0</v>
      </c>
      <c r="L59" s="11">
        <f t="shared" si="36"/>
        <v>0</v>
      </c>
      <c r="M59" s="12">
        <f t="shared" si="37"/>
        <v>0.06</v>
      </c>
      <c r="N59" s="13">
        <v>0.55000000000000004</v>
      </c>
      <c r="O59" s="13">
        <f t="shared" si="38"/>
        <v>3.3000000000000002E-2</v>
      </c>
      <c r="P59" s="13">
        <f t="shared" si="43"/>
        <v>0</v>
      </c>
      <c r="Q59" s="14">
        <f t="shared" si="39"/>
        <v>0</v>
      </c>
    </row>
    <row r="60" spans="1:25" ht="15.75" customHeight="1" x14ac:dyDescent="0.3">
      <c r="A60" s="250">
        <f>VLOOKUP($B60,Reporting!$AD:$AK,MATCH($A$53,Reporting!$AE$4:$AK$4,0)+1,FALSE)</f>
        <v>0</v>
      </c>
      <c r="B60" s="119" t="s">
        <v>390</v>
      </c>
      <c r="C60" s="97">
        <v>7.0000000000000007E-2</v>
      </c>
      <c r="D60" s="6">
        <v>0.61</v>
      </c>
      <c r="E60" s="7">
        <f t="shared" si="33"/>
        <v>4.2700000000000002E-2</v>
      </c>
      <c r="F60" s="7">
        <f t="shared" si="40"/>
        <v>0</v>
      </c>
      <c r="G60" s="8">
        <f t="shared" si="34"/>
        <v>0</v>
      </c>
      <c r="H60" s="9">
        <f t="shared" si="41"/>
        <v>7.0000000000000007E-2</v>
      </c>
      <c r="I60" s="10">
        <v>0.61</v>
      </c>
      <c r="J60" s="10">
        <f t="shared" si="35"/>
        <v>4.2700000000000002E-2</v>
      </c>
      <c r="K60" s="10">
        <f t="shared" si="42"/>
        <v>0</v>
      </c>
      <c r="L60" s="11">
        <f t="shared" si="36"/>
        <v>0</v>
      </c>
      <c r="M60" s="12">
        <f t="shared" si="37"/>
        <v>7.0000000000000007E-2</v>
      </c>
      <c r="N60" s="13">
        <v>0.55000000000000004</v>
      </c>
      <c r="O60" s="13">
        <f t="shared" si="38"/>
        <v>3.8500000000000006E-2</v>
      </c>
      <c r="P60" s="13">
        <f t="shared" si="43"/>
        <v>0</v>
      </c>
      <c r="Q60" s="14">
        <f t="shared" si="39"/>
        <v>0</v>
      </c>
    </row>
    <row r="61" spans="1:25" x14ac:dyDescent="0.3">
      <c r="A61" s="250">
        <f>VLOOKUP($B61,Reporting!$AD:$AK,MATCH($A$53,Reporting!$AE$4:$AK$4,0)+1,FALSE)</f>
        <v>0</v>
      </c>
      <c r="B61" s="266" t="s">
        <v>376</v>
      </c>
      <c r="C61" s="97">
        <v>0.08</v>
      </c>
      <c r="D61" s="6">
        <v>0.61</v>
      </c>
      <c r="E61" s="7">
        <f t="shared" si="33"/>
        <v>4.8800000000000003E-2</v>
      </c>
      <c r="F61" s="7">
        <f t="shared" si="40"/>
        <v>0</v>
      </c>
      <c r="G61" s="8">
        <f t="shared" si="34"/>
        <v>0</v>
      </c>
      <c r="H61" s="9">
        <f t="shared" si="41"/>
        <v>0.08</v>
      </c>
      <c r="I61" s="10">
        <v>0.61</v>
      </c>
      <c r="J61" s="10">
        <f t="shared" si="35"/>
        <v>4.8800000000000003E-2</v>
      </c>
      <c r="K61" s="10">
        <f t="shared" si="42"/>
        <v>0</v>
      </c>
      <c r="L61" s="11">
        <f t="shared" si="36"/>
        <v>0</v>
      </c>
      <c r="M61" s="12">
        <f t="shared" si="37"/>
        <v>0.08</v>
      </c>
      <c r="N61" s="13">
        <v>0.55000000000000004</v>
      </c>
      <c r="O61" s="13">
        <f t="shared" si="38"/>
        <v>4.4000000000000004E-2</v>
      </c>
      <c r="P61" s="13">
        <f t="shared" si="43"/>
        <v>0</v>
      </c>
      <c r="Q61" s="14">
        <f t="shared" si="39"/>
        <v>0</v>
      </c>
    </row>
    <row r="62" spans="1:25" x14ac:dyDescent="0.3">
      <c r="A62" s="250">
        <f>VLOOKUP($B62,Reporting!$AD:$AK,MATCH($A$53,Reporting!$AE$4:$AK$4,0)+1,FALSE)</f>
        <v>0</v>
      </c>
      <c r="B62" s="119" t="s">
        <v>391</v>
      </c>
      <c r="C62" s="97">
        <v>0.08</v>
      </c>
      <c r="D62" s="6">
        <v>0.61</v>
      </c>
      <c r="E62" s="7">
        <f t="shared" si="33"/>
        <v>4.8800000000000003E-2</v>
      </c>
      <c r="F62" s="7">
        <f t="shared" si="40"/>
        <v>0</v>
      </c>
      <c r="G62" s="8">
        <f t="shared" si="34"/>
        <v>0</v>
      </c>
      <c r="H62" s="9">
        <f t="shared" si="41"/>
        <v>0.08</v>
      </c>
      <c r="I62" s="10">
        <v>0.61</v>
      </c>
      <c r="J62" s="10">
        <f t="shared" si="35"/>
        <v>4.8800000000000003E-2</v>
      </c>
      <c r="K62" s="10">
        <f t="shared" si="42"/>
        <v>0</v>
      </c>
      <c r="L62" s="11">
        <f t="shared" si="36"/>
        <v>0</v>
      </c>
      <c r="M62" s="12">
        <f t="shared" si="37"/>
        <v>0.08</v>
      </c>
      <c r="N62" s="13">
        <v>0.55000000000000004</v>
      </c>
      <c r="O62" s="13">
        <f t="shared" si="38"/>
        <v>4.4000000000000004E-2</v>
      </c>
      <c r="P62" s="13">
        <f t="shared" si="43"/>
        <v>0</v>
      </c>
      <c r="Q62" s="14">
        <f t="shared" si="39"/>
        <v>0</v>
      </c>
    </row>
    <row r="63" spans="1:25" x14ac:dyDescent="0.3">
      <c r="A63" s="250">
        <f>VLOOKUP($B63,Reporting!$AD:$AK,MATCH($A$53,Reporting!$AE$4:$AK$4,0)+1,FALSE)</f>
        <v>0</v>
      </c>
      <c r="B63" s="119" t="s">
        <v>392</v>
      </c>
      <c r="C63" s="97">
        <v>0.08</v>
      </c>
      <c r="D63" s="6">
        <v>0.61</v>
      </c>
      <c r="E63" s="7">
        <f t="shared" si="33"/>
        <v>4.8800000000000003E-2</v>
      </c>
      <c r="F63" s="7">
        <f t="shared" si="40"/>
        <v>0</v>
      </c>
      <c r="G63" s="8">
        <f t="shared" si="34"/>
        <v>0</v>
      </c>
      <c r="H63" s="9">
        <f t="shared" si="41"/>
        <v>0.08</v>
      </c>
      <c r="I63" s="10">
        <v>0.61</v>
      </c>
      <c r="J63" s="10">
        <f t="shared" si="35"/>
        <v>4.8800000000000003E-2</v>
      </c>
      <c r="K63" s="10">
        <f t="shared" si="42"/>
        <v>0</v>
      </c>
      <c r="L63" s="11">
        <f t="shared" si="36"/>
        <v>0</v>
      </c>
      <c r="M63" s="12">
        <f t="shared" si="37"/>
        <v>0.08</v>
      </c>
      <c r="N63" s="13">
        <v>0.55000000000000004</v>
      </c>
      <c r="O63" s="13">
        <f t="shared" si="38"/>
        <v>4.4000000000000004E-2</v>
      </c>
      <c r="P63" s="13">
        <f t="shared" si="43"/>
        <v>0</v>
      </c>
      <c r="Q63" s="14">
        <f t="shared" si="39"/>
        <v>0</v>
      </c>
    </row>
    <row r="64" spans="1:25" x14ac:dyDescent="0.3">
      <c r="A64" s="250">
        <f>VLOOKUP($B64,Reporting!$AD:$AK,MATCH($A$53,Reporting!$AE$4:$AK$4,0)+1,FALSE)</f>
        <v>0</v>
      </c>
      <c r="B64" s="119" t="s">
        <v>393</v>
      </c>
      <c r="C64" s="97">
        <v>0.1</v>
      </c>
      <c r="D64" s="6">
        <v>0.61</v>
      </c>
      <c r="E64" s="7">
        <f t="shared" si="33"/>
        <v>6.0999999999999999E-2</v>
      </c>
      <c r="F64" s="7">
        <f t="shared" si="40"/>
        <v>0</v>
      </c>
      <c r="G64" s="8">
        <f t="shared" si="34"/>
        <v>0</v>
      </c>
      <c r="H64" s="9">
        <f t="shared" si="41"/>
        <v>0.1</v>
      </c>
      <c r="I64" s="10">
        <v>0.61</v>
      </c>
      <c r="J64" s="10">
        <f t="shared" si="35"/>
        <v>6.0999999999999999E-2</v>
      </c>
      <c r="K64" s="10">
        <f t="shared" si="42"/>
        <v>0</v>
      </c>
      <c r="L64" s="11">
        <f t="shared" si="36"/>
        <v>0</v>
      </c>
      <c r="M64" s="12">
        <f t="shared" si="37"/>
        <v>0.1</v>
      </c>
      <c r="N64" s="13">
        <v>0.55000000000000004</v>
      </c>
      <c r="O64" s="13">
        <f t="shared" si="38"/>
        <v>5.5000000000000007E-2</v>
      </c>
      <c r="P64" s="13">
        <f t="shared" si="43"/>
        <v>0</v>
      </c>
      <c r="Q64" s="14">
        <f t="shared" si="39"/>
        <v>0</v>
      </c>
    </row>
    <row r="65" spans="1:25" x14ac:dyDescent="0.3">
      <c r="A65" s="250">
        <f>VLOOKUP($B65,Reporting!$AD:$AK,MATCH($A$53,Reporting!$AE$4:$AK$4,0)+1,FALSE)</f>
        <v>0</v>
      </c>
      <c r="B65" s="119" t="s">
        <v>394</v>
      </c>
      <c r="C65" s="97">
        <v>0.12</v>
      </c>
      <c r="D65" s="6">
        <v>0.61</v>
      </c>
      <c r="E65" s="7">
        <f t="shared" si="33"/>
        <v>7.3200000000000001E-2</v>
      </c>
      <c r="F65" s="7">
        <f t="shared" si="40"/>
        <v>0</v>
      </c>
      <c r="G65" s="8">
        <f t="shared" si="34"/>
        <v>0</v>
      </c>
      <c r="H65" s="9">
        <f t="shared" si="41"/>
        <v>0.12</v>
      </c>
      <c r="I65" s="10">
        <v>0.61</v>
      </c>
      <c r="J65" s="10">
        <f t="shared" si="35"/>
        <v>7.3200000000000001E-2</v>
      </c>
      <c r="K65" s="10">
        <f t="shared" si="42"/>
        <v>0</v>
      </c>
      <c r="L65" s="11">
        <f t="shared" si="36"/>
        <v>0</v>
      </c>
      <c r="M65" s="12">
        <f t="shared" si="37"/>
        <v>0.12</v>
      </c>
      <c r="N65" s="13">
        <v>0.55000000000000004</v>
      </c>
      <c r="O65" s="13">
        <f t="shared" si="38"/>
        <v>6.6000000000000003E-2</v>
      </c>
      <c r="P65" s="13">
        <f t="shared" si="43"/>
        <v>0</v>
      </c>
      <c r="Q65" s="14">
        <f t="shared" si="39"/>
        <v>0</v>
      </c>
    </row>
    <row r="66" spans="1:25" ht="15" thickBot="1" x14ac:dyDescent="0.35">
      <c r="A66" s="3">
        <f>SUM(A55:A65)</f>
        <v>0</v>
      </c>
      <c r="B66" s="267"/>
      <c r="C66" s="4"/>
      <c r="D66" s="644" t="s">
        <v>9</v>
      </c>
      <c r="E66" s="645"/>
      <c r="F66" s="645"/>
      <c r="G66" s="16">
        <f>SUM(G55:G65)</f>
        <v>0</v>
      </c>
      <c r="H66" s="1"/>
      <c r="I66" s="646" t="s">
        <v>10</v>
      </c>
      <c r="J66" s="646"/>
      <c r="K66" s="646"/>
      <c r="L66" s="17">
        <f>SUM(L55:L65)</f>
        <v>0</v>
      </c>
      <c r="M66" s="15"/>
      <c r="N66" s="647" t="s">
        <v>11</v>
      </c>
      <c r="O66" s="647"/>
      <c r="P66" s="647"/>
      <c r="Q66" s="18">
        <f>SUM(Q55:Q65)</f>
        <v>0</v>
      </c>
    </row>
    <row r="67" spans="1:25" ht="15" thickBot="1" x14ac:dyDescent="0.35"/>
    <row r="68" spans="1:25" ht="15" customHeight="1" x14ac:dyDescent="0.3">
      <c r="A68" s="687" t="s">
        <v>26</v>
      </c>
      <c r="B68" s="687"/>
      <c r="C68" s="687"/>
      <c r="D68" s="687"/>
      <c r="E68" s="640" t="s">
        <v>95</v>
      </c>
      <c r="F68" s="640"/>
      <c r="G68" s="640"/>
      <c r="H68" s="23"/>
      <c r="I68" s="23"/>
      <c r="J68" s="23"/>
      <c r="K68" s="23"/>
      <c r="L68" s="23"/>
      <c r="M68" s="23"/>
      <c r="N68" s="23"/>
      <c r="O68" s="23"/>
      <c r="P68" s="23"/>
      <c r="Q68" s="24"/>
    </row>
    <row r="69" spans="1:25" ht="15" customHeight="1" x14ac:dyDescent="0.3">
      <c r="A69" s="688"/>
      <c r="B69" s="688"/>
      <c r="C69" s="688"/>
      <c r="D69" s="688"/>
      <c r="E69" s="641"/>
      <c r="F69" s="641"/>
      <c r="G69" s="641"/>
      <c r="H69" s="42"/>
      <c r="I69" s="42"/>
      <c r="J69" s="42"/>
      <c r="K69" s="42"/>
      <c r="L69" s="42"/>
      <c r="M69" s="42"/>
      <c r="N69" s="42"/>
      <c r="O69" s="42"/>
      <c r="P69" s="42"/>
      <c r="Q69" s="43"/>
    </row>
    <row r="70" spans="1:25" ht="15" customHeight="1" x14ac:dyDescent="0.3">
      <c r="A70" s="250">
        <f>VLOOKUP($B70,Reporting!$AD:$AK,MATCH($A$68,Reporting!$AE$4:$AK$4,0)+1,FALSE)</f>
        <v>0</v>
      </c>
      <c r="B70" s="263" t="s">
        <v>374</v>
      </c>
      <c r="C70" s="110">
        <v>0.23</v>
      </c>
      <c r="D70" s="6">
        <v>0.61</v>
      </c>
      <c r="E70" s="7">
        <f t="shared" ref="E70:E78" si="44">C70*D70</f>
        <v>0.14030000000000001</v>
      </c>
      <c r="F70" s="7">
        <f>A70*E70</f>
        <v>0</v>
      </c>
      <c r="G70" s="8">
        <f t="shared" ref="G70:G78" si="45">F70/8</f>
        <v>0</v>
      </c>
      <c r="H70" s="9">
        <f>C70</f>
        <v>0.23</v>
      </c>
      <c r="I70" s="10">
        <v>0.61</v>
      </c>
      <c r="J70" s="10">
        <f t="shared" ref="J70:J78" si="46">H70*I70</f>
        <v>0.14030000000000001</v>
      </c>
      <c r="K70" s="10">
        <f>A70*J70</f>
        <v>0</v>
      </c>
      <c r="L70" s="11">
        <f t="shared" ref="L70:L78" si="47">K70/8</f>
        <v>0</v>
      </c>
      <c r="M70" s="12">
        <f t="shared" ref="M70:M78" si="48">H70</f>
        <v>0.23</v>
      </c>
      <c r="N70" s="13">
        <v>0.55000000000000004</v>
      </c>
      <c r="O70" s="13">
        <f t="shared" ref="O70:O78" si="49">M70*N70</f>
        <v>0.12650000000000003</v>
      </c>
      <c r="P70" s="13">
        <f>A70*O70</f>
        <v>0</v>
      </c>
      <c r="Q70" s="14">
        <f t="shared" ref="Q70:Q78" si="50">P70/8</f>
        <v>0</v>
      </c>
    </row>
    <row r="71" spans="1:25" ht="15" customHeight="1" x14ac:dyDescent="0.3">
      <c r="A71" s="250">
        <f>VLOOKUP($B71,Reporting!$AD:$AK,MATCH($A$68,Reporting!$AE$4:$AK$4,0)+1,FALSE)</f>
        <v>0</v>
      </c>
      <c r="B71" s="20" t="s">
        <v>390</v>
      </c>
      <c r="C71" s="110">
        <v>0.3</v>
      </c>
      <c r="D71" s="6">
        <v>0.61</v>
      </c>
      <c r="E71" s="7">
        <f t="shared" si="44"/>
        <v>0.183</v>
      </c>
      <c r="F71" s="7">
        <f>A71*E71</f>
        <v>0</v>
      </c>
      <c r="G71" s="8">
        <f t="shared" si="45"/>
        <v>0</v>
      </c>
      <c r="H71" s="9">
        <f t="shared" ref="H71:H78" si="51">C71</f>
        <v>0.3</v>
      </c>
      <c r="I71" s="10">
        <v>0.61</v>
      </c>
      <c r="J71" s="10">
        <f t="shared" si="46"/>
        <v>0.183</v>
      </c>
      <c r="K71" s="10">
        <f>A71*J71</f>
        <v>0</v>
      </c>
      <c r="L71" s="11">
        <f t="shared" si="47"/>
        <v>0</v>
      </c>
      <c r="M71" s="12">
        <f t="shared" si="48"/>
        <v>0.3</v>
      </c>
      <c r="N71" s="13">
        <v>0.55000000000000004</v>
      </c>
      <c r="O71" s="13">
        <f t="shared" si="49"/>
        <v>0.16500000000000001</v>
      </c>
      <c r="P71" s="13">
        <f>A71*O71</f>
        <v>0</v>
      </c>
      <c r="Q71" s="14">
        <f t="shared" si="50"/>
        <v>0</v>
      </c>
    </row>
    <row r="72" spans="1:25" ht="15" customHeight="1" x14ac:dyDescent="0.3">
      <c r="A72" s="250">
        <f>VLOOKUP($B72,Reporting!$AD:$AK,MATCH($A$68,Reporting!$AE$4:$AK$4,0)+1,FALSE)</f>
        <v>0</v>
      </c>
      <c r="B72" s="263" t="s">
        <v>376</v>
      </c>
      <c r="C72" s="110">
        <v>0.26</v>
      </c>
      <c r="D72" s="6">
        <v>0.61</v>
      </c>
      <c r="E72" s="7">
        <f t="shared" si="44"/>
        <v>0.15859999999999999</v>
      </c>
      <c r="F72" s="7">
        <f t="shared" ref="F72:F78" si="52">A72*E72</f>
        <v>0</v>
      </c>
      <c r="G72" s="8">
        <f t="shared" si="45"/>
        <v>0</v>
      </c>
      <c r="H72" s="9">
        <f t="shared" si="51"/>
        <v>0.26</v>
      </c>
      <c r="I72" s="10">
        <v>0.61</v>
      </c>
      <c r="J72" s="10">
        <f t="shared" si="46"/>
        <v>0.15859999999999999</v>
      </c>
      <c r="K72" s="10">
        <f t="shared" ref="K72:K78" si="53">A72*J72</f>
        <v>0</v>
      </c>
      <c r="L72" s="11">
        <f t="shared" si="47"/>
        <v>0</v>
      </c>
      <c r="M72" s="12">
        <f t="shared" si="48"/>
        <v>0.26</v>
      </c>
      <c r="N72" s="13">
        <v>0.55000000000000004</v>
      </c>
      <c r="O72" s="13">
        <f t="shared" si="49"/>
        <v>0.14300000000000002</v>
      </c>
      <c r="P72" s="13">
        <f t="shared" ref="P72:P78" si="54">A72*O72</f>
        <v>0</v>
      </c>
      <c r="Q72" s="14">
        <f t="shared" si="50"/>
        <v>0</v>
      </c>
    </row>
    <row r="73" spans="1:25" ht="15" customHeight="1" x14ac:dyDescent="0.3">
      <c r="A73" s="250">
        <f>VLOOKUP($B73,Reporting!$AD:$AK,MATCH($A$68,Reporting!$AE$4:$AK$4,0)+1,FALSE)</f>
        <v>0</v>
      </c>
      <c r="B73" s="20" t="s">
        <v>391</v>
      </c>
      <c r="C73" s="110">
        <v>0.28000000000000003</v>
      </c>
      <c r="D73" s="6">
        <v>0.61</v>
      </c>
      <c r="E73" s="7">
        <f t="shared" si="44"/>
        <v>0.17080000000000001</v>
      </c>
      <c r="F73" s="7">
        <f t="shared" si="52"/>
        <v>0</v>
      </c>
      <c r="G73" s="8">
        <f t="shared" si="45"/>
        <v>0</v>
      </c>
      <c r="H73" s="9">
        <f t="shared" si="51"/>
        <v>0.28000000000000003</v>
      </c>
      <c r="I73" s="10">
        <v>0.61</v>
      </c>
      <c r="J73" s="10">
        <f t="shared" si="46"/>
        <v>0.17080000000000001</v>
      </c>
      <c r="K73" s="10">
        <f t="shared" si="53"/>
        <v>0</v>
      </c>
      <c r="L73" s="11">
        <f t="shared" si="47"/>
        <v>0</v>
      </c>
      <c r="M73" s="12">
        <f t="shared" si="48"/>
        <v>0.28000000000000003</v>
      </c>
      <c r="N73" s="13">
        <v>0.55000000000000004</v>
      </c>
      <c r="O73" s="13">
        <f t="shared" si="49"/>
        <v>0.15400000000000003</v>
      </c>
      <c r="P73" s="13">
        <f t="shared" si="54"/>
        <v>0</v>
      </c>
      <c r="Q73" s="14">
        <f t="shared" si="50"/>
        <v>0</v>
      </c>
    </row>
    <row r="74" spans="1:25" ht="15" customHeight="1" x14ac:dyDescent="0.3">
      <c r="A74" s="250">
        <f>VLOOKUP($B74,Reporting!$AD:$AK,MATCH($A$68,Reporting!$AE$4:$AK$4,0)+1,FALSE)</f>
        <v>0</v>
      </c>
      <c r="B74" s="20" t="s">
        <v>392</v>
      </c>
      <c r="C74" s="110">
        <v>0.34</v>
      </c>
      <c r="D74" s="6">
        <v>0.61</v>
      </c>
      <c r="E74" s="7">
        <f t="shared" si="44"/>
        <v>0.2074</v>
      </c>
      <c r="F74" s="7">
        <f t="shared" si="52"/>
        <v>0</v>
      </c>
      <c r="G74" s="8">
        <f t="shared" si="45"/>
        <v>0</v>
      </c>
      <c r="H74" s="9">
        <f t="shared" si="51"/>
        <v>0.34</v>
      </c>
      <c r="I74" s="10">
        <v>0.61</v>
      </c>
      <c r="J74" s="10">
        <f t="shared" si="46"/>
        <v>0.2074</v>
      </c>
      <c r="K74" s="10">
        <f t="shared" si="53"/>
        <v>0</v>
      </c>
      <c r="L74" s="11">
        <f t="shared" si="47"/>
        <v>0</v>
      </c>
      <c r="M74" s="12">
        <f t="shared" si="48"/>
        <v>0.34</v>
      </c>
      <c r="N74" s="13">
        <v>0.55000000000000004</v>
      </c>
      <c r="O74" s="13">
        <f t="shared" si="49"/>
        <v>0.18700000000000003</v>
      </c>
      <c r="P74" s="13">
        <f t="shared" si="54"/>
        <v>0</v>
      </c>
      <c r="Q74" s="14">
        <f t="shared" si="50"/>
        <v>0</v>
      </c>
    </row>
    <row r="75" spans="1:25" ht="15.75" customHeight="1" x14ac:dyDescent="0.3">
      <c r="A75" s="250">
        <f>VLOOKUP($B75,Reporting!$AD:$AK,MATCH($A$68,Reporting!$AE$4:$AK$4,0)+1,FALSE)</f>
        <v>0</v>
      </c>
      <c r="B75" s="148" t="s">
        <v>394</v>
      </c>
      <c r="C75" s="99">
        <v>0.4</v>
      </c>
      <c r="D75" s="6">
        <v>0.61</v>
      </c>
      <c r="E75" s="7">
        <f t="shared" si="44"/>
        <v>0.24399999999999999</v>
      </c>
      <c r="F75" s="7">
        <f t="shared" si="52"/>
        <v>0</v>
      </c>
      <c r="G75" s="8">
        <f t="shared" si="45"/>
        <v>0</v>
      </c>
      <c r="H75" s="9">
        <f t="shared" si="51"/>
        <v>0.4</v>
      </c>
      <c r="I75" s="10">
        <v>0.61</v>
      </c>
      <c r="J75" s="10">
        <f t="shared" si="46"/>
        <v>0.24399999999999999</v>
      </c>
      <c r="K75" s="10">
        <f t="shared" si="53"/>
        <v>0</v>
      </c>
      <c r="L75" s="11">
        <f t="shared" si="47"/>
        <v>0</v>
      </c>
      <c r="M75" s="12">
        <f t="shared" si="48"/>
        <v>0.4</v>
      </c>
      <c r="N75" s="13">
        <v>0.55000000000000004</v>
      </c>
      <c r="O75" s="13">
        <f t="shared" si="49"/>
        <v>0.22000000000000003</v>
      </c>
      <c r="P75" s="13">
        <f t="shared" si="54"/>
        <v>0</v>
      </c>
      <c r="Q75" s="14">
        <f t="shared" si="50"/>
        <v>0</v>
      </c>
    </row>
    <row r="76" spans="1:25" x14ac:dyDescent="0.3">
      <c r="A76" s="250">
        <f>VLOOKUP($B76,Reporting!$AD:$AK,MATCH($A$68,Reporting!$AE$4:$AK$4,0)+1,FALSE)</f>
        <v>0</v>
      </c>
      <c r="B76" s="148" t="s">
        <v>395</v>
      </c>
      <c r="C76" s="99">
        <v>0.47</v>
      </c>
      <c r="D76" s="6">
        <v>0.61</v>
      </c>
      <c r="E76" s="7">
        <f t="shared" si="44"/>
        <v>0.28669999999999995</v>
      </c>
      <c r="F76" s="7">
        <f t="shared" si="52"/>
        <v>0</v>
      </c>
      <c r="G76" s="8">
        <f t="shared" si="45"/>
        <v>0</v>
      </c>
      <c r="H76" s="9">
        <f t="shared" si="51"/>
        <v>0.47</v>
      </c>
      <c r="I76" s="10">
        <v>0.61</v>
      </c>
      <c r="J76" s="10">
        <f t="shared" si="46"/>
        <v>0.28669999999999995</v>
      </c>
      <c r="K76" s="10">
        <f t="shared" si="53"/>
        <v>0</v>
      </c>
      <c r="L76" s="11">
        <f t="shared" si="47"/>
        <v>0</v>
      </c>
      <c r="M76" s="12">
        <f t="shared" si="48"/>
        <v>0.47</v>
      </c>
      <c r="N76" s="13">
        <v>0.55000000000000004</v>
      </c>
      <c r="O76" s="13">
        <f t="shared" si="49"/>
        <v>0.25850000000000001</v>
      </c>
      <c r="P76" s="13">
        <f t="shared" si="54"/>
        <v>0</v>
      </c>
      <c r="Q76" s="14">
        <f t="shared" si="50"/>
        <v>0</v>
      </c>
    </row>
    <row r="77" spans="1:25" x14ac:dyDescent="0.3">
      <c r="A77" s="250">
        <f>VLOOKUP($B77,Reporting!$AD:$AK,MATCH($A$68,Reporting!$AE$4:$AK$4,0)+1,FALSE)</f>
        <v>0</v>
      </c>
      <c r="B77" s="148" t="s">
        <v>396</v>
      </c>
      <c r="C77" s="99">
        <v>0.54</v>
      </c>
      <c r="D77" s="6">
        <v>0.61</v>
      </c>
      <c r="E77" s="7">
        <f t="shared" si="44"/>
        <v>0.32940000000000003</v>
      </c>
      <c r="F77" s="7">
        <f t="shared" si="52"/>
        <v>0</v>
      </c>
      <c r="G77" s="8">
        <f t="shared" si="45"/>
        <v>0</v>
      </c>
      <c r="H77" s="9">
        <f t="shared" si="51"/>
        <v>0.54</v>
      </c>
      <c r="I77" s="10">
        <v>0.61</v>
      </c>
      <c r="J77" s="10">
        <f t="shared" si="46"/>
        <v>0.32940000000000003</v>
      </c>
      <c r="K77" s="10">
        <f t="shared" si="53"/>
        <v>0</v>
      </c>
      <c r="L77" s="11">
        <f t="shared" si="47"/>
        <v>0</v>
      </c>
      <c r="M77" s="12">
        <f t="shared" si="48"/>
        <v>0.54</v>
      </c>
      <c r="N77" s="13">
        <v>0.55000000000000004</v>
      </c>
      <c r="O77" s="13">
        <f t="shared" si="49"/>
        <v>0.29700000000000004</v>
      </c>
      <c r="P77" s="13">
        <f t="shared" si="54"/>
        <v>0</v>
      </c>
      <c r="Q77" s="14">
        <f t="shared" si="50"/>
        <v>0</v>
      </c>
    </row>
    <row r="78" spans="1:25" x14ac:dyDescent="0.3">
      <c r="A78" s="250">
        <f>VLOOKUP($B78,Reporting!$AD:$AK,MATCH($A$68,Reporting!$AE$4:$AK$4,0)+1,FALSE)</f>
        <v>0</v>
      </c>
      <c r="B78" s="148" t="s">
        <v>397</v>
      </c>
      <c r="C78" s="99">
        <v>0.54</v>
      </c>
      <c r="D78" s="6">
        <v>0.61</v>
      </c>
      <c r="E78" s="7">
        <f t="shared" si="44"/>
        <v>0.32940000000000003</v>
      </c>
      <c r="F78" s="7">
        <f t="shared" si="52"/>
        <v>0</v>
      </c>
      <c r="G78" s="8">
        <f t="shared" si="45"/>
        <v>0</v>
      </c>
      <c r="H78" s="9">
        <f t="shared" si="51"/>
        <v>0.54</v>
      </c>
      <c r="I78" s="10">
        <v>0.61</v>
      </c>
      <c r="J78" s="10">
        <f t="shared" si="46"/>
        <v>0.32940000000000003</v>
      </c>
      <c r="K78" s="10">
        <f t="shared" si="53"/>
        <v>0</v>
      </c>
      <c r="L78" s="11">
        <f t="shared" si="47"/>
        <v>0</v>
      </c>
      <c r="M78" s="12">
        <f t="shared" si="48"/>
        <v>0.54</v>
      </c>
      <c r="N78" s="13">
        <v>0.55000000000000004</v>
      </c>
      <c r="O78" s="13">
        <f t="shared" si="49"/>
        <v>0.29700000000000004</v>
      </c>
      <c r="P78" s="13">
        <f t="shared" si="54"/>
        <v>0</v>
      </c>
      <c r="Q78" s="14">
        <f t="shared" si="50"/>
        <v>0</v>
      </c>
      <c r="S78" s="598" t="s">
        <v>56</v>
      </c>
      <c r="T78" s="598"/>
      <c r="U78" s="598"/>
      <c r="W78" s="681" t="s">
        <v>56</v>
      </c>
      <c r="X78" s="681"/>
      <c r="Y78" s="681"/>
    </row>
    <row r="79" spans="1:25" ht="15.75" customHeight="1" thickBot="1" x14ac:dyDescent="0.35">
      <c r="A79" s="21">
        <f>SUM(A70:A78)</f>
        <v>0</v>
      </c>
      <c r="B79" s="269"/>
      <c r="C79" s="22"/>
      <c r="D79" s="644" t="s">
        <v>9</v>
      </c>
      <c r="E79" s="645"/>
      <c r="F79" s="645"/>
      <c r="G79" s="16">
        <f>SUM(G70:G78)</f>
        <v>0</v>
      </c>
      <c r="H79" s="1"/>
      <c r="I79" s="646" t="s">
        <v>10</v>
      </c>
      <c r="J79" s="646"/>
      <c r="K79" s="646"/>
      <c r="L79" s="17">
        <f>SUM(L70:L78)</f>
        <v>0</v>
      </c>
      <c r="M79" s="15"/>
      <c r="N79" s="647" t="s">
        <v>11</v>
      </c>
      <c r="O79" s="647"/>
      <c r="P79" s="647"/>
      <c r="Q79" s="18">
        <f>SUM(Q70:Q78)</f>
        <v>0</v>
      </c>
      <c r="S79" s="664">
        <f>Q79+Q92+Q102</f>
        <v>0</v>
      </c>
      <c r="T79" s="665"/>
      <c r="U79" s="665"/>
      <c r="W79" s="682">
        <f>L79+L92+L102</f>
        <v>0</v>
      </c>
      <c r="X79" s="683"/>
      <c r="Y79" s="683"/>
    </row>
    <row r="80" spans="1:25" ht="15.75" customHeight="1" thickBot="1" x14ac:dyDescent="0.35">
      <c r="S80" s="665"/>
      <c r="T80" s="665"/>
      <c r="U80" s="665"/>
      <c r="W80" s="683"/>
      <c r="X80" s="683"/>
      <c r="Y80" s="683"/>
    </row>
    <row r="81" spans="1:25" ht="15" customHeight="1" x14ac:dyDescent="0.3">
      <c r="A81" s="687" t="s">
        <v>117</v>
      </c>
      <c r="B81" s="687"/>
      <c r="C81" s="687"/>
      <c r="D81" s="687"/>
      <c r="E81" s="640" t="s">
        <v>118</v>
      </c>
      <c r="F81" s="640"/>
      <c r="G81" s="640"/>
      <c r="H81" s="640"/>
      <c r="I81" s="23"/>
      <c r="J81" s="23"/>
      <c r="K81" s="23"/>
      <c r="L81" s="23"/>
      <c r="M81" s="23"/>
      <c r="N81" s="23"/>
      <c r="O81" s="23"/>
      <c r="P81" s="23"/>
      <c r="Q81" s="24"/>
      <c r="S81" s="665"/>
      <c r="T81" s="665"/>
      <c r="U81" s="665"/>
      <c r="W81" s="683"/>
      <c r="X81" s="683"/>
      <c r="Y81" s="683"/>
    </row>
    <row r="82" spans="1:25" ht="15" customHeight="1" x14ac:dyDescent="0.3">
      <c r="A82" s="688"/>
      <c r="B82" s="688"/>
      <c r="C82" s="688"/>
      <c r="D82" s="688"/>
      <c r="E82" s="641"/>
      <c r="F82" s="641"/>
      <c r="G82" s="641"/>
      <c r="H82" s="641"/>
      <c r="I82" s="42"/>
      <c r="J82" s="42"/>
      <c r="K82" s="42"/>
      <c r="L82" s="42"/>
      <c r="M82" s="42"/>
      <c r="N82" s="42"/>
      <c r="O82" s="42"/>
      <c r="P82" s="42"/>
      <c r="Q82" s="43"/>
    </row>
    <row r="83" spans="1:25" ht="15" customHeight="1" x14ac:dyDescent="0.3">
      <c r="A83" s="250">
        <f>VLOOKUP($B83,Reporting!$AD:$AK,MATCH($A$81,Reporting!$AE$4:$AK$4,0)+1,FALSE)</f>
        <v>0</v>
      </c>
      <c r="B83" s="263" t="s">
        <v>371</v>
      </c>
      <c r="C83" s="110">
        <f>0.51-0.23</f>
        <v>0.28000000000000003</v>
      </c>
      <c r="D83" s="6">
        <v>0.61</v>
      </c>
      <c r="E83" s="7">
        <f t="shared" ref="E83:E91" si="55">C83*D83</f>
        <v>0.17080000000000001</v>
      </c>
      <c r="F83" s="7">
        <f>A83*E83</f>
        <v>0</v>
      </c>
      <c r="G83" s="8">
        <f t="shared" ref="G83:G91" si="56">F83/8</f>
        <v>0</v>
      </c>
      <c r="H83" s="9">
        <f>C83</f>
        <v>0.28000000000000003</v>
      </c>
      <c r="I83" s="10">
        <v>0.61</v>
      </c>
      <c r="J83" s="10">
        <f t="shared" ref="J83:J91" si="57">H83*I83</f>
        <v>0.17080000000000001</v>
      </c>
      <c r="K83" s="10">
        <f>A83*J83</f>
        <v>0</v>
      </c>
      <c r="L83" s="11">
        <f t="shared" ref="L83:L91" si="58">K83/8</f>
        <v>0</v>
      </c>
      <c r="M83" s="12">
        <f t="shared" ref="M83:M91" si="59">H83</f>
        <v>0.28000000000000003</v>
      </c>
      <c r="N83" s="13">
        <v>0.55000000000000004</v>
      </c>
      <c r="O83" s="13">
        <f t="shared" ref="O83:O91" si="60">M83*N83</f>
        <v>0.15400000000000003</v>
      </c>
      <c r="P83" s="13">
        <f>A83*O83</f>
        <v>0</v>
      </c>
      <c r="Q83" s="14">
        <f t="shared" ref="Q83:Q91" si="61">P83/8</f>
        <v>0</v>
      </c>
    </row>
    <row r="84" spans="1:25" ht="15" customHeight="1" x14ac:dyDescent="0.3">
      <c r="A84" s="250">
        <f>VLOOKUP($B84,Reporting!$AD:$AK,MATCH($A$81,Reporting!$AE$4:$AK$4,0)+1,FALSE)</f>
        <v>0</v>
      </c>
      <c r="B84" s="263" t="s">
        <v>372</v>
      </c>
      <c r="C84" s="110">
        <f>0.66-0.29</f>
        <v>0.37000000000000005</v>
      </c>
      <c r="D84" s="6">
        <v>0.61</v>
      </c>
      <c r="E84" s="7">
        <f t="shared" si="55"/>
        <v>0.22570000000000004</v>
      </c>
      <c r="F84" s="7">
        <f t="shared" ref="F84:F91" si="62">A84*E84</f>
        <v>0</v>
      </c>
      <c r="G84" s="8">
        <f t="shared" si="56"/>
        <v>0</v>
      </c>
      <c r="H84" s="9">
        <f t="shared" ref="H84:H91" si="63">C84</f>
        <v>0.37000000000000005</v>
      </c>
      <c r="I84" s="10">
        <v>0.61</v>
      </c>
      <c r="J84" s="10">
        <f t="shared" si="57"/>
        <v>0.22570000000000004</v>
      </c>
      <c r="K84" s="10">
        <f t="shared" ref="K84:K91" si="64">A84*J84</f>
        <v>0</v>
      </c>
      <c r="L84" s="11">
        <f t="shared" si="58"/>
        <v>0</v>
      </c>
      <c r="M84" s="12">
        <f t="shared" si="59"/>
        <v>0.37000000000000005</v>
      </c>
      <c r="N84" s="13">
        <v>0.55000000000000004</v>
      </c>
      <c r="O84" s="13">
        <f t="shared" si="60"/>
        <v>0.20350000000000004</v>
      </c>
      <c r="P84" s="13">
        <f t="shared" ref="P84:P91" si="65">A84*O84</f>
        <v>0</v>
      </c>
      <c r="Q84" s="14">
        <f t="shared" si="61"/>
        <v>0</v>
      </c>
    </row>
    <row r="85" spans="1:25" ht="15" customHeight="1" x14ac:dyDescent="0.3">
      <c r="A85" s="250">
        <f>VLOOKUP($B85,Reporting!$AD:$AK,MATCH($A$81,Reporting!$AE$4:$AK$4,0)+1,FALSE)</f>
        <v>0</v>
      </c>
      <c r="B85" s="20" t="s">
        <v>389</v>
      </c>
      <c r="C85" s="110">
        <f>0.76-0.33</f>
        <v>0.43</v>
      </c>
      <c r="D85" s="6">
        <v>0.61</v>
      </c>
      <c r="E85" s="7">
        <f t="shared" si="55"/>
        <v>0.26229999999999998</v>
      </c>
      <c r="F85" s="7">
        <f t="shared" si="62"/>
        <v>0</v>
      </c>
      <c r="G85" s="8">
        <f t="shared" si="56"/>
        <v>0</v>
      </c>
      <c r="H85" s="9">
        <f t="shared" si="63"/>
        <v>0.43</v>
      </c>
      <c r="I85" s="10">
        <v>0.61</v>
      </c>
      <c r="J85" s="10">
        <f t="shared" si="57"/>
        <v>0.26229999999999998</v>
      </c>
      <c r="K85" s="10">
        <f t="shared" si="64"/>
        <v>0</v>
      </c>
      <c r="L85" s="11">
        <f t="shared" si="58"/>
        <v>0</v>
      </c>
      <c r="M85" s="12">
        <f t="shared" si="59"/>
        <v>0.43</v>
      </c>
      <c r="N85" s="13">
        <v>0.55000000000000004</v>
      </c>
      <c r="O85" s="13">
        <f t="shared" si="60"/>
        <v>0.23650000000000002</v>
      </c>
      <c r="P85" s="13">
        <f t="shared" si="65"/>
        <v>0</v>
      </c>
      <c r="Q85" s="14">
        <f t="shared" si="61"/>
        <v>0</v>
      </c>
    </row>
    <row r="86" spans="1:25" ht="15" customHeight="1" x14ac:dyDescent="0.3">
      <c r="A86" s="250">
        <f>VLOOKUP($B86,Reporting!$AD:$AK,MATCH($A$81,Reporting!$AE$4:$AK$4,0)+1,FALSE)</f>
        <v>0</v>
      </c>
      <c r="B86" s="263" t="s">
        <v>373</v>
      </c>
      <c r="C86" s="110">
        <f>0.81-0.36</f>
        <v>0.45000000000000007</v>
      </c>
      <c r="D86" s="6">
        <v>0.61</v>
      </c>
      <c r="E86" s="7">
        <f t="shared" si="55"/>
        <v>0.27450000000000002</v>
      </c>
      <c r="F86" s="7">
        <f t="shared" si="62"/>
        <v>0</v>
      </c>
      <c r="G86" s="8">
        <f t="shared" si="56"/>
        <v>0</v>
      </c>
      <c r="H86" s="9">
        <f t="shared" si="63"/>
        <v>0.45000000000000007</v>
      </c>
      <c r="I86" s="10">
        <v>0.61</v>
      </c>
      <c r="J86" s="10">
        <f t="shared" si="57"/>
        <v>0.27450000000000002</v>
      </c>
      <c r="K86" s="10">
        <f t="shared" si="64"/>
        <v>0</v>
      </c>
      <c r="L86" s="11">
        <f t="shared" si="58"/>
        <v>0</v>
      </c>
      <c r="M86" s="12">
        <f t="shared" si="59"/>
        <v>0.45000000000000007</v>
      </c>
      <c r="N86" s="13">
        <v>0.55000000000000004</v>
      </c>
      <c r="O86" s="13">
        <f t="shared" si="60"/>
        <v>0.24750000000000005</v>
      </c>
      <c r="P86" s="13">
        <f t="shared" si="65"/>
        <v>0</v>
      </c>
      <c r="Q86" s="14">
        <f t="shared" si="61"/>
        <v>0</v>
      </c>
    </row>
    <row r="87" spans="1:25" ht="15" customHeight="1" x14ac:dyDescent="0.3">
      <c r="A87" s="250">
        <f>VLOOKUP($B87,Reporting!$AD:$AK,MATCH($A$81,Reporting!$AE$4:$AK$4,0)+1,FALSE)</f>
        <v>0</v>
      </c>
      <c r="B87" s="263" t="s">
        <v>374</v>
      </c>
      <c r="C87" s="110">
        <f>0.89-0.41</f>
        <v>0.48000000000000004</v>
      </c>
      <c r="D87" s="6">
        <v>0.61</v>
      </c>
      <c r="E87" s="7">
        <f t="shared" si="55"/>
        <v>0.2928</v>
      </c>
      <c r="F87" s="7">
        <f t="shared" si="62"/>
        <v>0</v>
      </c>
      <c r="G87" s="8">
        <f t="shared" si="56"/>
        <v>0</v>
      </c>
      <c r="H87" s="9">
        <f t="shared" si="63"/>
        <v>0.48000000000000004</v>
      </c>
      <c r="I87" s="10">
        <v>0.61</v>
      </c>
      <c r="J87" s="10">
        <f t="shared" si="57"/>
        <v>0.2928</v>
      </c>
      <c r="K87" s="10">
        <f t="shared" si="64"/>
        <v>0</v>
      </c>
      <c r="L87" s="11">
        <f t="shared" si="58"/>
        <v>0</v>
      </c>
      <c r="M87" s="12">
        <f t="shared" si="59"/>
        <v>0.48000000000000004</v>
      </c>
      <c r="N87" s="13">
        <v>0.55000000000000004</v>
      </c>
      <c r="O87" s="13">
        <f t="shared" si="60"/>
        <v>0.26400000000000007</v>
      </c>
      <c r="P87" s="13">
        <f t="shared" si="65"/>
        <v>0</v>
      </c>
      <c r="Q87" s="14">
        <f t="shared" si="61"/>
        <v>0</v>
      </c>
    </row>
    <row r="88" spans="1:25" ht="15.75" customHeight="1" x14ac:dyDescent="0.3">
      <c r="A88" s="250">
        <f>VLOOKUP($B88,Reporting!$AD:$AK,MATCH($A$81,Reporting!$AE$4:$AK$4,0)+1,FALSE)</f>
        <v>0</v>
      </c>
      <c r="B88" s="148" t="s">
        <v>390</v>
      </c>
      <c r="C88" s="99">
        <f>1.08-0.45</f>
        <v>0.63000000000000012</v>
      </c>
      <c r="D88" s="6">
        <v>0.61</v>
      </c>
      <c r="E88" s="7">
        <f t="shared" si="55"/>
        <v>0.38430000000000009</v>
      </c>
      <c r="F88" s="7">
        <f t="shared" si="62"/>
        <v>0</v>
      </c>
      <c r="G88" s="8">
        <f t="shared" si="56"/>
        <v>0</v>
      </c>
      <c r="H88" s="9">
        <f t="shared" si="63"/>
        <v>0.63000000000000012</v>
      </c>
      <c r="I88" s="10">
        <v>0.61</v>
      </c>
      <c r="J88" s="10">
        <f t="shared" si="57"/>
        <v>0.38430000000000009</v>
      </c>
      <c r="K88" s="10">
        <f t="shared" si="64"/>
        <v>0</v>
      </c>
      <c r="L88" s="11">
        <f t="shared" si="58"/>
        <v>0</v>
      </c>
      <c r="M88" s="12">
        <f t="shared" si="59"/>
        <v>0.63000000000000012</v>
      </c>
      <c r="N88" s="13">
        <v>0.55000000000000004</v>
      </c>
      <c r="O88" s="13">
        <f t="shared" si="60"/>
        <v>0.34650000000000009</v>
      </c>
      <c r="P88" s="13">
        <f t="shared" si="65"/>
        <v>0</v>
      </c>
      <c r="Q88" s="14">
        <f t="shared" si="61"/>
        <v>0</v>
      </c>
    </row>
    <row r="89" spans="1:25" ht="15.75" customHeight="1" x14ac:dyDescent="0.3">
      <c r="A89" s="250">
        <f>VLOOKUP($B89,Reporting!$AD:$AK,MATCH($A$81,Reporting!$AE$4:$AK$4,0)+1,FALSE)</f>
        <v>0</v>
      </c>
      <c r="B89" s="268" t="s">
        <v>376</v>
      </c>
      <c r="C89" s="99">
        <f>1.49-0.71</f>
        <v>0.78</v>
      </c>
      <c r="D89" s="6">
        <v>0.61</v>
      </c>
      <c r="E89" s="7">
        <f t="shared" si="55"/>
        <v>0.4758</v>
      </c>
      <c r="F89" s="7">
        <f>A89*E89</f>
        <v>0</v>
      </c>
      <c r="G89" s="8">
        <f t="shared" si="56"/>
        <v>0</v>
      </c>
      <c r="H89" s="9">
        <f t="shared" si="63"/>
        <v>0.78</v>
      </c>
      <c r="I89" s="10">
        <v>0.61</v>
      </c>
      <c r="J89" s="10">
        <f t="shared" si="57"/>
        <v>0.4758</v>
      </c>
      <c r="K89" s="10">
        <f>A89*J89</f>
        <v>0</v>
      </c>
      <c r="L89" s="11">
        <f t="shared" si="58"/>
        <v>0</v>
      </c>
      <c r="M89" s="12">
        <f t="shared" si="59"/>
        <v>0.78</v>
      </c>
      <c r="N89" s="13">
        <v>0.55000000000000004</v>
      </c>
      <c r="O89" s="13">
        <f t="shared" si="60"/>
        <v>0.42900000000000005</v>
      </c>
      <c r="P89" s="13">
        <f>A89*O89</f>
        <v>0</v>
      </c>
      <c r="Q89" s="14">
        <f t="shared" si="61"/>
        <v>0</v>
      </c>
    </row>
    <row r="90" spans="1:25" ht="15.75" customHeight="1" x14ac:dyDescent="0.3">
      <c r="A90" s="250">
        <f>VLOOKUP($B90,Reporting!$AD:$AK,MATCH($A$81,Reporting!$AE$4:$AK$4,0)+1,FALSE)</f>
        <v>0</v>
      </c>
      <c r="B90" s="148" t="s">
        <v>391</v>
      </c>
      <c r="C90" s="99">
        <f>1.67-0.84</f>
        <v>0.83</v>
      </c>
      <c r="D90" s="6">
        <v>0.61</v>
      </c>
      <c r="E90" s="7">
        <f t="shared" si="55"/>
        <v>0.50629999999999997</v>
      </c>
      <c r="F90" s="7">
        <f>A90*E90</f>
        <v>0</v>
      </c>
      <c r="G90" s="8">
        <f t="shared" si="56"/>
        <v>0</v>
      </c>
      <c r="H90" s="9">
        <f t="shared" si="63"/>
        <v>0.83</v>
      </c>
      <c r="I90" s="10">
        <v>0.61</v>
      </c>
      <c r="J90" s="10">
        <f t="shared" si="57"/>
        <v>0.50629999999999997</v>
      </c>
      <c r="K90" s="10">
        <f>A90*J90</f>
        <v>0</v>
      </c>
      <c r="L90" s="11">
        <f t="shared" si="58"/>
        <v>0</v>
      </c>
      <c r="M90" s="12">
        <f t="shared" si="59"/>
        <v>0.83</v>
      </c>
      <c r="N90" s="13">
        <v>0.55000000000000004</v>
      </c>
      <c r="O90" s="13">
        <f t="shared" si="60"/>
        <v>0.45650000000000002</v>
      </c>
      <c r="P90" s="13">
        <f>A90*O90</f>
        <v>0</v>
      </c>
      <c r="Q90" s="14">
        <f t="shared" si="61"/>
        <v>0</v>
      </c>
    </row>
    <row r="91" spans="1:25" x14ac:dyDescent="0.3">
      <c r="A91" s="250">
        <f>VLOOKUP($B91,Reporting!$AD:$AK,MATCH($A$81,Reporting!$AE$4:$AK$4,0)+1,FALSE)</f>
        <v>0</v>
      </c>
      <c r="B91" s="148" t="s">
        <v>392</v>
      </c>
      <c r="C91" s="99">
        <f>1.89-1.1</f>
        <v>0.78999999999999981</v>
      </c>
      <c r="D91" s="6">
        <v>0.61</v>
      </c>
      <c r="E91" s="7">
        <f t="shared" si="55"/>
        <v>0.48189999999999988</v>
      </c>
      <c r="F91" s="7">
        <f t="shared" si="62"/>
        <v>0</v>
      </c>
      <c r="G91" s="8">
        <f t="shared" si="56"/>
        <v>0</v>
      </c>
      <c r="H91" s="9">
        <f t="shared" si="63"/>
        <v>0.78999999999999981</v>
      </c>
      <c r="I91" s="10">
        <v>0.61</v>
      </c>
      <c r="J91" s="10">
        <f t="shared" si="57"/>
        <v>0.48189999999999988</v>
      </c>
      <c r="K91" s="10">
        <f t="shared" si="64"/>
        <v>0</v>
      </c>
      <c r="L91" s="11">
        <f t="shared" si="58"/>
        <v>0</v>
      </c>
      <c r="M91" s="12">
        <f t="shared" si="59"/>
        <v>0.78999999999999981</v>
      </c>
      <c r="N91" s="13">
        <v>0.55000000000000004</v>
      </c>
      <c r="O91" s="13">
        <f t="shared" si="60"/>
        <v>0.43449999999999994</v>
      </c>
      <c r="P91" s="13">
        <f t="shared" si="65"/>
        <v>0</v>
      </c>
      <c r="Q91" s="14">
        <f t="shared" si="61"/>
        <v>0</v>
      </c>
    </row>
    <row r="92" spans="1:25" ht="15" thickBot="1" x14ac:dyDescent="0.35">
      <c r="A92" s="21">
        <f>SUM(A83:A91)</f>
        <v>0</v>
      </c>
      <c r="B92" s="269"/>
      <c r="C92" s="22"/>
      <c r="D92" s="644" t="s">
        <v>9</v>
      </c>
      <c r="E92" s="645"/>
      <c r="F92" s="645"/>
      <c r="G92" s="16">
        <f>SUM(G83:G91)</f>
        <v>0</v>
      </c>
      <c r="H92" s="1"/>
      <c r="I92" s="646" t="s">
        <v>10</v>
      </c>
      <c r="J92" s="646"/>
      <c r="K92" s="646"/>
      <c r="L92" s="17">
        <f>SUM(L83:L91)</f>
        <v>0</v>
      </c>
      <c r="M92" s="15"/>
      <c r="N92" s="647" t="s">
        <v>11</v>
      </c>
      <c r="O92" s="647"/>
      <c r="P92" s="647"/>
      <c r="Q92" s="18">
        <f>SUM(Q83:Q91)</f>
        <v>0</v>
      </c>
    </row>
    <row r="93" spans="1:25" ht="15" thickBot="1" x14ac:dyDescent="0.35"/>
    <row r="94" spans="1:25" x14ac:dyDescent="0.3">
      <c r="A94" s="718" t="s">
        <v>132</v>
      </c>
      <c r="B94" s="718"/>
      <c r="C94" s="718"/>
      <c r="D94" s="640" t="s">
        <v>133</v>
      </c>
      <c r="E94" s="640"/>
      <c r="F94" s="640"/>
      <c r="G94" s="640"/>
      <c r="H94" s="23"/>
      <c r="I94" s="23"/>
      <c r="J94" s="23"/>
      <c r="K94" s="23"/>
      <c r="L94" s="23"/>
      <c r="M94" s="23"/>
      <c r="N94" s="23"/>
      <c r="O94" s="23"/>
      <c r="P94" s="23"/>
      <c r="Q94" s="24"/>
    </row>
    <row r="95" spans="1:25" x14ac:dyDescent="0.3">
      <c r="A95" s="719"/>
      <c r="B95" s="719"/>
      <c r="C95" s="719"/>
      <c r="D95" s="641"/>
      <c r="E95" s="641"/>
      <c r="F95" s="641"/>
      <c r="G95" s="641"/>
      <c r="H95" s="42"/>
      <c r="I95" s="42"/>
      <c r="J95" s="42"/>
      <c r="K95" s="42"/>
      <c r="L95" s="42"/>
      <c r="M95" s="42"/>
      <c r="N95" s="42"/>
      <c r="O95" s="42"/>
      <c r="P95" s="42"/>
      <c r="Q95" s="43"/>
    </row>
    <row r="96" spans="1:25" x14ac:dyDescent="0.3">
      <c r="A96" s="250">
        <f>VLOOKUP($B96,Reporting!$AD:$AK,MATCH($A$94,Reporting!$AE$4:$AK$4,0)+1,FALSE)</f>
        <v>0</v>
      </c>
      <c r="B96" s="263" t="s">
        <v>371</v>
      </c>
      <c r="C96" s="98">
        <v>0.23</v>
      </c>
      <c r="D96" s="6">
        <v>0.61</v>
      </c>
      <c r="E96" s="7">
        <f t="shared" ref="E96:E101" si="66">C96*D96</f>
        <v>0.14030000000000001</v>
      </c>
      <c r="F96" s="7">
        <f t="shared" ref="F96:F101" si="67">A96*E96</f>
        <v>0</v>
      </c>
      <c r="G96" s="8">
        <f t="shared" ref="G96:G101" si="68">F96/8</f>
        <v>0</v>
      </c>
      <c r="H96" s="9">
        <f t="shared" ref="H96:H101" si="69">C96</f>
        <v>0.23</v>
      </c>
      <c r="I96" s="10">
        <v>0.61</v>
      </c>
      <c r="J96" s="10">
        <f t="shared" ref="J96:J101" si="70">H96*I96</f>
        <v>0.14030000000000001</v>
      </c>
      <c r="K96" s="10">
        <f t="shared" ref="K96:K101" si="71">A96*J96</f>
        <v>0</v>
      </c>
      <c r="L96" s="11">
        <f t="shared" ref="L96:L101" si="72">K96/8</f>
        <v>0</v>
      </c>
      <c r="M96" s="12">
        <f t="shared" ref="M96:M101" si="73">H96</f>
        <v>0.23</v>
      </c>
      <c r="N96" s="13">
        <v>0.55000000000000004</v>
      </c>
      <c r="O96" s="13">
        <f t="shared" ref="O96:O101" si="74">M96*N96</f>
        <v>0.12650000000000003</v>
      </c>
      <c r="P96" s="13">
        <f t="shared" ref="P96:P101" si="75">A96*O96</f>
        <v>0</v>
      </c>
      <c r="Q96" s="14">
        <f t="shared" ref="Q96:Q101" si="76">P96/8</f>
        <v>0</v>
      </c>
    </row>
    <row r="97" spans="1:17" x14ac:dyDescent="0.3">
      <c r="A97" s="250">
        <f>VLOOKUP($B97,Reporting!$AD:$AK,MATCH($A$94,Reporting!$AE$4:$AK$4,0)+1,FALSE)</f>
        <v>0</v>
      </c>
      <c r="B97" s="263" t="s">
        <v>372</v>
      </c>
      <c r="C97" s="98">
        <v>0.28999999999999998</v>
      </c>
      <c r="D97" s="6">
        <v>0.61</v>
      </c>
      <c r="E97" s="7">
        <f t="shared" si="66"/>
        <v>0.17689999999999997</v>
      </c>
      <c r="F97" s="7">
        <f t="shared" si="67"/>
        <v>0</v>
      </c>
      <c r="G97" s="8">
        <f t="shared" si="68"/>
        <v>0</v>
      </c>
      <c r="H97" s="9">
        <f t="shared" si="69"/>
        <v>0.28999999999999998</v>
      </c>
      <c r="I97" s="10">
        <v>0.61</v>
      </c>
      <c r="J97" s="10">
        <f t="shared" si="70"/>
        <v>0.17689999999999997</v>
      </c>
      <c r="K97" s="10">
        <f t="shared" si="71"/>
        <v>0</v>
      </c>
      <c r="L97" s="11">
        <f t="shared" si="72"/>
        <v>0</v>
      </c>
      <c r="M97" s="12">
        <f t="shared" si="73"/>
        <v>0.28999999999999998</v>
      </c>
      <c r="N97" s="13">
        <v>0.55000000000000004</v>
      </c>
      <c r="O97" s="13">
        <f t="shared" si="74"/>
        <v>0.1595</v>
      </c>
      <c r="P97" s="13">
        <f t="shared" si="75"/>
        <v>0</v>
      </c>
      <c r="Q97" s="14">
        <f t="shared" si="76"/>
        <v>0</v>
      </c>
    </row>
    <row r="98" spans="1:17" x14ac:dyDescent="0.3">
      <c r="A98" s="250">
        <f>VLOOKUP($B98,Reporting!$AD:$AK,MATCH($A$94,Reporting!$AE$4:$AK$4,0)+1,FALSE)</f>
        <v>0</v>
      </c>
      <c r="B98" s="20" t="s">
        <v>389</v>
      </c>
      <c r="C98" s="98">
        <v>0.33</v>
      </c>
      <c r="D98" s="6">
        <v>0.61</v>
      </c>
      <c r="E98" s="7">
        <f t="shared" si="66"/>
        <v>0.20130000000000001</v>
      </c>
      <c r="F98" s="7">
        <f t="shared" si="67"/>
        <v>0</v>
      </c>
      <c r="G98" s="8">
        <f t="shared" si="68"/>
        <v>0</v>
      </c>
      <c r="H98" s="9">
        <f t="shared" si="69"/>
        <v>0.33</v>
      </c>
      <c r="I98" s="10">
        <v>0.61</v>
      </c>
      <c r="J98" s="10">
        <f t="shared" si="70"/>
        <v>0.20130000000000001</v>
      </c>
      <c r="K98" s="10">
        <f t="shared" si="71"/>
        <v>0</v>
      </c>
      <c r="L98" s="11">
        <f t="shared" si="72"/>
        <v>0</v>
      </c>
      <c r="M98" s="12">
        <f t="shared" si="73"/>
        <v>0.33</v>
      </c>
      <c r="N98" s="13">
        <v>0.55000000000000004</v>
      </c>
      <c r="O98" s="13">
        <f t="shared" si="74"/>
        <v>0.18150000000000002</v>
      </c>
      <c r="P98" s="13">
        <f t="shared" si="75"/>
        <v>0</v>
      </c>
      <c r="Q98" s="14">
        <f t="shared" si="76"/>
        <v>0</v>
      </c>
    </row>
    <row r="99" spans="1:17" x14ac:dyDescent="0.3">
      <c r="A99" s="250">
        <f>VLOOKUP($B99,Reporting!$AD:$AK,MATCH($A$94,Reporting!$AE$4:$AK$4,0)+1,FALSE)</f>
        <v>0</v>
      </c>
      <c r="B99" s="263" t="s">
        <v>373</v>
      </c>
      <c r="C99" s="98">
        <v>0.36</v>
      </c>
      <c r="D99" s="6">
        <v>0.61</v>
      </c>
      <c r="E99" s="7">
        <f t="shared" si="66"/>
        <v>0.21959999999999999</v>
      </c>
      <c r="F99" s="7">
        <f t="shared" si="67"/>
        <v>0</v>
      </c>
      <c r="G99" s="8">
        <f t="shared" si="68"/>
        <v>0</v>
      </c>
      <c r="H99" s="9">
        <f t="shared" si="69"/>
        <v>0.36</v>
      </c>
      <c r="I99" s="10">
        <v>0.61</v>
      </c>
      <c r="J99" s="10">
        <f t="shared" si="70"/>
        <v>0.21959999999999999</v>
      </c>
      <c r="K99" s="10">
        <f t="shared" si="71"/>
        <v>0</v>
      </c>
      <c r="L99" s="11">
        <f t="shared" si="72"/>
        <v>0</v>
      </c>
      <c r="M99" s="12">
        <f t="shared" si="73"/>
        <v>0.36</v>
      </c>
      <c r="N99" s="13">
        <v>0.55000000000000004</v>
      </c>
      <c r="O99" s="13">
        <f t="shared" si="74"/>
        <v>0.19800000000000001</v>
      </c>
      <c r="P99" s="13">
        <f t="shared" si="75"/>
        <v>0</v>
      </c>
      <c r="Q99" s="14">
        <f t="shared" si="76"/>
        <v>0</v>
      </c>
    </row>
    <row r="100" spans="1:17" x14ac:dyDescent="0.3">
      <c r="A100" s="250">
        <f>VLOOKUP($B100,Reporting!$AD:$AK,MATCH($A$94,Reporting!$AE$4:$AK$4,0)+1,FALSE)</f>
        <v>0</v>
      </c>
      <c r="B100" s="263" t="s">
        <v>374</v>
      </c>
      <c r="C100" s="110">
        <v>0.41</v>
      </c>
      <c r="D100" s="6">
        <v>0.61</v>
      </c>
      <c r="E100" s="7">
        <f t="shared" si="66"/>
        <v>0.25009999999999999</v>
      </c>
      <c r="F100" s="7">
        <f t="shared" si="67"/>
        <v>0</v>
      </c>
      <c r="G100" s="8">
        <f t="shared" si="68"/>
        <v>0</v>
      </c>
      <c r="H100" s="9">
        <f t="shared" si="69"/>
        <v>0.41</v>
      </c>
      <c r="I100" s="10">
        <v>0.61</v>
      </c>
      <c r="J100" s="10">
        <f t="shared" si="70"/>
        <v>0.25009999999999999</v>
      </c>
      <c r="K100" s="10">
        <f t="shared" si="71"/>
        <v>0</v>
      </c>
      <c r="L100" s="11">
        <f t="shared" si="72"/>
        <v>0</v>
      </c>
      <c r="M100" s="12">
        <f t="shared" si="73"/>
        <v>0.41</v>
      </c>
      <c r="N100" s="13">
        <v>0.55000000000000004</v>
      </c>
      <c r="O100" s="13">
        <f t="shared" si="74"/>
        <v>0.22550000000000001</v>
      </c>
      <c r="P100" s="13">
        <f t="shared" si="75"/>
        <v>0</v>
      </c>
      <c r="Q100" s="14">
        <f t="shared" si="76"/>
        <v>0</v>
      </c>
    </row>
    <row r="101" spans="1:17" x14ac:dyDescent="0.3">
      <c r="A101" s="250">
        <f>VLOOKUP($B101,Reporting!$AD:$AK,MATCH($A$94,Reporting!$AE$4:$AK$4,0)+1,FALSE)</f>
        <v>0</v>
      </c>
      <c r="B101" s="148" t="s">
        <v>390</v>
      </c>
      <c r="C101" s="99">
        <v>0.45</v>
      </c>
      <c r="D101" s="6">
        <v>0.61</v>
      </c>
      <c r="E101" s="7">
        <f t="shared" si="66"/>
        <v>0.27450000000000002</v>
      </c>
      <c r="F101" s="7">
        <f t="shared" si="67"/>
        <v>0</v>
      </c>
      <c r="G101" s="8">
        <f t="shared" si="68"/>
        <v>0</v>
      </c>
      <c r="H101" s="9">
        <f t="shared" si="69"/>
        <v>0.45</v>
      </c>
      <c r="I101" s="10">
        <v>0.61</v>
      </c>
      <c r="J101" s="10">
        <f t="shared" si="70"/>
        <v>0.27450000000000002</v>
      </c>
      <c r="K101" s="10">
        <f t="shared" si="71"/>
        <v>0</v>
      </c>
      <c r="L101" s="11">
        <f t="shared" si="72"/>
        <v>0</v>
      </c>
      <c r="M101" s="12">
        <f t="shared" si="73"/>
        <v>0.45</v>
      </c>
      <c r="N101" s="13">
        <v>0.55000000000000004</v>
      </c>
      <c r="O101" s="13">
        <f t="shared" si="74"/>
        <v>0.24750000000000003</v>
      </c>
      <c r="P101" s="13">
        <f t="shared" si="75"/>
        <v>0</v>
      </c>
      <c r="Q101" s="14">
        <f t="shared" si="76"/>
        <v>0</v>
      </c>
    </row>
    <row r="102" spans="1:17" ht="15" thickBot="1" x14ac:dyDescent="0.35">
      <c r="A102" s="21">
        <f>SUM(A96:A101)</f>
        <v>0</v>
      </c>
      <c r="B102" s="269"/>
      <c r="C102" s="22"/>
      <c r="D102" s="714" t="s">
        <v>9</v>
      </c>
      <c r="E102" s="715"/>
      <c r="F102" s="715"/>
      <c r="G102" s="16">
        <f>SUM(G96:G101)</f>
        <v>0</v>
      </c>
      <c r="H102" s="1"/>
      <c r="I102" s="716" t="s">
        <v>10</v>
      </c>
      <c r="J102" s="716"/>
      <c r="K102" s="716"/>
      <c r="L102" s="17">
        <f>SUM(L96:L101)</f>
        <v>0</v>
      </c>
      <c r="M102" s="15"/>
      <c r="N102" s="717" t="s">
        <v>11</v>
      </c>
      <c r="O102" s="717"/>
      <c r="P102" s="717"/>
      <c r="Q102" s="18">
        <f>SUM(Q96:Q101)</f>
        <v>0</v>
      </c>
    </row>
    <row r="103" spans="1:17" ht="15" thickBot="1" x14ac:dyDescent="0.35"/>
    <row r="104" spans="1:17" x14ac:dyDescent="0.3">
      <c r="A104" s="656" t="s">
        <v>27</v>
      </c>
      <c r="B104" s="656"/>
      <c r="C104" s="656"/>
      <c r="D104" s="656"/>
      <c r="E104" s="660" t="s">
        <v>97</v>
      </c>
      <c r="F104" s="660"/>
      <c r="G104" s="660"/>
      <c r="H104" s="66"/>
      <c r="I104" s="66"/>
      <c r="J104" s="66"/>
      <c r="K104" s="66"/>
      <c r="L104" s="66"/>
      <c r="M104" s="66"/>
      <c r="N104" s="66"/>
      <c r="O104" s="66"/>
      <c r="P104" s="66"/>
      <c r="Q104" s="67"/>
    </row>
    <row r="105" spans="1:17" x14ac:dyDescent="0.3">
      <c r="A105" s="657"/>
      <c r="B105" s="657"/>
      <c r="C105" s="657"/>
      <c r="D105" s="657"/>
      <c r="E105" s="661"/>
      <c r="F105" s="661"/>
      <c r="G105" s="661"/>
      <c r="H105" s="68"/>
      <c r="I105" s="68"/>
      <c r="J105" s="68"/>
      <c r="K105" s="68"/>
      <c r="L105" s="68"/>
      <c r="M105" s="68"/>
      <c r="N105" s="68"/>
      <c r="O105" s="68"/>
      <c r="P105" s="68"/>
      <c r="Q105" s="69"/>
    </row>
    <row r="106" spans="1:17" x14ac:dyDescent="0.3">
      <c r="A106" s="129"/>
      <c r="B106" s="70" t="s">
        <v>20</v>
      </c>
      <c r="C106" s="108">
        <v>2.8000000000000001E-2</v>
      </c>
      <c r="D106" s="6">
        <v>1</v>
      </c>
      <c r="E106" s="7">
        <f t="shared" ref="E106:E116" si="77">C106*D106</f>
        <v>2.8000000000000001E-2</v>
      </c>
      <c r="F106" s="7">
        <f>A106*E106</f>
        <v>0</v>
      </c>
      <c r="G106" s="8">
        <f t="shared" ref="G106:G116" si="78">F106/8</f>
        <v>0</v>
      </c>
      <c r="H106" s="9">
        <f>C106</f>
        <v>2.8000000000000001E-2</v>
      </c>
      <c r="I106" s="10">
        <v>1</v>
      </c>
      <c r="J106" s="10">
        <f t="shared" ref="J106:J116" si="79">H106*I106</f>
        <v>2.8000000000000001E-2</v>
      </c>
      <c r="K106" s="10">
        <f>A106*J106</f>
        <v>0</v>
      </c>
      <c r="L106" s="11">
        <f t="shared" ref="L106:L116" si="80">K106/8</f>
        <v>0</v>
      </c>
      <c r="M106" s="12">
        <f t="shared" ref="M106:M116" si="81">H106</f>
        <v>2.8000000000000001E-2</v>
      </c>
      <c r="N106" s="13">
        <v>1</v>
      </c>
      <c r="O106" s="13">
        <f t="shared" ref="O106:O116" si="82">M106*N106</f>
        <v>2.8000000000000001E-2</v>
      </c>
      <c r="P106" s="13">
        <f>A106*O106</f>
        <v>0</v>
      </c>
      <c r="Q106" s="14">
        <f t="shared" ref="Q106:Q116" si="83">P106/8</f>
        <v>0</v>
      </c>
    </row>
    <row r="107" spans="1:17" x14ac:dyDescent="0.3">
      <c r="A107" s="129"/>
      <c r="B107" s="70" t="s">
        <v>44</v>
      </c>
      <c r="C107" s="108">
        <v>0.08</v>
      </c>
      <c r="D107" s="6">
        <v>1</v>
      </c>
      <c r="E107" s="7">
        <f t="shared" si="77"/>
        <v>0.08</v>
      </c>
      <c r="F107" s="7">
        <f t="shared" ref="F107:F116" si="84">A107*E107</f>
        <v>0</v>
      </c>
      <c r="G107" s="8">
        <f t="shared" si="78"/>
        <v>0</v>
      </c>
      <c r="H107" s="9">
        <f t="shared" ref="H107:H116" si="85">C107</f>
        <v>0.08</v>
      </c>
      <c r="I107" s="10">
        <v>1</v>
      </c>
      <c r="J107" s="10">
        <f t="shared" si="79"/>
        <v>0.08</v>
      </c>
      <c r="K107" s="10">
        <f t="shared" ref="K107:K116" si="86">A107*J107</f>
        <v>0</v>
      </c>
      <c r="L107" s="11">
        <f t="shared" si="80"/>
        <v>0</v>
      </c>
      <c r="M107" s="12">
        <f t="shared" si="81"/>
        <v>0.08</v>
      </c>
      <c r="N107" s="13">
        <v>1</v>
      </c>
      <c r="O107" s="13">
        <f t="shared" si="82"/>
        <v>0.08</v>
      </c>
      <c r="P107" s="13">
        <f t="shared" ref="P107:P116" si="87">A107*O107</f>
        <v>0</v>
      </c>
      <c r="Q107" s="14">
        <f t="shared" si="83"/>
        <v>0</v>
      </c>
    </row>
    <row r="108" spans="1:17" x14ac:dyDescent="0.3">
      <c r="A108" s="129"/>
      <c r="B108" s="70" t="s">
        <v>45</v>
      </c>
      <c r="C108" s="108">
        <v>0.06</v>
      </c>
      <c r="D108" s="6">
        <v>1</v>
      </c>
      <c r="E108" s="7">
        <f t="shared" si="77"/>
        <v>0.06</v>
      </c>
      <c r="F108" s="7">
        <f t="shared" si="84"/>
        <v>0</v>
      </c>
      <c r="G108" s="8">
        <f t="shared" si="78"/>
        <v>0</v>
      </c>
      <c r="H108" s="9">
        <f t="shared" si="85"/>
        <v>0.06</v>
      </c>
      <c r="I108" s="10">
        <v>1</v>
      </c>
      <c r="J108" s="10">
        <f t="shared" si="79"/>
        <v>0.06</v>
      </c>
      <c r="K108" s="10">
        <f t="shared" si="86"/>
        <v>0</v>
      </c>
      <c r="L108" s="11">
        <f t="shared" si="80"/>
        <v>0</v>
      </c>
      <c r="M108" s="12">
        <f t="shared" si="81"/>
        <v>0.06</v>
      </c>
      <c r="N108" s="13">
        <v>1</v>
      </c>
      <c r="O108" s="13">
        <f t="shared" si="82"/>
        <v>0.06</v>
      </c>
      <c r="P108" s="13">
        <f t="shared" si="87"/>
        <v>0</v>
      </c>
      <c r="Q108" s="14">
        <f t="shared" si="83"/>
        <v>0</v>
      </c>
    </row>
    <row r="109" spans="1:17" x14ac:dyDescent="0.3">
      <c r="A109" s="129"/>
      <c r="B109" s="70" t="s">
        <v>46</v>
      </c>
      <c r="C109" s="108">
        <v>0.12</v>
      </c>
      <c r="D109" s="6">
        <v>1</v>
      </c>
      <c r="E109" s="7">
        <f t="shared" si="77"/>
        <v>0.12</v>
      </c>
      <c r="F109" s="7">
        <f t="shared" si="84"/>
        <v>0</v>
      </c>
      <c r="G109" s="8">
        <f t="shared" si="78"/>
        <v>0</v>
      </c>
      <c r="H109" s="9">
        <f t="shared" si="85"/>
        <v>0.12</v>
      </c>
      <c r="I109" s="10">
        <v>1</v>
      </c>
      <c r="J109" s="10">
        <f t="shared" si="79"/>
        <v>0.12</v>
      </c>
      <c r="K109" s="10">
        <f t="shared" si="86"/>
        <v>0</v>
      </c>
      <c r="L109" s="11">
        <f t="shared" si="80"/>
        <v>0</v>
      </c>
      <c r="M109" s="12">
        <f t="shared" si="81"/>
        <v>0.12</v>
      </c>
      <c r="N109" s="13">
        <v>1</v>
      </c>
      <c r="O109" s="13">
        <f t="shared" si="82"/>
        <v>0.12</v>
      </c>
      <c r="P109" s="13">
        <f t="shared" si="87"/>
        <v>0</v>
      </c>
      <c r="Q109" s="14">
        <f t="shared" si="83"/>
        <v>0</v>
      </c>
    </row>
    <row r="110" spans="1:17" x14ac:dyDescent="0.3">
      <c r="A110" s="129"/>
      <c r="B110" s="70" t="s">
        <v>47</v>
      </c>
      <c r="C110" s="109">
        <v>0.1</v>
      </c>
      <c r="D110" s="6">
        <v>1</v>
      </c>
      <c r="E110" s="7">
        <f t="shared" si="77"/>
        <v>0.1</v>
      </c>
      <c r="F110" s="7">
        <f t="shared" si="84"/>
        <v>0</v>
      </c>
      <c r="G110" s="8">
        <f t="shared" si="78"/>
        <v>0</v>
      </c>
      <c r="H110" s="9">
        <f t="shared" si="85"/>
        <v>0.1</v>
      </c>
      <c r="I110" s="10">
        <v>1</v>
      </c>
      <c r="J110" s="10">
        <f t="shared" si="79"/>
        <v>0.1</v>
      </c>
      <c r="K110" s="10">
        <f t="shared" si="86"/>
        <v>0</v>
      </c>
      <c r="L110" s="11">
        <f t="shared" si="80"/>
        <v>0</v>
      </c>
      <c r="M110" s="12">
        <f t="shared" si="81"/>
        <v>0.1</v>
      </c>
      <c r="N110" s="13">
        <v>1</v>
      </c>
      <c r="O110" s="13">
        <f t="shared" si="82"/>
        <v>0.1</v>
      </c>
      <c r="P110" s="13">
        <f t="shared" si="87"/>
        <v>0</v>
      </c>
      <c r="Q110" s="14">
        <f t="shared" si="83"/>
        <v>0</v>
      </c>
    </row>
    <row r="111" spans="1:17" x14ac:dyDescent="0.3">
      <c r="A111" s="130"/>
      <c r="B111" s="71" t="s">
        <v>370</v>
      </c>
      <c r="C111" s="109">
        <v>0.04</v>
      </c>
      <c r="D111" s="6">
        <v>1</v>
      </c>
      <c r="E111" s="7">
        <f t="shared" si="77"/>
        <v>0.04</v>
      </c>
      <c r="F111" s="7">
        <f t="shared" si="84"/>
        <v>0</v>
      </c>
      <c r="G111" s="8">
        <f t="shared" si="78"/>
        <v>0</v>
      </c>
      <c r="H111" s="9">
        <f t="shared" si="85"/>
        <v>0.04</v>
      </c>
      <c r="I111" s="10">
        <v>1</v>
      </c>
      <c r="J111" s="10">
        <f t="shared" si="79"/>
        <v>0.04</v>
      </c>
      <c r="K111" s="10">
        <f t="shared" si="86"/>
        <v>0</v>
      </c>
      <c r="L111" s="11">
        <f t="shared" si="80"/>
        <v>0</v>
      </c>
      <c r="M111" s="12">
        <f t="shared" si="81"/>
        <v>0.04</v>
      </c>
      <c r="N111" s="13">
        <v>1</v>
      </c>
      <c r="O111" s="13">
        <f t="shared" si="82"/>
        <v>0.04</v>
      </c>
      <c r="P111" s="13">
        <f t="shared" si="87"/>
        <v>0</v>
      </c>
      <c r="Q111" s="14">
        <f t="shared" si="83"/>
        <v>0</v>
      </c>
    </row>
    <row r="112" spans="1:17" x14ac:dyDescent="0.3">
      <c r="A112" s="130"/>
      <c r="B112" s="71" t="s">
        <v>49</v>
      </c>
      <c r="C112" s="109">
        <v>0.06</v>
      </c>
      <c r="D112" s="6">
        <v>1</v>
      </c>
      <c r="E112" s="7">
        <f t="shared" si="77"/>
        <v>0.06</v>
      </c>
      <c r="F112" s="7">
        <f t="shared" si="84"/>
        <v>0</v>
      </c>
      <c r="G112" s="8">
        <f t="shared" si="78"/>
        <v>0</v>
      </c>
      <c r="H112" s="9">
        <f t="shared" si="85"/>
        <v>0.06</v>
      </c>
      <c r="I112" s="10">
        <v>1</v>
      </c>
      <c r="J112" s="10">
        <f t="shared" si="79"/>
        <v>0.06</v>
      </c>
      <c r="K112" s="10">
        <f t="shared" si="86"/>
        <v>0</v>
      </c>
      <c r="L112" s="11">
        <f t="shared" si="80"/>
        <v>0</v>
      </c>
      <c r="M112" s="12">
        <f t="shared" si="81"/>
        <v>0.06</v>
      </c>
      <c r="N112" s="13">
        <v>1</v>
      </c>
      <c r="O112" s="13">
        <f t="shared" si="82"/>
        <v>0.06</v>
      </c>
      <c r="P112" s="13">
        <f t="shared" si="87"/>
        <v>0</v>
      </c>
      <c r="Q112" s="14">
        <f t="shared" si="83"/>
        <v>0</v>
      </c>
    </row>
    <row r="113" spans="1:17" x14ac:dyDescent="0.3">
      <c r="A113" s="130"/>
      <c r="B113" s="71" t="s">
        <v>126</v>
      </c>
      <c r="C113" s="109">
        <v>0.05</v>
      </c>
      <c r="D113" s="6">
        <v>1</v>
      </c>
      <c r="E113" s="7">
        <f t="shared" si="77"/>
        <v>0.05</v>
      </c>
      <c r="F113" s="7">
        <f t="shared" si="84"/>
        <v>0</v>
      </c>
      <c r="G113" s="8">
        <f t="shared" si="78"/>
        <v>0</v>
      </c>
      <c r="H113" s="9">
        <f t="shared" si="85"/>
        <v>0.05</v>
      </c>
      <c r="I113" s="10">
        <v>1</v>
      </c>
      <c r="J113" s="10">
        <f t="shared" si="79"/>
        <v>0.05</v>
      </c>
      <c r="K113" s="10">
        <f t="shared" si="86"/>
        <v>0</v>
      </c>
      <c r="L113" s="11">
        <f t="shared" si="80"/>
        <v>0</v>
      </c>
      <c r="M113" s="12">
        <f t="shared" si="81"/>
        <v>0.05</v>
      </c>
      <c r="N113" s="13">
        <v>1</v>
      </c>
      <c r="O113" s="13">
        <f t="shared" si="82"/>
        <v>0.05</v>
      </c>
      <c r="P113" s="13">
        <f t="shared" si="87"/>
        <v>0</v>
      </c>
      <c r="Q113" s="14">
        <f t="shared" si="83"/>
        <v>0</v>
      </c>
    </row>
    <row r="114" spans="1:17" x14ac:dyDescent="0.3">
      <c r="A114" s="130"/>
      <c r="B114" s="83" t="s">
        <v>125</v>
      </c>
      <c r="C114" s="109">
        <v>0.04</v>
      </c>
      <c r="D114" s="6">
        <v>1</v>
      </c>
      <c r="E114" s="7">
        <f t="shared" si="77"/>
        <v>0.04</v>
      </c>
      <c r="F114" s="7">
        <f t="shared" si="84"/>
        <v>0</v>
      </c>
      <c r="G114" s="8">
        <f t="shared" si="78"/>
        <v>0</v>
      </c>
      <c r="H114" s="9">
        <f t="shared" si="85"/>
        <v>0.04</v>
      </c>
      <c r="I114" s="10">
        <v>1</v>
      </c>
      <c r="J114" s="10">
        <f t="shared" si="79"/>
        <v>0.04</v>
      </c>
      <c r="K114" s="10">
        <f t="shared" si="86"/>
        <v>0</v>
      </c>
      <c r="L114" s="11">
        <f t="shared" si="80"/>
        <v>0</v>
      </c>
      <c r="M114" s="12">
        <f t="shared" si="81"/>
        <v>0.04</v>
      </c>
      <c r="N114" s="13">
        <v>1</v>
      </c>
      <c r="O114" s="13">
        <f t="shared" si="82"/>
        <v>0.04</v>
      </c>
      <c r="P114" s="13">
        <f t="shared" si="87"/>
        <v>0</v>
      </c>
      <c r="Q114" s="14">
        <f t="shared" si="83"/>
        <v>0</v>
      </c>
    </row>
    <row r="115" spans="1:17" x14ac:dyDescent="0.3">
      <c r="A115" s="130"/>
      <c r="B115" s="71" t="s">
        <v>50</v>
      </c>
      <c r="C115" s="109">
        <v>0.04</v>
      </c>
      <c r="D115" s="6">
        <v>1</v>
      </c>
      <c r="E115" s="7">
        <f t="shared" si="77"/>
        <v>0.04</v>
      </c>
      <c r="F115" s="7">
        <f t="shared" si="84"/>
        <v>0</v>
      </c>
      <c r="G115" s="8">
        <f t="shared" si="78"/>
        <v>0</v>
      </c>
      <c r="H115" s="9">
        <f t="shared" si="85"/>
        <v>0.04</v>
      </c>
      <c r="I115" s="10">
        <v>1</v>
      </c>
      <c r="J115" s="10">
        <f t="shared" si="79"/>
        <v>0.04</v>
      </c>
      <c r="K115" s="10">
        <f t="shared" si="86"/>
        <v>0</v>
      </c>
      <c r="L115" s="11">
        <f t="shared" si="80"/>
        <v>0</v>
      </c>
      <c r="M115" s="12">
        <f t="shared" si="81"/>
        <v>0.04</v>
      </c>
      <c r="N115" s="13">
        <v>1</v>
      </c>
      <c r="O115" s="13">
        <f t="shared" si="82"/>
        <v>0.04</v>
      </c>
      <c r="P115" s="13">
        <f t="shared" si="87"/>
        <v>0</v>
      </c>
      <c r="Q115" s="14">
        <f t="shared" si="83"/>
        <v>0</v>
      </c>
    </row>
    <row r="116" spans="1:17" x14ac:dyDescent="0.3">
      <c r="A116" s="130"/>
      <c r="B116" s="83" t="s">
        <v>127</v>
      </c>
      <c r="C116" s="109">
        <v>0.02</v>
      </c>
      <c r="D116" s="6">
        <v>1</v>
      </c>
      <c r="E116" s="7">
        <f t="shared" si="77"/>
        <v>0.02</v>
      </c>
      <c r="F116" s="7">
        <f t="shared" si="84"/>
        <v>0</v>
      </c>
      <c r="G116" s="8">
        <f t="shared" si="78"/>
        <v>0</v>
      </c>
      <c r="H116" s="9">
        <f t="shared" si="85"/>
        <v>0.02</v>
      </c>
      <c r="I116" s="10">
        <v>1</v>
      </c>
      <c r="J116" s="10">
        <f t="shared" si="79"/>
        <v>0.02</v>
      </c>
      <c r="K116" s="10">
        <f t="shared" si="86"/>
        <v>0</v>
      </c>
      <c r="L116" s="11">
        <f t="shared" si="80"/>
        <v>0</v>
      </c>
      <c r="M116" s="12">
        <f t="shared" si="81"/>
        <v>0.02</v>
      </c>
      <c r="N116" s="13">
        <v>1</v>
      </c>
      <c r="O116" s="13">
        <f t="shared" si="82"/>
        <v>0.02</v>
      </c>
      <c r="P116" s="13">
        <f t="shared" si="87"/>
        <v>0</v>
      </c>
      <c r="Q116" s="14">
        <f t="shared" si="83"/>
        <v>0</v>
      </c>
    </row>
    <row r="117" spans="1:17" ht="15" thickBot="1" x14ac:dyDescent="0.35">
      <c r="A117" s="64">
        <f>SUM(A102)</f>
        <v>0</v>
      </c>
      <c r="B117" s="279"/>
      <c r="C117" s="65"/>
      <c r="D117" s="644" t="s">
        <v>9</v>
      </c>
      <c r="E117" s="645"/>
      <c r="F117" s="645"/>
      <c r="G117" s="16">
        <f>SUM(G106:G116)</f>
        <v>0</v>
      </c>
      <c r="H117" s="1"/>
      <c r="I117" s="646" t="s">
        <v>10</v>
      </c>
      <c r="J117" s="646"/>
      <c r="K117" s="646"/>
      <c r="L117" s="17">
        <f>SUM(L106:L116)</f>
        <v>0</v>
      </c>
      <c r="M117" s="15"/>
      <c r="N117" s="647" t="s">
        <v>11</v>
      </c>
      <c r="O117" s="647"/>
      <c r="P117" s="647"/>
      <c r="Q117" s="18">
        <f>SUM(Q106:Q116)</f>
        <v>0</v>
      </c>
    </row>
  </sheetData>
  <sheetProtection algorithmName="SHA-512" hashValue="egFQByB0jmGKYtL6gHyjH0wrLu5PtEHE4JY6V/Vefw/SX5a4cTrT8czC+Ig6vfaics8aRtDHJd/zUCQ6qHWUFQ==" saltValue="cH1PgQWOpS8n6Nowh6NvGQ==" spinCount="100000" sheet="1" objects="1" scenarios="1"/>
  <mergeCells count="62">
    <mergeCell ref="S24:U26"/>
    <mergeCell ref="W24:Y26"/>
    <mergeCell ref="A25:G26"/>
    <mergeCell ref="H25:J26"/>
    <mergeCell ref="AA2:AC2"/>
    <mergeCell ref="S3:T3"/>
    <mergeCell ref="W3:X3"/>
    <mergeCell ref="AA3:AB3"/>
    <mergeCell ref="A5:F6"/>
    <mergeCell ref="H5:J6"/>
    <mergeCell ref="A1:C2"/>
    <mergeCell ref="D2:G2"/>
    <mergeCell ref="H2:L2"/>
    <mergeCell ref="M2:Q2"/>
    <mergeCell ref="S2:U2"/>
    <mergeCell ref="W2:Y2"/>
    <mergeCell ref="D23:F23"/>
    <mergeCell ref="I23:K23"/>
    <mergeCell ref="N23:P23"/>
    <mergeCell ref="S23:U23"/>
    <mergeCell ref="W23:Y23"/>
    <mergeCell ref="D38:F38"/>
    <mergeCell ref="I38:K38"/>
    <mergeCell ref="N38:P38"/>
    <mergeCell ref="A40:F41"/>
    <mergeCell ref="H40:J41"/>
    <mergeCell ref="S51:U51"/>
    <mergeCell ref="W51:Y51"/>
    <mergeCell ref="S52:U54"/>
    <mergeCell ref="W52:Y54"/>
    <mergeCell ref="A53:G54"/>
    <mergeCell ref="H53:J54"/>
    <mergeCell ref="D51:F51"/>
    <mergeCell ref="I51:K51"/>
    <mergeCell ref="N51:P51"/>
    <mergeCell ref="D92:F92"/>
    <mergeCell ref="I92:K92"/>
    <mergeCell ref="N92:P92"/>
    <mergeCell ref="A94:C95"/>
    <mergeCell ref="D66:F66"/>
    <mergeCell ref="I66:K66"/>
    <mergeCell ref="N66:P66"/>
    <mergeCell ref="A68:D69"/>
    <mergeCell ref="E68:G69"/>
    <mergeCell ref="W78:Y78"/>
    <mergeCell ref="D79:F79"/>
    <mergeCell ref="I79:K79"/>
    <mergeCell ref="N79:P79"/>
    <mergeCell ref="S79:U81"/>
    <mergeCell ref="W79:Y81"/>
    <mergeCell ref="A81:D82"/>
    <mergeCell ref="E81:H82"/>
    <mergeCell ref="S78:U78"/>
    <mergeCell ref="N117:P117"/>
    <mergeCell ref="D94:G95"/>
    <mergeCell ref="A104:D105"/>
    <mergeCell ref="E104:G105"/>
    <mergeCell ref="D117:F117"/>
    <mergeCell ref="I117:K117"/>
    <mergeCell ref="D102:F102"/>
    <mergeCell ref="I102:K102"/>
    <mergeCell ref="N102:P10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7030A0"/>
    <pageSetUpPr fitToPage="1"/>
  </sheetPr>
  <dimension ref="A1:AC377"/>
  <sheetViews>
    <sheetView zoomScaleNormal="100" workbookViewId="0">
      <pane ySplit="3" topLeftCell="A178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bestFit="1" customWidth="1"/>
    <col min="2" max="2" width="9.109375" style="229"/>
    <col min="3" max="3" width="9.664062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36" t="s">
        <v>28</v>
      </c>
      <c r="B1" s="737"/>
      <c r="C1" s="737"/>
      <c r="D1" s="27">
        <f ca="1">A27+A47+A71+A86+A99+A119+A136+A153+A166+A179+A208+A221+A237+A252+A264+A278+A291+A304+A318+A331+A344+A363+A377</f>
        <v>68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38"/>
      <c r="B2" s="739"/>
      <c r="C2" s="739"/>
      <c r="D2" s="695" t="s">
        <v>6</v>
      </c>
      <c r="E2" s="696"/>
      <c r="F2" s="696"/>
      <c r="G2" s="697"/>
      <c r="H2" s="633" t="s">
        <v>8</v>
      </c>
      <c r="I2" s="634"/>
      <c r="J2" s="634"/>
      <c r="K2" s="634"/>
      <c r="L2" s="635"/>
      <c r="M2" s="684" t="s">
        <v>257</v>
      </c>
      <c r="N2" s="685"/>
      <c r="O2" s="685"/>
      <c r="P2" s="685"/>
      <c r="Q2" s="686"/>
      <c r="S2" s="673" t="s">
        <v>41</v>
      </c>
      <c r="T2" s="674"/>
      <c r="U2" s="675"/>
      <c r="W2" s="676" t="s">
        <v>42</v>
      </c>
      <c r="X2" s="677"/>
      <c r="Y2" s="678"/>
      <c r="AA2" s="666" t="s">
        <v>22</v>
      </c>
      <c r="AB2" s="667"/>
      <c r="AC2" s="668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1">
        <f ca="1">G27+G71+G86+G119+G208+G221+G318+G331+G344+G363+G377+G237+G252+G264+G99+G136+G153+G166+G179+G192+G278+G291+G304+G47</f>
        <v>1.9337</v>
      </c>
      <c r="T3" s="672"/>
      <c r="U3" s="80" t="s">
        <v>23</v>
      </c>
      <c r="W3" s="679">
        <f ca="1">L27+L71+L86+L119+L208+L221+L318+L331+L344+L363+L377+L237+L252+L264+L99+L136+L153+L166+L179+L192+L278+L291+L304+L47</f>
        <v>1.9337</v>
      </c>
      <c r="X3" s="680"/>
      <c r="Y3" s="81" t="s">
        <v>23</v>
      </c>
      <c r="AA3" s="669">
        <f ca="1">Q27+Q71+Q86+Q119+Q208+Q221+Q318+Q331+Q344+Q363+Q377+Q237+Q252+Q264+Q99+Q136+Q153+Q166+Q179+Q192+Q278+Q291+Q304+Q47</f>
        <v>1.7435</v>
      </c>
      <c r="AB3" s="670"/>
      <c r="AC3" s="79" t="s">
        <v>23</v>
      </c>
    </row>
    <row r="4" spans="1:29" ht="15" thickBot="1" x14ac:dyDescent="0.35">
      <c r="A4">
        <f>A27+A47+A71+A86+A99+A119+A136+A153+A166+A179+A192</f>
        <v>2</v>
      </c>
    </row>
    <row r="5" spans="1:29" ht="15" customHeight="1" x14ac:dyDescent="0.3">
      <c r="A5" s="689" t="s">
        <v>169</v>
      </c>
      <c r="B5" s="689"/>
      <c r="C5" s="689"/>
      <c r="D5" s="689"/>
      <c r="E5" s="122"/>
      <c r="F5" s="122"/>
      <c r="G5" s="122"/>
      <c r="H5" s="698" t="s">
        <v>120</v>
      </c>
      <c r="I5" s="698"/>
      <c r="J5" s="698"/>
      <c r="K5" s="698"/>
      <c r="L5" s="2"/>
      <c r="M5" s="2"/>
      <c r="N5" s="2"/>
      <c r="O5" s="2"/>
      <c r="P5" s="2"/>
      <c r="Q5" s="5"/>
    </row>
    <row r="6" spans="1:29" ht="15" customHeight="1" x14ac:dyDescent="0.3">
      <c r="A6" s="690"/>
      <c r="B6" s="690"/>
      <c r="C6" s="690"/>
      <c r="D6" s="690"/>
      <c r="E6" s="123"/>
      <c r="F6" s="123"/>
      <c r="G6" s="123"/>
      <c r="H6" s="699"/>
      <c r="I6" s="699"/>
      <c r="J6" s="699"/>
      <c r="K6" s="69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VLOOKUP($B7,Reporting!$AM:$BK,MATCH($A$5,Reporting!$AN$4:$BK$4,0)+1,FALSE)</f>
        <v>0</v>
      </c>
      <c r="B7" s="262" t="s">
        <v>371</v>
      </c>
      <c r="C7" s="114">
        <v>0.3</v>
      </c>
      <c r="D7" s="6">
        <v>0.61</v>
      </c>
      <c r="E7" s="7">
        <f t="shared" ref="E7:E12" si="0">C7*D7</f>
        <v>0.183</v>
      </c>
      <c r="F7" s="7">
        <f>A7*E7</f>
        <v>0</v>
      </c>
      <c r="G7" s="8">
        <f t="shared" ref="G7:G12" si="1">F7/8</f>
        <v>0</v>
      </c>
      <c r="H7" s="9">
        <f>C7</f>
        <v>0.3</v>
      </c>
      <c r="I7" s="10">
        <v>0.61</v>
      </c>
      <c r="J7" s="10">
        <f t="shared" ref="J7:J12" si="2">H7*I7</f>
        <v>0.183</v>
      </c>
      <c r="K7" s="10">
        <f>A7*J7</f>
        <v>0</v>
      </c>
      <c r="L7" s="11">
        <f t="shared" ref="L7:L12" si="3">K7/8</f>
        <v>0</v>
      </c>
      <c r="M7" s="12">
        <f t="shared" ref="M7:M12" si="4">H7</f>
        <v>0.3</v>
      </c>
      <c r="N7" s="13">
        <v>0.45</v>
      </c>
      <c r="O7" s="13">
        <f t="shared" ref="O7:O12" si="5">M7*N7</f>
        <v>0.13500000000000001</v>
      </c>
      <c r="P7" s="13">
        <f>A7*O7</f>
        <v>0</v>
      </c>
      <c r="Q7" s="14">
        <f t="shared" ref="Q7:Q12" si="6">P7/8</f>
        <v>0</v>
      </c>
      <c r="W7" s="120"/>
      <c r="X7" s="120"/>
      <c r="Y7" s="120"/>
      <c r="Z7" s="120"/>
      <c r="AA7" s="120"/>
    </row>
    <row r="8" spans="1:29" ht="15" customHeight="1" x14ac:dyDescent="0.3">
      <c r="A8" s="250">
        <f>VLOOKUP($B8,Reporting!$AM:$BK,MATCH($A$5,Reporting!$AN$4:$BK$4,0)+1,FALSE)</f>
        <v>0</v>
      </c>
      <c r="B8" s="262" t="s">
        <v>372</v>
      </c>
      <c r="C8" s="114">
        <v>0.45</v>
      </c>
      <c r="D8" s="6">
        <v>0.61</v>
      </c>
      <c r="E8" s="7">
        <f t="shared" si="0"/>
        <v>0.27450000000000002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0.45</v>
      </c>
      <c r="I8" s="10">
        <v>0.61</v>
      </c>
      <c r="J8" s="10">
        <f t="shared" si="2"/>
        <v>0.27450000000000002</v>
      </c>
      <c r="K8" s="10">
        <f t="shared" ref="K8:K26" si="9">A8*J8</f>
        <v>0</v>
      </c>
      <c r="L8" s="11">
        <f t="shared" si="3"/>
        <v>0</v>
      </c>
      <c r="M8" s="12">
        <f t="shared" si="4"/>
        <v>0.45</v>
      </c>
      <c r="N8" s="13">
        <v>0.45</v>
      </c>
      <c r="O8" s="13">
        <f t="shared" si="5"/>
        <v>0.20250000000000001</v>
      </c>
      <c r="P8" s="13">
        <f t="shared" ref="P8:P26" si="10">A8*O8</f>
        <v>0</v>
      </c>
      <c r="Q8" s="14">
        <f t="shared" si="6"/>
        <v>0</v>
      </c>
      <c r="W8" s="120"/>
      <c r="X8" s="120"/>
      <c r="Y8" s="120"/>
      <c r="Z8" s="120"/>
      <c r="AA8" s="120"/>
    </row>
    <row r="9" spans="1:29" ht="15" customHeight="1" x14ac:dyDescent="0.3">
      <c r="A9" s="250">
        <f>VLOOKUP($B9,Reporting!$AM:$BK,MATCH($A$5,Reporting!$AN$4:$BK$4,0)+1,FALSE)</f>
        <v>0</v>
      </c>
      <c r="B9" s="262" t="s">
        <v>389</v>
      </c>
      <c r="C9" s="114">
        <v>0.6</v>
      </c>
      <c r="D9" s="6">
        <v>0.61</v>
      </c>
      <c r="E9" s="7">
        <f t="shared" si="0"/>
        <v>0.36599999999999999</v>
      </c>
      <c r="F9" s="7">
        <f t="shared" si="7"/>
        <v>0</v>
      </c>
      <c r="G9" s="8">
        <f t="shared" si="1"/>
        <v>0</v>
      </c>
      <c r="H9" s="9">
        <f t="shared" si="8"/>
        <v>0.6</v>
      </c>
      <c r="I9" s="10">
        <v>0.61</v>
      </c>
      <c r="J9" s="10">
        <f t="shared" si="2"/>
        <v>0.36599999999999999</v>
      </c>
      <c r="K9" s="10">
        <f t="shared" si="9"/>
        <v>0</v>
      </c>
      <c r="L9" s="11">
        <f t="shared" si="3"/>
        <v>0</v>
      </c>
      <c r="M9" s="12">
        <f t="shared" si="4"/>
        <v>0.6</v>
      </c>
      <c r="N9" s="13">
        <v>0.45</v>
      </c>
      <c r="O9" s="13">
        <f t="shared" si="5"/>
        <v>0.27</v>
      </c>
      <c r="P9" s="13">
        <f t="shared" si="10"/>
        <v>0</v>
      </c>
      <c r="Q9" s="14">
        <f t="shared" si="6"/>
        <v>0</v>
      </c>
      <c r="W9" s="120"/>
      <c r="X9" s="120"/>
      <c r="Y9" s="120"/>
      <c r="Z9" s="120"/>
      <c r="AA9" s="120"/>
    </row>
    <row r="10" spans="1:29" ht="15" customHeight="1" x14ac:dyDescent="0.3">
      <c r="A10" s="250">
        <f>VLOOKUP($B10,Reporting!$AM:$BK,MATCH($A$5,Reporting!$AN$4:$BK$4,0)+1,FALSE)</f>
        <v>0</v>
      </c>
      <c r="B10" s="262" t="s">
        <v>373</v>
      </c>
      <c r="C10" s="114">
        <v>0.75</v>
      </c>
      <c r="D10" s="6">
        <v>0.61</v>
      </c>
      <c r="E10" s="7">
        <f t="shared" si="0"/>
        <v>0.45750000000000002</v>
      </c>
      <c r="F10" s="7">
        <f t="shared" si="7"/>
        <v>0</v>
      </c>
      <c r="G10" s="8">
        <f t="shared" si="1"/>
        <v>0</v>
      </c>
      <c r="H10" s="9">
        <f t="shared" si="8"/>
        <v>0.75</v>
      </c>
      <c r="I10" s="10">
        <v>0.61</v>
      </c>
      <c r="J10" s="10">
        <f t="shared" si="2"/>
        <v>0.45750000000000002</v>
      </c>
      <c r="K10" s="10">
        <f t="shared" si="9"/>
        <v>0</v>
      </c>
      <c r="L10" s="11">
        <f t="shared" si="3"/>
        <v>0</v>
      </c>
      <c r="M10" s="12">
        <f t="shared" si="4"/>
        <v>0.75</v>
      </c>
      <c r="N10" s="13">
        <v>0.45</v>
      </c>
      <c r="O10" s="13">
        <f t="shared" si="5"/>
        <v>0.33750000000000002</v>
      </c>
      <c r="P10" s="13">
        <f t="shared" si="10"/>
        <v>0</v>
      </c>
      <c r="Q10" s="14">
        <f t="shared" si="6"/>
        <v>0</v>
      </c>
      <c r="W10" s="120"/>
      <c r="X10" s="120"/>
      <c r="Y10" s="120"/>
      <c r="Z10" s="120"/>
      <c r="AA10" s="120"/>
    </row>
    <row r="11" spans="1:29" ht="15" customHeight="1" x14ac:dyDescent="0.3">
      <c r="A11" s="250">
        <f>VLOOKUP($B11,Reporting!$AM:$BK,MATCH($A$5,Reporting!$AN$4:$BK$4,0)+1,FALSE)</f>
        <v>0</v>
      </c>
      <c r="B11" s="262" t="s">
        <v>374</v>
      </c>
      <c r="C11" s="114">
        <v>0.9</v>
      </c>
      <c r="D11" s="6">
        <v>0.61</v>
      </c>
      <c r="E11" s="7">
        <f t="shared" si="0"/>
        <v>0.54900000000000004</v>
      </c>
      <c r="F11" s="7">
        <f t="shared" si="7"/>
        <v>0</v>
      </c>
      <c r="G11" s="8">
        <f t="shared" si="1"/>
        <v>0</v>
      </c>
      <c r="H11" s="9">
        <f t="shared" si="8"/>
        <v>0.9</v>
      </c>
      <c r="I11" s="10">
        <v>0.61</v>
      </c>
      <c r="J11" s="10">
        <f t="shared" si="2"/>
        <v>0.54900000000000004</v>
      </c>
      <c r="K11" s="10">
        <f t="shared" si="9"/>
        <v>0</v>
      </c>
      <c r="L11" s="11">
        <f t="shared" si="3"/>
        <v>0</v>
      </c>
      <c r="M11" s="12">
        <f t="shared" si="4"/>
        <v>0.9</v>
      </c>
      <c r="N11" s="13">
        <v>0.45</v>
      </c>
      <c r="O11" s="13">
        <f t="shared" si="5"/>
        <v>0.40500000000000003</v>
      </c>
      <c r="P11" s="13">
        <f t="shared" si="10"/>
        <v>0</v>
      </c>
      <c r="Q11" s="14">
        <f t="shared" si="6"/>
        <v>0</v>
      </c>
      <c r="W11" s="120"/>
      <c r="X11" s="120"/>
      <c r="Y11" s="120"/>
      <c r="Z11" s="120"/>
      <c r="AA11" s="120"/>
    </row>
    <row r="12" spans="1:29" ht="15.75" customHeight="1" x14ac:dyDescent="0.3">
      <c r="A12" s="250">
        <f>VLOOKUP($B12,Reporting!$AM:$BK,MATCH($A$5,Reporting!$AN$4:$BK$4,0)+1,FALSE)</f>
        <v>0</v>
      </c>
      <c r="B12" s="266" t="s">
        <v>390</v>
      </c>
      <c r="C12" s="97">
        <v>1.2</v>
      </c>
      <c r="D12" s="6">
        <v>0.61</v>
      </c>
      <c r="E12" s="7">
        <f t="shared" si="0"/>
        <v>0.73199999999999998</v>
      </c>
      <c r="F12" s="7">
        <f t="shared" si="7"/>
        <v>0</v>
      </c>
      <c r="G12" s="8">
        <f t="shared" si="1"/>
        <v>0</v>
      </c>
      <c r="H12" s="9">
        <f t="shared" si="8"/>
        <v>1.2</v>
      </c>
      <c r="I12" s="10">
        <v>0.61</v>
      </c>
      <c r="J12" s="10">
        <f t="shared" si="2"/>
        <v>0.73199999999999998</v>
      </c>
      <c r="K12" s="10">
        <f t="shared" si="9"/>
        <v>0</v>
      </c>
      <c r="L12" s="11">
        <f t="shared" si="3"/>
        <v>0</v>
      </c>
      <c r="M12" s="12">
        <f t="shared" si="4"/>
        <v>1.2</v>
      </c>
      <c r="N12" s="13">
        <v>0.45</v>
      </c>
      <c r="O12" s="13">
        <f t="shared" si="5"/>
        <v>0.54</v>
      </c>
      <c r="P12" s="13">
        <f t="shared" si="10"/>
        <v>0</v>
      </c>
      <c r="Q12" s="14">
        <f t="shared" si="6"/>
        <v>0</v>
      </c>
      <c r="W12" s="120"/>
      <c r="X12" s="120"/>
      <c r="Y12" s="120"/>
      <c r="Z12" s="120"/>
      <c r="AA12" s="120"/>
    </row>
    <row r="13" spans="1:29" x14ac:dyDescent="0.3">
      <c r="A13" s="250">
        <f>VLOOKUP($B13,Reporting!$AM:$BK,MATCH($A$5,Reporting!$AN$4:$BK$4,0)+1,FALSE)</f>
        <v>0</v>
      </c>
      <c r="B13" s="266" t="s">
        <v>376</v>
      </c>
      <c r="C13" s="97">
        <v>1.5</v>
      </c>
      <c r="D13" s="6">
        <v>0.61</v>
      </c>
      <c r="E13" s="7">
        <f t="shared" ref="E13:E26" si="11">C13*D13</f>
        <v>0.91500000000000004</v>
      </c>
      <c r="F13" s="7">
        <f t="shared" si="7"/>
        <v>0</v>
      </c>
      <c r="G13" s="8">
        <f t="shared" ref="G13:G26" si="12">F13/8</f>
        <v>0</v>
      </c>
      <c r="H13" s="9">
        <f t="shared" si="8"/>
        <v>1.5</v>
      </c>
      <c r="I13" s="10">
        <v>0.61</v>
      </c>
      <c r="J13" s="10">
        <f t="shared" ref="J13:J26" si="13">H13*I13</f>
        <v>0.91500000000000004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1.5</v>
      </c>
      <c r="N13" s="13">
        <v>0.45</v>
      </c>
      <c r="O13" s="13">
        <f t="shared" ref="O13:O26" si="16">M13*N13</f>
        <v>0.67500000000000004</v>
      </c>
      <c r="P13" s="13">
        <f t="shared" si="10"/>
        <v>0</v>
      </c>
      <c r="Q13" s="14">
        <f t="shared" ref="Q13:Q26" si="17">P13/8</f>
        <v>0</v>
      </c>
      <c r="W13" s="120"/>
      <c r="X13" s="120"/>
      <c r="Y13" s="120"/>
      <c r="Z13" s="120"/>
      <c r="AA13" s="120"/>
    </row>
    <row r="14" spans="1:29" x14ac:dyDescent="0.3">
      <c r="A14" s="250">
        <f>VLOOKUP($B14,Reporting!$AM:$BK,MATCH($A$5,Reporting!$AN$4:$BK$4,0)+1,FALSE)</f>
        <v>0</v>
      </c>
      <c r="B14" s="266" t="s">
        <v>391</v>
      </c>
      <c r="C14" s="97">
        <v>1.57</v>
      </c>
      <c r="D14" s="6">
        <v>0.61</v>
      </c>
      <c r="E14" s="7">
        <f t="shared" si="11"/>
        <v>0.9577</v>
      </c>
      <c r="F14" s="7">
        <f t="shared" si="7"/>
        <v>0</v>
      </c>
      <c r="G14" s="8">
        <f t="shared" si="12"/>
        <v>0</v>
      </c>
      <c r="H14" s="9">
        <f t="shared" si="8"/>
        <v>1.57</v>
      </c>
      <c r="I14" s="10">
        <v>0.61</v>
      </c>
      <c r="J14" s="10">
        <f t="shared" si="13"/>
        <v>0.9577</v>
      </c>
      <c r="K14" s="10">
        <f t="shared" si="9"/>
        <v>0</v>
      </c>
      <c r="L14" s="11">
        <f t="shared" si="14"/>
        <v>0</v>
      </c>
      <c r="M14" s="12">
        <f t="shared" si="15"/>
        <v>1.57</v>
      </c>
      <c r="N14" s="13">
        <v>0.45</v>
      </c>
      <c r="O14" s="13">
        <f t="shared" si="16"/>
        <v>0.70650000000000002</v>
      </c>
      <c r="P14" s="13">
        <f t="shared" si="10"/>
        <v>0</v>
      </c>
      <c r="Q14" s="14">
        <f t="shared" si="17"/>
        <v>0</v>
      </c>
      <c r="W14" s="120"/>
      <c r="X14" s="120"/>
      <c r="Y14" s="120"/>
      <c r="Z14" s="120"/>
      <c r="AA14" s="120"/>
    </row>
    <row r="15" spans="1:29" x14ac:dyDescent="0.3">
      <c r="A15" s="250">
        <f>VLOOKUP($B15,Reporting!$AM:$BK,MATCH($A$5,Reporting!$AN$4:$BK$4,0)+1,FALSE)</f>
        <v>0</v>
      </c>
      <c r="B15" s="266" t="s">
        <v>392</v>
      </c>
      <c r="C15" s="97">
        <v>1.94</v>
      </c>
      <c r="D15" s="6">
        <v>0.61</v>
      </c>
      <c r="E15" s="7">
        <f t="shared" si="11"/>
        <v>1.1834</v>
      </c>
      <c r="F15" s="7">
        <f t="shared" si="7"/>
        <v>0</v>
      </c>
      <c r="G15" s="8">
        <f t="shared" si="12"/>
        <v>0</v>
      </c>
      <c r="H15" s="9">
        <f t="shared" si="8"/>
        <v>1.94</v>
      </c>
      <c r="I15" s="10">
        <v>0.61</v>
      </c>
      <c r="J15" s="10">
        <f t="shared" si="13"/>
        <v>1.1834</v>
      </c>
      <c r="K15" s="10">
        <f t="shared" si="9"/>
        <v>0</v>
      </c>
      <c r="L15" s="11">
        <f t="shared" si="14"/>
        <v>0</v>
      </c>
      <c r="M15" s="12">
        <f t="shared" si="15"/>
        <v>1.94</v>
      </c>
      <c r="N15" s="13">
        <v>0.45</v>
      </c>
      <c r="O15" s="13">
        <f t="shared" si="16"/>
        <v>0.873</v>
      </c>
      <c r="P15" s="13">
        <f t="shared" si="10"/>
        <v>0</v>
      </c>
      <c r="Q15" s="14">
        <f t="shared" si="17"/>
        <v>0</v>
      </c>
      <c r="W15" s="120"/>
      <c r="X15" s="120"/>
      <c r="Y15" s="120"/>
      <c r="Z15" s="120"/>
      <c r="AA15" s="120"/>
    </row>
    <row r="16" spans="1:29" x14ac:dyDescent="0.3">
      <c r="A16" s="250">
        <f>VLOOKUP($B16,Reporting!$AM:$BK,MATCH($A$5,Reporting!$AN$4:$BK$4,0)+1,FALSE)</f>
        <v>0</v>
      </c>
      <c r="B16" s="266" t="s">
        <v>393</v>
      </c>
      <c r="C16" s="97">
        <v>2.23</v>
      </c>
      <c r="D16" s="6">
        <v>0.61</v>
      </c>
      <c r="E16" s="7">
        <f t="shared" si="11"/>
        <v>1.3603000000000001</v>
      </c>
      <c r="F16" s="7">
        <f t="shared" si="7"/>
        <v>0</v>
      </c>
      <c r="G16" s="8">
        <f t="shared" si="12"/>
        <v>0</v>
      </c>
      <c r="H16" s="9">
        <f t="shared" si="8"/>
        <v>2.23</v>
      </c>
      <c r="I16" s="10">
        <v>0.61</v>
      </c>
      <c r="J16" s="10">
        <f t="shared" si="13"/>
        <v>1.3603000000000001</v>
      </c>
      <c r="K16" s="10">
        <f t="shared" si="9"/>
        <v>0</v>
      </c>
      <c r="L16" s="11">
        <f t="shared" si="14"/>
        <v>0</v>
      </c>
      <c r="M16" s="12">
        <f t="shared" si="15"/>
        <v>2.23</v>
      </c>
      <c r="N16" s="13">
        <v>0.45</v>
      </c>
      <c r="O16" s="13">
        <f t="shared" si="16"/>
        <v>1.0035000000000001</v>
      </c>
      <c r="P16" s="13">
        <f t="shared" si="10"/>
        <v>0</v>
      </c>
      <c r="Q16" s="14">
        <f t="shared" si="17"/>
        <v>0</v>
      </c>
      <c r="W16" s="120"/>
      <c r="X16" s="120"/>
      <c r="Y16" s="120"/>
      <c r="Z16" s="120"/>
      <c r="AA16" s="120"/>
    </row>
    <row r="17" spans="1:27" x14ac:dyDescent="0.3">
      <c r="A17" s="250">
        <f>VLOOKUP($B17,Reporting!$AM:$BK,MATCH($A$5,Reporting!$AN$4:$BK$4,0)+1,FALSE)</f>
        <v>0</v>
      </c>
      <c r="B17" s="266" t="s">
        <v>394</v>
      </c>
      <c r="C17" s="97">
        <v>2.48</v>
      </c>
      <c r="D17" s="6">
        <v>0.61</v>
      </c>
      <c r="E17" s="7">
        <f t="shared" si="11"/>
        <v>1.5127999999999999</v>
      </c>
      <c r="F17" s="7">
        <f t="shared" si="7"/>
        <v>0</v>
      </c>
      <c r="G17" s="8">
        <f t="shared" si="12"/>
        <v>0</v>
      </c>
      <c r="H17" s="9">
        <f t="shared" si="8"/>
        <v>2.48</v>
      </c>
      <c r="I17" s="10">
        <v>0.61</v>
      </c>
      <c r="J17" s="10">
        <f t="shared" si="13"/>
        <v>1.5127999999999999</v>
      </c>
      <c r="K17" s="10">
        <f t="shared" si="9"/>
        <v>0</v>
      </c>
      <c r="L17" s="11">
        <f t="shared" si="14"/>
        <v>0</v>
      </c>
      <c r="M17" s="12">
        <f t="shared" si="15"/>
        <v>2.48</v>
      </c>
      <c r="N17" s="13">
        <v>0.45</v>
      </c>
      <c r="O17" s="13">
        <f t="shared" si="16"/>
        <v>1.1160000000000001</v>
      </c>
      <c r="P17" s="13">
        <f t="shared" si="10"/>
        <v>0</v>
      </c>
      <c r="Q17" s="14">
        <f t="shared" si="17"/>
        <v>0</v>
      </c>
      <c r="W17" s="120"/>
      <c r="X17" s="120"/>
      <c r="Y17" s="120"/>
      <c r="Z17" s="120"/>
      <c r="AA17" s="120"/>
    </row>
    <row r="18" spans="1:27" x14ac:dyDescent="0.3">
      <c r="A18" s="250">
        <f>VLOOKUP($B18,Reporting!$AM:$BK,MATCH($A$5,Reporting!$AN$4:$BK$4,0)+1,FALSE)</f>
        <v>0</v>
      </c>
      <c r="B18" s="266" t="s">
        <v>395</v>
      </c>
      <c r="C18" s="97">
        <v>3.13</v>
      </c>
      <c r="D18" s="6">
        <v>0.61</v>
      </c>
      <c r="E18" s="7">
        <f t="shared" si="11"/>
        <v>1.9093</v>
      </c>
      <c r="F18" s="7">
        <f t="shared" si="7"/>
        <v>0</v>
      </c>
      <c r="G18" s="8">
        <f t="shared" si="12"/>
        <v>0</v>
      </c>
      <c r="H18" s="9">
        <f t="shared" si="8"/>
        <v>3.13</v>
      </c>
      <c r="I18" s="10">
        <v>0.61</v>
      </c>
      <c r="J18" s="10">
        <f t="shared" si="13"/>
        <v>1.9093</v>
      </c>
      <c r="K18" s="10">
        <f t="shared" si="9"/>
        <v>0</v>
      </c>
      <c r="L18" s="11">
        <f t="shared" si="14"/>
        <v>0</v>
      </c>
      <c r="M18" s="12">
        <f t="shared" si="15"/>
        <v>3.13</v>
      </c>
      <c r="N18" s="13">
        <v>0.45</v>
      </c>
      <c r="O18" s="13">
        <f t="shared" si="16"/>
        <v>1.4085000000000001</v>
      </c>
      <c r="P18" s="13">
        <f t="shared" si="10"/>
        <v>0</v>
      </c>
      <c r="Q18" s="14">
        <f t="shared" si="17"/>
        <v>0</v>
      </c>
      <c r="W18" s="120"/>
      <c r="X18" s="120"/>
      <c r="Y18" s="120"/>
      <c r="Z18" s="120"/>
      <c r="AA18" s="120"/>
    </row>
    <row r="19" spans="1:27" x14ac:dyDescent="0.3">
      <c r="A19" s="250">
        <f>VLOOKUP($B19,Reporting!$AM:$BK,MATCH($A$5,Reporting!$AN$4:$BK$4,0)+1,FALSE)</f>
        <v>0</v>
      </c>
      <c r="B19" s="266" t="s">
        <v>396</v>
      </c>
      <c r="C19" s="97">
        <v>3.96</v>
      </c>
      <c r="D19" s="6">
        <v>0.61</v>
      </c>
      <c r="E19" s="7">
        <f t="shared" si="11"/>
        <v>2.4156</v>
      </c>
      <c r="F19" s="7">
        <f t="shared" si="7"/>
        <v>0</v>
      </c>
      <c r="G19" s="8">
        <f t="shared" si="12"/>
        <v>0</v>
      </c>
      <c r="H19" s="9">
        <f t="shared" si="8"/>
        <v>3.96</v>
      </c>
      <c r="I19" s="10">
        <v>0.61</v>
      </c>
      <c r="J19" s="10">
        <f t="shared" si="13"/>
        <v>2.4156</v>
      </c>
      <c r="K19" s="10">
        <f t="shared" si="9"/>
        <v>0</v>
      </c>
      <c r="L19" s="11">
        <f t="shared" si="14"/>
        <v>0</v>
      </c>
      <c r="M19" s="12">
        <f t="shared" si="15"/>
        <v>3.96</v>
      </c>
      <c r="N19" s="13">
        <v>0.45</v>
      </c>
      <c r="O19" s="13">
        <f t="shared" si="16"/>
        <v>1.782</v>
      </c>
      <c r="P19" s="13">
        <f t="shared" si="10"/>
        <v>0</v>
      </c>
      <c r="Q19" s="14">
        <f t="shared" si="17"/>
        <v>0</v>
      </c>
      <c r="W19" s="120"/>
      <c r="X19" s="120"/>
      <c r="Y19" s="120"/>
      <c r="Z19" s="120"/>
      <c r="AA19" s="120"/>
    </row>
    <row r="20" spans="1:27" x14ac:dyDescent="0.3">
      <c r="A20" s="250">
        <f>VLOOKUP($B20,Reporting!$AM:$BK,MATCH($A$5,Reporting!$AN$4:$BK$4,0)+1,FALSE)</f>
        <v>0</v>
      </c>
      <c r="B20" s="266" t="s">
        <v>397</v>
      </c>
      <c r="C20" s="97">
        <v>4.8600000000000003</v>
      </c>
      <c r="D20" s="6">
        <v>0.61</v>
      </c>
      <c r="E20" s="7">
        <f t="shared" si="11"/>
        <v>2.9646000000000003</v>
      </c>
      <c r="F20" s="7">
        <f t="shared" si="7"/>
        <v>0</v>
      </c>
      <c r="G20" s="8">
        <f t="shared" si="12"/>
        <v>0</v>
      </c>
      <c r="H20" s="9">
        <f t="shared" si="8"/>
        <v>4.8600000000000003</v>
      </c>
      <c r="I20" s="10">
        <v>0.61</v>
      </c>
      <c r="J20" s="10">
        <f t="shared" si="13"/>
        <v>2.9646000000000003</v>
      </c>
      <c r="K20" s="10">
        <f t="shared" si="9"/>
        <v>0</v>
      </c>
      <c r="L20" s="11">
        <f t="shared" si="14"/>
        <v>0</v>
      </c>
      <c r="M20" s="12">
        <f t="shared" si="15"/>
        <v>4.8600000000000003</v>
      </c>
      <c r="N20" s="13">
        <v>0.45</v>
      </c>
      <c r="O20" s="13">
        <f t="shared" si="16"/>
        <v>2.1870000000000003</v>
      </c>
      <c r="P20" s="13">
        <f t="shared" si="10"/>
        <v>0</v>
      </c>
      <c r="Q20" s="14">
        <f t="shared" si="17"/>
        <v>0</v>
      </c>
      <c r="W20" s="120"/>
      <c r="X20" s="120"/>
      <c r="Y20" s="120"/>
      <c r="Z20" s="120"/>
      <c r="AA20" s="120"/>
    </row>
    <row r="21" spans="1:27" x14ac:dyDescent="0.3">
      <c r="A21" s="250">
        <f>VLOOKUP($B21,Reporting!$AM:$BK,MATCH($A$5,Reporting!$AN$4:$BK$4,0)+1,FALSE)</f>
        <v>0</v>
      </c>
      <c r="B21" s="266" t="s">
        <v>398</v>
      </c>
      <c r="C21" s="97">
        <v>5.67</v>
      </c>
      <c r="D21" s="6">
        <v>0.61</v>
      </c>
      <c r="E21" s="7">
        <f t="shared" si="11"/>
        <v>3.4586999999999999</v>
      </c>
      <c r="F21" s="7">
        <f t="shared" si="7"/>
        <v>0</v>
      </c>
      <c r="G21" s="8">
        <f t="shared" si="12"/>
        <v>0</v>
      </c>
      <c r="H21" s="9">
        <f t="shared" si="8"/>
        <v>5.67</v>
      </c>
      <c r="I21" s="10">
        <v>0.61</v>
      </c>
      <c r="J21" s="10">
        <f t="shared" si="13"/>
        <v>3.4586999999999999</v>
      </c>
      <c r="K21" s="10">
        <f t="shared" si="9"/>
        <v>0</v>
      </c>
      <c r="L21" s="11">
        <f t="shared" si="14"/>
        <v>0</v>
      </c>
      <c r="M21" s="12">
        <f t="shared" si="15"/>
        <v>5.67</v>
      </c>
      <c r="N21" s="13">
        <v>0.45</v>
      </c>
      <c r="O21" s="13">
        <f t="shared" si="16"/>
        <v>2.5514999999999999</v>
      </c>
      <c r="P21" s="13">
        <f t="shared" si="10"/>
        <v>0</v>
      </c>
      <c r="Q21" s="14">
        <f t="shared" si="17"/>
        <v>0</v>
      </c>
      <c r="W21" s="120"/>
      <c r="X21" s="120"/>
      <c r="Y21" s="120"/>
      <c r="Z21" s="120"/>
      <c r="AA21" s="120"/>
    </row>
    <row r="22" spans="1:27" x14ac:dyDescent="0.3">
      <c r="A22" s="250">
        <f>VLOOKUP($B22,Reporting!$AM:$BK,MATCH($A$5,Reporting!$AN$4:$BK$4,0)+1,FALSE)</f>
        <v>0</v>
      </c>
      <c r="B22" s="266" t="s">
        <v>399</v>
      </c>
      <c r="C22" s="97">
        <v>6.48</v>
      </c>
      <c r="D22" s="6">
        <v>0.61</v>
      </c>
      <c r="E22" s="7">
        <f t="shared" si="11"/>
        <v>3.9528000000000003</v>
      </c>
      <c r="F22" s="7">
        <f t="shared" si="7"/>
        <v>0</v>
      </c>
      <c r="G22" s="8">
        <f t="shared" si="12"/>
        <v>0</v>
      </c>
      <c r="H22" s="9">
        <f t="shared" si="8"/>
        <v>6.48</v>
      </c>
      <c r="I22" s="10">
        <v>0.61</v>
      </c>
      <c r="J22" s="10">
        <f t="shared" si="13"/>
        <v>3.9528000000000003</v>
      </c>
      <c r="K22" s="10">
        <f t="shared" si="9"/>
        <v>0</v>
      </c>
      <c r="L22" s="11">
        <f t="shared" si="14"/>
        <v>0</v>
      </c>
      <c r="M22" s="12">
        <f t="shared" si="15"/>
        <v>6.48</v>
      </c>
      <c r="N22" s="13">
        <v>0.45</v>
      </c>
      <c r="O22" s="13">
        <f t="shared" si="16"/>
        <v>2.9160000000000004</v>
      </c>
      <c r="P22" s="13">
        <f t="shared" si="10"/>
        <v>0</v>
      </c>
      <c r="Q22" s="14">
        <f t="shared" si="17"/>
        <v>0</v>
      </c>
      <c r="W22" s="120"/>
      <c r="X22" s="120"/>
      <c r="Y22" s="120"/>
      <c r="Z22" s="120"/>
      <c r="AA22" s="120"/>
    </row>
    <row r="23" spans="1:27" x14ac:dyDescent="0.3">
      <c r="A23" s="250">
        <f>VLOOKUP($B23,Reporting!$AM:$BK,MATCH($A$5,Reporting!$AN$4:$BK$4,0)+1,FALSE)</f>
        <v>0</v>
      </c>
      <c r="B23" s="266" t="s">
        <v>400</v>
      </c>
      <c r="C23" s="97">
        <v>7.29</v>
      </c>
      <c r="D23" s="6">
        <v>0.61</v>
      </c>
      <c r="E23" s="7">
        <f t="shared" si="11"/>
        <v>4.4469000000000003</v>
      </c>
      <c r="F23" s="7">
        <f t="shared" si="7"/>
        <v>0</v>
      </c>
      <c r="G23" s="8">
        <f t="shared" si="12"/>
        <v>0</v>
      </c>
      <c r="H23" s="9">
        <f t="shared" si="8"/>
        <v>7.29</v>
      </c>
      <c r="I23" s="10">
        <v>0.61</v>
      </c>
      <c r="J23" s="10">
        <f t="shared" si="13"/>
        <v>4.4469000000000003</v>
      </c>
      <c r="K23" s="10">
        <f t="shared" si="9"/>
        <v>0</v>
      </c>
      <c r="L23" s="11">
        <f t="shared" si="14"/>
        <v>0</v>
      </c>
      <c r="M23" s="12">
        <f t="shared" si="15"/>
        <v>7.29</v>
      </c>
      <c r="N23" s="13">
        <v>0.45</v>
      </c>
      <c r="O23" s="13">
        <f t="shared" si="16"/>
        <v>3.2805</v>
      </c>
      <c r="P23" s="13">
        <f t="shared" si="10"/>
        <v>0</v>
      </c>
      <c r="Q23" s="14">
        <f t="shared" si="17"/>
        <v>0</v>
      </c>
    </row>
    <row r="24" spans="1:27" x14ac:dyDescent="0.3">
      <c r="A24" s="250">
        <f>VLOOKUP($B24,Reporting!$AM:$BK,MATCH($A$5,Reporting!$AN$4:$BK$4,0)+1,FALSE)</f>
        <v>0</v>
      </c>
      <c r="B24" s="266" t="s">
        <v>401</v>
      </c>
      <c r="C24" s="97">
        <v>8.1</v>
      </c>
      <c r="D24" s="6">
        <v>0.61</v>
      </c>
      <c r="E24" s="7">
        <f t="shared" si="11"/>
        <v>4.9409999999999998</v>
      </c>
      <c r="F24" s="7">
        <f t="shared" si="7"/>
        <v>0</v>
      </c>
      <c r="G24" s="8">
        <f t="shared" si="12"/>
        <v>0</v>
      </c>
      <c r="H24" s="9">
        <f t="shared" si="8"/>
        <v>8.1</v>
      </c>
      <c r="I24" s="10">
        <v>0.61</v>
      </c>
      <c r="J24" s="10">
        <f t="shared" si="13"/>
        <v>4.9409999999999998</v>
      </c>
      <c r="K24" s="10">
        <f t="shared" si="9"/>
        <v>0</v>
      </c>
      <c r="L24" s="11">
        <f t="shared" si="14"/>
        <v>0</v>
      </c>
      <c r="M24" s="12">
        <f t="shared" si="15"/>
        <v>8.1</v>
      </c>
      <c r="N24" s="13">
        <v>0.45</v>
      </c>
      <c r="O24" s="13">
        <f t="shared" si="16"/>
        <v>3.645</v>
      </c>
      <c r="P24" s="13">
        <f t="shared" si="10"/>
        <v>0</v>
      </c>
      <c r="Q24" s="14">
        <f t="shared" si="17"/>
        <v>0</v>
      </c>
    </row>
    <row r="25" spans="1:27" x14ac:dyDescent="0.3">
      <c r="A25" s="250">
        <f>VLOOKUP($B25,Reporting!$AM:$BK,MATCH($A$5,Reporting!$AN$4:$BK$4,0)+1,FALSE)</f>
        <v>0</v>
      </c>
      <c r="B25" s="266" t="s">
        <v>402</v>
      </c>
      <c r="C25" s="97">
        <v>9.7200000000000006</v>
      </c>
      <c r="D25" s="6">
        <v>0.61</v>
      </c>
      <c r="E25" s="7">
        <f t="shared" si="11"/>
        <v>5.9292000000000007</v>
      </c>
      <c r="F25" s="7">
        <f t="shared" si="7"/>
        <v>0</v>
      </c>
      <c r="G25" s="8">
        <f t="shared" si="12"/>
        <v>0</v>
      </c>
      <c r="H25" s="9">
        <f t="shared" si="8"/>
        <v>9.7200000000000006</v>
      </c>
      <c r="I25" s="10">
        <v>0.61</v>
      </c>
      <c r="J25" s="10">
        <f t="shared" si="13"/>
        <v>5.9292000000000007</v>
      </c>
      <c r="K25" s="10">
        <f t="shared" si="9"/>
        <v>0</v>
      </c>
      <c r="L25" s="11">
        <f t="shared" si="14"/>
        <v>0</v>
      </c>
      <c r="M25" s="12">
        <f t="shared" si="15"/>
        <v>9.7200000000000006</v>
      </c>
      <c r="N25" s="13">
        <v>0.45</v>
      </c>
      <c r="O25" s="13">
        <f t="shared" si="16"/>
        <v>4.3740000000000006</v>
      </c>
      <c r="P25" s="13">
        <f t="shared" si="10"/>
        <v>0</v>
      </c>
      <c r="Q25" s="14">
        <f t="shared" si="17"/>
        <v>0</v>
      </c>
    </row>
    <row r="26" spans="1:27" x14ac:dyDescent="0.3">
      <c r="A26" s="250">
        <f>VLOOKUP($B26,Reporting!$AM:$BK,MATCH($A$5,Reporting!$AN$4:$BK$4,0)+1,FALSE)</f>
        <v>0</v>
      </c>
      <c r="B26" s="266" t="s">
        <v>403</v>
      </c>
      <c r="C26" s="97">
        <v>12.15</v>
      </c>
      <c r="D26" s="6">
        <v>0.61</v>
      </c>
      <c r="E26" s="7">
        <f t="shared" si="11"/>
        <v>7.4115000000000002</v>
      </c>
      <c r="F26" s="7">
        <f t="shared" si="7"/>
        <v>0</v>
      </c>
      <c r="G26" s="8">
        <f t="shared" si="12"/>
        <v>0</v>
      </c>
      <c r="H26" s="9">
        <f t="shared" si="8"/>
        <v>12.15</v>
      </c>
      <c r="I26" s="10">
        <v>0.61</v>
      </c>
      <c r="J26" s="10">
        <f t="shared" si="13"/>
        <v>7.4115000000000002</v>
      </c>
      <c r="K26" s="10">
        <f t="shared" si="9"/>
        <v>0</v>
      </c>
      <c r="L26" s="11">
        <f t="shared" si="14"/>
        <v>0</v>
      </c>
      <c r="M26" s="12">
        <f t="shared" si="15"/>
        <v>12.15</v>
      </c>
      <c r="N26" s="13">
        <v>0.45</v>
      </c>
      <c r="O26" s="13">
        <f t="shared" si="16"/>
        <v>5.4675000000000002</v>
      </c>
      <c r="P26" s="13">
        <f t="shared" si="10"/>
        <v>0</v>
      </c>
      <c r="Q26" s="14">
        <f t="shared" si="17"/>
        <v>0</v>
      </c>
    </row>
    <row r="27" spans="1:27" ht="15" thickBot="1" x14ac:dyDescent="0.35">
      <c r="A27" s="3">
        <f>SUM(A7:A26)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7" ht="15" thickBot="1" x14ac:dyDescent="0.35"/>
    <row r="29" spans="1:27" ht="15" customHeight="1" x14ac:dyDescent="0.3">
      <c r="A29" s="689" t="s">
        <v>345</v>
      </c>
      <c r="B29" s="689"/>
      <c r="C29" s="689"/>
      <c r="D29" s="689"/>
      <c r="E29" s="698" t="s">
        <v>346</v>
      </c>
      <c r="F29" s="698"/>
      <c r="G29" s="698"/>
      <c r="H29" s="698"/>
      <c r="I29" s="698"/>
      <c r="J29" s="698"/>
      <c r="K29" s="698"/>
      <c r="L29" s="698"/>
      <c r="M29" s="698"/>
      <c r="N29" s="698"/>
      <c r="O29" s="698"/>
      <c r="P29" s="698"/>
      <c r="Q29" s="724"/>
    </row>
    <row r="30" spans="1:27" ht="15" customHeight="1" x14ac:dyDescent="0.3">
      <c r="A30" s="690"/>
      <c r="B30" s="690"/>
      <c r="C30" s="690"/>
      <c r="D30" s="690"/>
      <c r="E30" s="699"/>
      <c r="F30" s="699"/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725"/>
    </row>
    <row r="31" spans="1:27" ht="15" customHeight="1" x14ac:dyDescent="0.3">
      <c r="A31" s="250">
        <f>VLOOKUP($B31,Reporting!$AM:$BK,MATCH($A$29,Reporting!$AN$4:$BK$4,0)+1,FALSE)</f>
        <v>0</v>
      </c>
      <c r="B31" s="262" t="s">
        <v>371</v>
      </c>
      <c r="C31" s="114">
        <v>1.04</v>
      </c>
      <c r="D31" s="6">
        <v>0.61</v>
      </c>
      <c r="E31" s="7">
        <f t="shared" ref="E31:E36" si="18">C31*D31</f>
        <v>0.63439999999999996</v>
      </c>
      <c r="F31" s="7">
        <f>A31*E31</f>
        <v>0</v>
      </c>
      <c r="G31" s="8">
        <f t="shared" ref="G31:G36" si="19">F31/8</f>
        <v>0</v>
      </c>
      <c r="H31" s="9">
        <f>C31</f>
        <v>1.04</v>
      </c>
      <c r="I31" s="10">
        <v>0.61</v>
      </c>
      <c r="J31" s="10">
        <f t="shared" ref="J31:J36" si="20">H31*I31</f>
        <v>0.63439999999999996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1.04</v>
      </c>
      <c r="N31" s="13">
        <v>0.45</v>
      </c>
      <c r="O31" s="13">
        <f t="shared" ref="O31:O36" si="23">M31*N31</f>
        <v>0.46800000000000003</v>
      </c>
      <c r="P31" s="13">
        <f>A31*O31</f>
        <v>0</v>
      </c>
      <c r="Q31" s="14">
        <f t="shared" ref="Q31:Q36" si="24">P31/8</f>
        <v>0</v>
      </c>
      <c r="W31" s="120"/>
      <c r="X31" s="120"/>
      <c r="Y31" s="120"/>
      <c r="Z31" s="120"/>
      <c r="AA31" s="120"/>
    </row>
    <row r="32" spans="1:27" ht="15" customHeight="1" x14ac:dyDescent="0.3">
      <c r="A32" s="250">
        <f>VLOOKUP($B32,Reporting!$AM:$BK,MATCH($A$29,Reporting!$AN$4:$BK$4,0)+1,FALSE)</f>
        <v>0</v>
      </c>
      <c r="B32" s="262" t="s">
        <v>372</v>
      </c>
      <c r="C32" s="114">
        <v>1.52</v>
      </c>
      <c r="D32" s="6">
        <v>0.61</v>
      </c>
      <c r="E32" s="7">
        <f t="shared" si="18"/>
        <v>0.92720000000000002</v>
      </c>
      <c r="F32" s="7">
        <f t="shared" ref="F32:F46" si="25">A32*E32</f>
        <v>0</v>
      </c>
      <c r="G32" s="8">
        <f t="shared" si="19"/>
        <v>0</v>
      </c>
      <c r="H32" s="9">
        <f t="shared" ref="H32:H46" si="26">C32</f>
        <v>1.52</v>
      </c>
      <c r="I32" s="10">
        <v>0.61</v>
      </c>
      <c r="J32" s="10">
        <f t="shared" si="20"/>
        <v>0.92720000000000002</v>
      </c>
      <c r="K32" s="10">
        <f t="shared" ref="K32:K46" si="27">A32*J32</f>
        <v>0</v>
      </c>
      <c r="L32" s="11">
        <f t="shared" si="21"/>
        <v>0</v>
      </c>
      <c r="M32" s="12">
        <f t="shared" si="22"/>
        <v>1.52</v>
      </c>
      <c r="N32" s="13">
        <v>0.45</v>
      </c>
      <c r="O32" s="13">
        <f t="shared" si="23"/>
        <v>0.68400000000000005</v>
      </c>
      <c r="P32" s="13">
        <f t="shared" ref="P32:P46" si="28">A32*O32</f>
        <v>0</v>
      </c>
      <c r="Q32" s="14">
        <f t="shared" si="24"/>
        <v>0</v>
      </c>
      <c r="W32" s="120"/>
      <c r="X32" s="120"/>
      <c r="Y32" s="120"/>
      <c r="Z32" s="120"/>
      <c r="AA32" s="120"/>
    </row>
    <row r="33" spans="1:27" ht="15" customHeight="1" x14ac:dyDescent="0.3">
      <c r="A33" s="250">
        <f>VLOOKUP($B33,Reporting!$AM:$BK,MATCH($A$29,Reporting!$AN$4:$BK$4,0)+1,FALSE)</f>
        <v>0</v>
      </c>
      <c r="B33" s="262" t="s">
        <v>389</v>
      </c>
      <c r="C33" s="114">
        <v>2</v>
      </c>
      <c r="D33" s="6">
        <v>0.61</v>
      </c>
      <c r="E33" s="7">
        <f t="shared" si="18"/>
        <v>1.22</v>
      </c>
      <c r="F33" s="7">
        <f t="shared" si="25"/>
        <v>0</v>
      </c>
      <c r="G33" s="8">
        <f t="shared" si="19"/>
        <v>0</v>
      </c>
      <c r="H33" s="9">
        <f t="shared" si="26"/>
        <v>2</v>
      </c>
      <c r="I33" s="10">
        <v>0.61</v>
      </c>
      <c r="J33" s="10">
        <f t="shared" si="20"/>
        <v>1.22</v>
      </c>
      <c r="K33" s="10">
        <f t="shared" si="27"/>
        <v>0</v>
      </c>
      <c r="L33" s="11">
        <f t="shared" si="21"/>
        <v>0</v>
      </c>
      <c r="M33" s="12">
        <f t="shared" si="22"/>
        <v>2</v>
      </c>
      <c r="N33" s="13">
        <v>0.45</v>
      </c>
      <c r="O33" s="13">
        <f t="shared" si="23"/>
        <v>0.9</v>
      </c>
      <c r="P33" s="13">
        <f t="shared" si="28"/>
        <v>0</v>
      </c>
      <c r="Q33" s="14">
        <f t="shared" si="24"/>
        <v>0</v>
      </c>
      <c r="W33" s="120"/>
      <c r="X33" s="120"/>
      <c r="Y33" s="120"/>
      <c r="Z33" s="120"/>
      <c r="AA33" s="120"/>
    </row>
    <row r="34" spans="1:27" ht="15" customHeight="1" x14ac:dyDescent="0.3">
      <c r="A34" s="250">
        <f>VLOOKUP($B34,Reporting!$AM:$BK,MATCH($A$29,Reporting!$AN$4:$BK$4,0)+1,FALSE)</f>
        <v>0</v>
      </c>
      <c r="B34" s="262" t="s">
        <v>373</v>
      </c>
      <c r="C34" s="114">
        <v>2.4300000000000002</v>
      </c>
      <c r="D34" s="6">
        <v>0.61</v>
      </c>
      <c r="E34" s="7">
        <f t="shared" si="18"/>
        <v>1.4823000000000002</v>
      </c>
      <c r="F34" s="7">
        <f t="shared" si="25"/>
        <v>0</v>
      </c>
      <c r="G34" s="8">
        <f t="shared" si="19"/>
        <v>0</v>
      </c>
      <c r="H34" s="9">
        <f t="shared" si="26"/>
        <v>2.4300000000000002</v>
      </c>
      <c r="I34" s="10">
        <v>0.61</v>
      </c>
      <c r="J34" s="10">
        <f t="shared" si="20"/>
        <v>1.4823000000000002</v>
      </c>
      <c r="K34" s="10">
        <f t="shared" si="27"/>
        <v>0</v>
      </c>
      <c r="L34" s="11">
        <f t="shared" si="21"/>
        <v>0</v>
      </c>
      <c r="M34" s="12">
        <f t="shared" si="22"/>
        <v>2.4300000000000002</v>
      </c>
      <c r="N34" s="13">
        <v>0.45</v>
      </c>
      <c r="O34" s="13">
        <f t="shared" si="23"/>
        <v>1.0935000000000001</v>
      </c>
      <c r="P34" s="13">
        <f t="shared" si="28"/>
        <v>0</v>
      </c>
      <c r="Q34" s="14">
        <f t="shared" si="24"/>
        <v>0</v>
      </c>
      <c r="W34" s="120"/>
      <c r="X34" s="120"/>
      <c r="Y34" s="120"/>
      <c r="Z34" s="120"/>
      <c r="AA34" s="120"/>
    </row>
    <row r="35" spans="1:27" ht="15" customHeight="1" x14ac:dyDescent="0.3">
      <c r="A35" s="250">
        <f>VLOOKUP($B35,Reporting!$AM:$BK,MATCH($A$29,Reporting!$AN$4:$BK$4,0)+1,FALSE)</f>
        <v>0</v>
      </c>
      <c r="B35" s="262" t="s">
        <v>374</v>
      </c>
      <c r="C35" s="114">
        <v>2.87</v>
      </c>
      <c r="D35" s="6">
        <v>0.61</v>
      </c>
      <c r="E35" s="7">
        <f t="shared" si="18"/>
        <v>1.7506999999999999</v>
      </c>
      <c r="F35" s="7">
        <f t="shared" si="25"/>
        <v>0</v>
      </c>
      <c r="G35" s="8">
        <f t="shared" si="19"/>
        <v>0</v>
      </c>
      <c r="H35" s="9">
        <f t="shared" si="26"/>
        <v>2.87</v>
      </c>
      <c r="I35" s="10">
        <v>0.61</v>
      </c>
      <c r="J35" s="10">
        <f t="shared" si="20"/>
        <v>1.7506999999999999</v>
      </c>
      <c r="K35" s="10">
        <f t="shared" si="27"/>
        <v>0</v>
      </c>
      <c r="L35" s="11">
        <f t="shared" si="21"/>
        <v>0</v>
      </c>
      <c r="M35" s="12">
        <f t="shared" si="22"/>
        <v>2.87</v>
      </c>
      <c r="N35" s="13">
        <v>0.45</v>
      </c>
      <c r="O35" s="13">
        <f t="shared" si="23"/>
        <v>1.2915000000000001</v>
      </c>
      <c r="P35" s="13">
        <f t="shared" si="28"/>
        <v>0</v>
      </c>
      <c r="Q35" s="14">
        <f t="shared" si="24"/>
        <v>0</v>
      </c>
      <c r="W35" s="120"/>
      <c r="X35" s="120"/>
      <c r="Y35" s="120"/>
      <c r="Z35" s="120"/>
      <c r="AA35" s="120"/>
    </row>
    <row r="36" spans="1:27" ht="15.75" customHeight="1" x14ac:dyDescent="0.3">
      <c r="A36" s="250">
        <f>VLOOKUP($B36,Reporting!$AM:$BK,MATCH($A$29,Reporting!$AN$4:$BK$4,0)+1,FALSE)</f>
        <v>0</v>
      </c>
      <c r="B36" s="266" t="s">
        <v>390</v>
      </c>
      <c r="C36" s="97">
        <v>3.75</v>
      </c>
      <c r="D36" s="6">
        <v>0.61</v>
      </c>
      <c r="E36" s="7">
        <f t="shared" si="18"/>
        <v>2.2875000000000001</v>
      </c>
      <c r="F36" s="7">
        <f t="shared" si="25"/>
        <v>0</v>
      </c>
      <c r="G36" s="8">
        <f t="shared" si="19"/>
        <v>0</v>
      </c>
      <c r="H36" s="9">
        <f t="shared" si="26"/>
        <v>3.75</v>
      </c>
      <c r="I36" s="10">
        <v>0.61</v>
      </c>
      <c r="J36" s="10">
        <f t="shared" si="20"/>
        <v>2.2875000000000001</v>
      </c>
      <c r="K36" s="10">
        <f t="shared" si="27"/>
        <v>0</v>
      </c>
      <c r="L36" s="11">
        <f t="shared" si="21"/>
        <v>0</v>
      </c>
      <c r="M36" s="12">
        <f t="shared" si="22"/>
        <v>3.75</v>
      </c>
      <c r="N36" s="13">
        <v>0.45</v>
      </c>
      <c r="O36" s="13">
        <f t="shared" si="23"/>
        <v>1.6875</v>
      </c>
      <c r="P36" s="13">
        <f t="shared" si="28"/>
        <v>0</v>
      </c>
      <c r="Q36" s="14">
        <f t="shared" si="24"/>
        <v>0</v>
      </c>
      <c r="W36" s="120"/>
      <c r="X36" s="120"/>
      <c r="Y36" s="120"/>
      <c r="Z36" s="120"/>
      <c r="AA36" s="120"/>
    </row>
    <row r="37" spans="1:27" x14ac:dyDescent="0.3">
      <c r="A37" s="250">
        <f>VLOOKUP($B37,Reporting!$AM:$BK,MATCH($A$29,Reporting!$AN$4:$BK$4,0)+1,FALSE)</f>
        <v>0</v>
      </c>
      <c r="B37" s="266" t="s">
        <v>376</v>
      </c>
      <c r="C37" s="97">
        <v>5.52</v>
      </c>
      <c r="D37" s="6">
        <v>0.61</v>
      </c>
      <c r="E37" s="7">
        <f t="shared" ref="E37:E46" si="29">C37*D37</f>
        <v>3.3671999999999995</v>
      </c>
      <c r="F37" s="7">
        <f t="shared" si="25"/>
        <v>0</v>
      </c>
      <c r="G37" s="8">
        <f t="shared" ref="G37:G46" si="30">F37/8</f>
        <v>0</v>
      </c>
      <c r="H37" s="9">
        <f t="shared" si="26"/>
        <v>5.52</v>
      </c>
      <c r="I37" s="10">
        <v>0.61</v>
      </c>
      <c r="J37" s="10">
        <f t="shared" ref="J37:J46" si="31">H37*I37</f>
        <v>3.3671999999999995</v>
      </c>
      <c r="K37" s="10">
        <f t="shared" si="27"/>
        <v>0</v>
      </c>
      <c r="L37" s="11">
        <f t="shared" ref="L37:L46" si="32">K37/8</f>
        <v>0</v>
      </c>
      <c r="M37" s="12">
        <f t="shared" ref="M37:M46" si="33">H37</f>
        <v>5.52</v>
      </c>
      <c r="N37" s="13">
        <v>0.45</v>
      </c>
      <c r="O37" s="13">
        <f t="shared" ref="O37:O46" si="34">M37*N37</f>
        <v>2.484</v>
      </c>
      <c r="P37" s="13">
        <f t="shared" si="28"/>
        <v>0</v>
      </c>
      <c r="Q37" s="14">
        <f t="shared" ref="Q37:Q46" si="35">P37/8</f>
        <v>0</v>
      </c>
      <c r="S37" s="598" t="s">
        <v>345</v>
      </c>
      <c r="T37" s="598"/>
      <c r="U37" s="598"/>
      <c r="W37" s="681" t="s">
        <v>345</v>
      </c>
      <c r="X37" s="681"/>
      <c r="Y37" s="681"/>
      <c r="Z37" s="120"/>
      <c r="AA37" s="120"/>
    </row>
    <row r="38" spans="1:27" x14ac:dyDescent="0.3">
      <c r="A38" s="250">
        <f>VLOOKUP($B38,Reporting!$AM:$BK,MATCH($A$29,Reporting!$AN$4:$BK$4,0)+1,FALSE)</f>
        <v>0</v>
      </c>
      <c r="B38" s="266" t="s">
        <v>391</v>
      </c>
      <c r="C38" s="97">
        <v>5.81</v>
      </c>
      <c r="D38" s="6">
        <v>0.61</v>
      </c>
      <c r="E38" s="7">
        <f t="shared" si="29"/>
        <v>3.5440999999999998</v>
      </c>
      <c r="F38" s="7">
        <f t="shared" si="25"/>
        <v>0</v>
      </c>
      <c r="G38" s="8">
        <f t="shared" si="30"/>
        <v>0</v>
      </c>
      <c r="H38" s="9">
        <f t="shared" si="26"/>
        <v>5.81</v>
      </c>
      <c r="I38" s="10">
        <v>0.61</v>
      </c>
      <c r="J38" s="10">
        <f t="shared" si="31"/>
        <v>3.5440999999999998</v>
      </c>
      <c r="K38" s="10">
        <f t="shared" si="27"/>
        <v>0</v>
      </c>
      <c r="L38" s="11">
        <f t="shared" si="32"/>
        <v>0</v>
      </c>
      <c r="M38" s="12">
        <f t="shared" si="33"/>
        <v>5.81</v>
      </c>
      <c r="N38" s="13">
        <v>0.45</v>
      </c>
      <c r="O38" s="13">
        <f t="shared" si="34"/>
        <v>2.6145</v>
      </c>
      <c r="P38" s="13">
        <f t="shared" si="28"/>
        <v>0</v>
      </c>
      <c r="Q38" s="14">
        <f t="shared" si="35"/>
        <v>0</v>
      </c>
      <c r="S38" s="664">
        <f>Q47</f>
        <v>0</v>
      </c>
      <c r="T38" s="665"/>
      <c r="U38" s="665"/>
      <c r="W38" s="682">
        <f>L47</f>
        <v>0</v>
      </c>
      <c r="X38" s="683"/>
      <c r="Y38" s="683"/>
      <c r="Z38" s="120"/>
      <c r="AA38" s="120"/>
    </row>
    <row r="39" spans="1:27" x14ac:dyDescent="0.3">
      <c r="A39" s="250">
        <f>VLOOKUP($B39,Reporting!$AM:$BK,MATCH($A$29,Reporting!$AN$4:$BK$4,0)+1,FALSE)</f>
        <v>0</v>
      </c>
      <c r="B39" s="266" t="s">
        <v>392</v>
      </c>
      <c r="C39" s="97">
        <v>7.11</v>
      </c>
      <c r="D39" s="6">
        <v>0.61</v>
      </c>
      <c r="E39" s="7">
        <f t="shared" si="29"/>
        <v>4.3371000000000004</v>
      </c>
      <c r="F39" s="7">
        <f t="shared" si="25"/>
        <v>0</v>
      </c>
      <c r="G39" s="8">
        <f t="shared" si="30"/>
        <v>0</v>
      </c>
      <c r="H39" s="9">
        <f t="shared" si="26"/>
        <v>7.11</v>
      </c>
      <c r="I39" s="10">
        <v>0.61</v>
      </c>
      <c r="J39" s="10">
        <f t="shared" si="31"/>
        <v>4.3371000000000004</v>
      </c>
      <c r="K39" s="10">
        <f t="shared" si="27"/>
        <v>0</v>
      </c>
      <c r="L39" s="11">
        <f t="shared" si="32"/>
        <v>0</v>
      </c>
      <c r="M39" s="12">
        <f t="shared" si="33"/>
        <v>7.11</v>
      </c>
      <c r="N39" s="13">
        <v>0.45</v>
      </c>
      <c r="O39" s="13">
        <f t="shared" si="34"/>
        <v>3.1995</v>
      </c>
      <c r="P39" s="13">
        <f t="shared" si="28"/>
        <v>0</v>
      </c>
      <c r="Q39" s="14">
        <f t="shared" si="35"/>
        <v>0</v>
      </c>
      <c r="S39" s="665"/>
      <c r="T39" s="665"/>
      <c r="U39" s="665"/>
      <c r="W39" s="683"/>
      <c r="X39" s="683"/>
      <c r="Y39" s="683"/>
      <c r="Z39" s="120"/>
      <c r="AA39" s="120"/>
    </row>
    <row r="40" spans="1:27" x14ac:dyDescent="0.3">
      <c r="A40" s="250">
        <f>VLOOKUP($B40,Reporting!$AM:$BK,MATCH($A$29,Reporting!$AN$4:$BK$4,0)+1,FALSE)</f>
        <v>0</v>
      </c>
      <c r="B40" s="266" t="s">
        <v>393</v>
      </c>
      <c r="C40" s="97">
        <v>8.31</v>
      </c>
      <c r="D40" s="6">
        <v>0.61</v>
      </c>
      <c r="E40" s="7">
        <f t="shared" si="29"/>
        <v>5.0691000000000006</v>
      </c>
      <c r="F40" s="7">
        <f t="shared" si="25"/>
        <v>0</v>
      </c>
      <c r="G40" s="8">
        <f t="shared" si="30"/>
        <v>0</v>
      </c>
      <c r="H40" s="9">
        <f t="shared" si="26"/>
        <v>8.31</v>
      </c>
      <c r="I40" s="10">
        <v>0.61</v>
      </c>
      <c r="J40" s="10">
        <f t="shared" si="31"/>
        <v>5.0691000000000006</v>
      </c>
      <c r="K40" s="10">
        <f t="shared" si="27"/>
        <v>0</v>
      </c>
      <c r="L40" s="11">
        <f t="shared" si="32"/>
        <v>0</v>
      </c>
      <c r="M40" s="12">
        <f t="shared" si="33"/>
        <v>8.31</v>
      </c>
      <c r="N40" s="13">
        <v>0.45</v>
      </c>
      <c r="O40" s="13">
        <f t="shared" si="34"/>
        <v>3.7395000000000005</v>
      </c>
      <c r="P40" s="13">
        <f t="shared" si="28"/>
        <v>0</v>
      </c>
      <c r="Q40" s="14">
        <f t="shared" si="35"/>
        <v>0</v>
      </c>
      <c r="S40" s="665"/>
      <c r="T40" s="665"/>
      <c r="U40" s="665"/>
      <c r="W40" s="683"/>
      <c r="X40" s="683"/>
      <c r="Y40" s="683"/>
      <c r="Z40" s="120"/>
      <c r="AA40" s="120"/>
    </row>
    <row r="41" spans="1:27" x14ac:dyDescent="0.3">
      <c r="A41" s="250">
        <f>VLOOKUP($B41,Reporting!$AM:$BK,MATCH($A$29,Reporting!$AN$4:$BK$4,0)+1,FALSE)</f>
        <v>0</v>
      </c>
      <c r="B41" s="266" t="s">
        <v>394</v>
      </c>
      <c r="C41" s="97">
        <v>9.08</v>
      </c>
      <c r="D41" s="6">
        <v>0.61</v>
      </c>
      <c r="E41" s="7">
        <f t="shared" si="29"/>
        <v>5.5388000000000002</v>
      </c>
      <c r="F41" s="7">
        <f t="shared" si="25"/>
        <v>0</v>
      </c>
      <c r="G41" s="8">
        <f t="shared" si="30"/>
        <v>0</v>
      </c>
      <c r="H41" s="9">
        <f t="shared" si="26"/>
        <v>9.08</v>
      </c>
      <c r="I41" s="10">
        <v>0.61</v>
      </c>
      <c r="J41" s="10">
        <f t="shared" si="31"/>
        <v>5.5388000000000002</v>
      </c>
      <c r="K41" s="10">
        <f t="shared" si="27"/>
        <v>0</v>
      </c>
      <c r="L41" s="11">
        <f t="shared" si="32"/>
        <v>0</v>
      </c>
      <c r="M41" s="12">
        <f t="shared" si="33"/>
        <v>9.08</v>
      </c>
      <c r="N41" s="13">
        <v>0.45</v>
      </c>
      <c r="O41" s="13">
        <f t="shared" si="34"/>
        <v>4.0860000000000003</v>
      </c>
      <c r="P41" s="13">
        <f t="shared" si="28"/>
        <v>0</v>
      </c>
      <c r="Q41" s="14">
        <f t="shared" si="35"/>
        <v>0</v>
      </c>
      <c r="W41" s="120"/>
      <c r="X41" s="120"/>
      <c r="Y41" s="120"/>
      <c r="Z41" s="120"/>
      <c r="AA41" s="120"/>
    </row>
    <row r="42" spans="1:27" x14ac:dyDescent="0.3">
      <c r="A42" s="250">
        <f>VLOOKUP($B42,Reporting!$AM:$BK,MATCH($A$29,Reporting!$AN$4:$BK$4,0)+1,FALSE)</f>
        <v>0</v>
      </c>
      <c r="B42" s="266" t="s">
        <v>395</v>
      </c>
      <c r="C42" s="97">
        <v>11.43</v>
      </c>
      <c r="D42" s="6">
        <v>0.61</v>
      </c>
      <c r="E42" s="7">
        <f t="shared" si="29"/>
        <v>6.9722999999999997</v>
      </c>
      <c r="F42" s="7">
        <f t="shared" si="25"/>
        <v>0</v>
      </c>
      <c r="G42" s="8">
        <f t="shared" si="30"/>
        <v>0</v>
      </c>
      <c r="H42" s="9">
        <f t="shared" si="26"/>
        <v>11.43</v>
      </c>
      <c r="I42" s="10">
        <v>0.61</v>
      </c>
      <c r="J42" s="10">
        <f t="shared" si="31"/>
        <v>6.9722999999999997</v>
      </c>
      <c r="K42" s="10">
        <f t="shared" si="27"/>
        <v>0</v>
      </c>
      <c r="L42" s="11">
        <f t="shared" si="32"/>
        <v>0</v>
      </c>
      <c r="M42" s="12">
        <f t="shared" si="33"/>
        <v>11.43</v>
      </c>
      <c r="N42" s="13">
        <v>0.45</v>
      </c>
      <c r="O42" s="13">
        <f t="shared" si="34"/>
        <v>5.1435000000000004</v>
      </c>
      <c r="P42" s="13">
        <f t="shared" si="28"/>
        <v>0</v>
      </c>
      <c r="Q42" s="14">
        <f t="shared" si="35"/>
        <v>0</v>
      </c>
      <c r="W42" s="120"/>
      <c r="X42" s="120"/>
      <c r="Y42" s="120"/>
      <c r="Z42" s="120"/>
      <c r="AA42" s="120"/>
    </row>
    <row r="43" spans="1:27" x14ac:dyDescent="0.3">
      <c r="A43" s="250">
        <f>VLOOKUP($B43,Reporting!$AM:$BK,MATCH($A$29,Reporting!$AN$4:$BK$4,0)+1,FALSE)</f>
        <v>0</v>
      </c>
      <c r="B43" s="266" t="s">
        <v>396</v>
      </c>
      <c r="C43" s="97">
        <v>13.5</v>
      </c>
      <c r="D43" s="6">
        <v>0.61</v>
      </c>
      <c r="E43" s="7">
        <f t="shared" si="29"/>
        <v>8.2349999999999994</v>
      </c>
      <c r="F43" s="7">
        <f t="shared" si="25"/>
        <v>0</v>
      </c>
      <c r="G43" s="8">
        <f t="shared" si="30"/>
        <v>0</v>
      </c>
      <c r="H43" s="9">
        <f t="shared" si="26"/>
        <v>13.5</v>
      </c>
      <c r="I43" s="10">
        <v>0.61</v>
      </c>
      <c r="J43" s="10">
        <f t="shared" si="31"/>
        <v>8.2349999999999994</v>
      </c>
      <c r="K43" s="10">
        <f t="shared" si="27"/>
        <v>0</v>
      </c>
      <c r="L43" s="11">
        <f t="shared" si="32"/>
        <v>0</v>
      </c>
      <c r="M43" s="12">
        <f t="shared" si="33"/>
        <v>13.5</v>
      </c>
      <c r="N43" s="13">
        <v>0.45</v>
      </c>
      <c r="O43" s="13">
        <f t="shared" si="34"/>
        <v>6.0750000000000002</v>
      </c>
      <c r="P43" s="13">
        <f t="shared" si="28"/>
        <v>0</v>
      </c>
      <c r="Q43" s="14">
        <f t="shared" si="35"/>
        <v>0</v>
      </c>
      <c r="W43" s="120"/>
      <c r="X43" s="120"/>
      <c r="Y43" s="120"/>
      <c r="Z43" s="120"/>
      <c r="AA43" s="120"/>
    </row>
    <row r="44" spans="1:27" x14ac:dyDescent="0.3">
      <c r="A44" s="250">
        <f>VLOOKUP($B44,Reporting!$AM:$BK,MATCH($A$29,Reporting!$AN$4:$BK$4,0)+1,FALSE)</f>
        <v>0</v>
      </c>
      <c r="B44" s="266" t="s">
        <v>397</v>
      </c>
      <c r="C44" s="97">
        <v>16.5</v>
      </c>
      <c r="D44" s="6">
        <v>0.61</v>
      </c>
      <c r="E44" s="7">
        <f t="shared" si="29"/>
        <v>10.065</v>
      </c>
      <c r="F44" s="7">
        <f t="shared" si="25"/>
        <v>0</v>
      </c>
      <c r="G44" s="8">
        <f t="shared" si="30"/>
        <v>0</v>
      </c>
      <c r="H44" s="9">
        <f t="shared" si="26"/>
        <v>16.5</v>
      </c>
      <c r="I44" s="10">
        <v>0.61</v>
      </c>
      <c r="J44" s="10">
        <f t="shared" si="31"/>
        <v>10.065</v>
      </c>
      <c r="K44" s="10">
        <f t="shared" si="27"/>
        <v>0</v>
      </c>
      <c r="L44" s="11">
        <f t="shared" si="32"/>
        <v>0</v>
      </c>
      <c r="M44" s="12">
        <f t="shared" si="33"/>
        <v>16.5</v>
      </c>
      <c r="N44" s="13">
        <v>0.45</v>
      </c>
      <c r="O44" s="13">
        <f t="shared" si="34"/>
        <v>7.4249999999999998</v>
      </c>
      <c r="P44" s="13">
        <f t="shared" si="28"/>
        <v>0</v>
      </c>
      <c r="Q44" s="14">
        <f t="shared" si="35"/>
        <v>0</v>
      </c>
      <c r="W44" s="120"/>
      <c r="X44" s="120"/>
      <c r="Y44" s="120"/>
      <c r="Z44" s="120"/>
      <c r="AA44" s="120"/>
    </row>
    <row r="45" spans="1:27" x14ac:dyDescent="0.3">
      <c r="A45" s="250">
        <f>VLOOKUP($B45,Reporting!$AM:$BK,MATCH($A$29,Reporting!$AN$4:$BK$4,0)+1,FALSE)</f>
        <v>0</v>
      </c>
      <c r="B45" s="266" t="s">
        <v>398</v>
      </c>
      <c r="C45" s="97">
        <v>18.399999999999999</v>
      </c>
      <c r="D45" s="6">
        <v>0.61</v>
      </c>
      <c r="E45" s="7">
        <f t="shared" si="29"/>
        <v>11.223999999999998</v>
      </c>
      <c r="F45" s="7">
        <f t="shared" si="25"/>
        <v>0</v>
      </c>
      <c r="G45" s="8">
        <f t="shared" si="30"/>
        <v>0</v>
      </c>
      <c r="H45" s="9">
        <f t="shared" si="26"/>
        <v>18.399999999999999</v>
      </c>
      <c r="I45" s="10">
        <v>0.61</v>
      </c>
      <c r="J45" s="10">
        <f t="shared" si="31"/>
        <v>11.223999999999998</v>
      </c>
      <c r="K45" s="10">
        <f t="shared" si="27"/>
        <v>0</v>
      </c>
      <c r="L45" s="11">
        <f t="shared" si="32"/>
        <v>0</v>
      </c>
      <c r="M45" s="12">
        <f t="shared" si="33"/>
        <v>18.399999999999999</v>
      </c>
      <c r="N45" s="13">
        <v>0.45</v>
      </c>
      <c r="O45" s="13">
        <f t="shared" si="34"/>
        <v>8.2799999999999994</v>
      </c>
      <c r="P45" s="13">
        <f t="shared" si="28"/>
        <v>0</v>
      </c>
      <c r="Q45" s="14">
        <f t="shared" si="35"/>
        <v>0</v>
      </c>
      <c r="W45" s="120"/>
      <c r="X45" s="120"/>
      <c r="Y45" s="120"/>
      <c r="Z45" s="120"/>
      <c r="AA45" s="120"/>
    </row>
    <row r="46" spans="1:27" x14ac:dyDescent="0.3">
      <c r="A46" s="250">
        <f>VLOOKUP($B46,Reporting!$AM:$BK,MATCH($A$29,Reporting!$AN$4:$BK$4,0)+1,FALSE)</f>
        <v>0</v>
      </c>
      <c r="B46" s="266" t="s">
        <v>399</v>
      </c>
      <c r="C46" s="97">
        <v>21.8</v>
      </c>
      <c r="D46" s="6">
        <v>0.61</v>
      </c>
      <c r="E46" s="7">
        <f t="shared" si="29"/>
        <v>13.298</v>
      </c>
      <c r="F46" s="7">
        <f t="shared" si="25"/>
        <v>0</v>
      </c>
      <c r="G46" s="8">
        <f t="shared" si="30"/>
        <v>0</v>
      </c>
      <c r="H46" s="9">
        <f t="shared" si="26"/>
        <v>21.8</v>
      </c>
      <c r="I46" s="10">
        <v>0.61</v>
      </c>
      <c r="J46" s="10">
        <f t="shared" si="31"/>
        <v>13.298</v>
      </c>
      <c r="K46" s="10">
        <f t="shared" si="27"/>
        <v>0</v>
      </c>
      <c r="L46" s="11">
        <f t="shared" si="32"/>
        <v>0</v>
      </c>
      <c r="M46" s="12">
        <f t="shared" si="33"/>
        <v>21.8</v>
      </c>
      <c r="N46" s="13">
        <v>0.45</v>
      </c>
      <c r="O46" s="13">
        <f t="shared" si="34"/>
        <v>9.81</v>
      </c>
      <c r="P46" s="13">
        <f t="shared" si="28"/>
        <v>0</v>
      </c>
      <c r="Q46" s="14">
        <f t="shared" si="35"/>
        <v>0</v>
      </c>
      <c r="W46" s="120"/>
      <c r="X46" s="120"/>
      <c r="Y46" s="120"/>
      <c r="Z46" s="120"/>
      <c r="AA46" s="120"/>
    </row>
    <row r="47" spans="1:27" ht="15" thickBot="1" x14ac:dyDescent="0.35">
      <c r="A47" s="3">
        <f>SUM(A31:A46)</f>
        <v>0</v>
      </c>
      <c r="B47" s="267"/>
      <c r="C47" s="4"/>
      <c r="D47" s="644" t="s">
        <v>9</v>
      </c>
      <c r="E47" s="645"/>
      <c r="F47" s="645"/>
      <c r="G47" s="16">
        <f>SUM(G31:G46)</f>
        <v>0</v>
      </c>
      <c r="H47" s="1"/>
      <c r="I47" s="646" t="s">
        <v>10</v>
      </c>
      <c r="J47" s="646"/>
      <c r="K47" s="646"/>
      <c r="L47" s="17">
        <f>SUM(L31:L46)</f>
        <v>0</v>
      </c>
      <c r="M47" s="15"/>
      <c r="N47" s="647" t="s">
        <v>11</v>
      </c>
      <c r="O47" s="647"/>
      <c r="P47" s="647"/>
      <c r="Q47" s="18">
        <f>SUM(Q31:Q46)</f>
        <v>0</v>
      </c>
    </row>
    <row r="48" spans="1:27" ht="15" thickBot="1" x14ac:dyDescent="0.35"/>
    <row r="49" spans="1:25" ht="15" customHeight="1" x14ac:dyDescent="0.3">
      <c r="A49" s="689" t="s">
        <v>172</v>
      </c>
      <c r="B49" s="689"/>
      <c r="C49" s="689"/>
      <c r="D49" s="689"/>
      <c r="E49" s="689"/>
      <c r="F49" s="689"/>
      <c r="G49" s="689"/>
      <c r="H49" s="689"/>
      <c r="I49" s="689"/>
      <c r="J49" s="689"/>
      <c r="K49" s="689"/>
      <c r="L49" s="689"/>
      <c r="M49" s="689"/>
      <c r="N49" s="730" t="s">
        <v>98</v>
      </c>
      <c r="O49" s="730"/>
      <c r="P49" s="730"/>
      <c r="Q49" s="731"/>
    </row>
    <row r="50" spans="1:25" ht="15" customHeight="1" x14ac:dyDescent="0.3">
      <c r="A50" s="690"/>
      <c r="B50" s="690"/>
      <c r="C50" s="690"/>
      <c r="D50" s="690"/>
      <c r="E50" s="690"/>
      <c r="F50" s="690"/>
      <c r="G50" s="690"/>
      <c r="H50" s="690"/>
      <c r="I50" s="690"/>
      <c r="J50" s="690"/>
      <c r="K50" s="690"/>
      <c r="L50" s="690"/>
      <c r="M50" s="690"/>
      <c r="N50" s="732"/>
      <c r="O50" s="732"/>
      <c r="P50" s="732"/>
      <c r="Q50" s="733"/>
    </row>
    <row r="51" spans="1:25" ht="15" customHeight="1" x14ac:dyDescent="0.3">
      <c r="A51" s="250">
        <f>VLOOKUP($B51,Reporting!$AM:$BK,MATCH(LEFT($A$49,FIND("(",$A$49)-2),Reporting!$AN$4:$BK$4,0)+1,FALSE)</f>
        <v>0</v>
      </c>
      <c r="B51" s="262" t="s">
        <v>371</v>
      </c>
      <c r="C51" s="96">
        <v>0.24</v>
      </c>
      <c r="D51" s="6">
        <v>0.61</v>
      </c>
      <c r="E51" s="7">
        <f t="shared" ref="E51:E56" si="36">C51*D51</f>
        <v>0.1464</v>
      </c>
      <c r="F51" s="7">
        <f>A51*E51</f>
        <v>0</v>
      </c>
      <c r="G51" s="8">
        <f t="shared" ref="G51:G56" si="37">F51/8</f>
        <v>0</v>
      </c>
      <c r="H51" s="9">
        <f>C51</f>
        <v>0.24</v>
      </c>
      <c r="I51" s="10">
        <v>0.61</v>
      </c>
      <c r="J51" s="10">
        <f t="shared" ref="J51:J56" si="38">H51*I51</f>
        <v>0.1464</v>
      </c>
      <c r="K51" s="10">
        <f>A51*J51</f>
        <v>0</v>
      </c>
      <c r="L51" s="11">
        <f t="shared" ref="L51:L56" si="39">K51/8</f>
        <v>0</v>
      </c>
      <c r="M51" s="12">
        <f t="shared" ref="M51:M56" si="40">H51</f>
        <v>0.24</v>
      </c>
      <c r="N51" s="13">
        <v>0.55000000000000004</v>
      </c>
      <c r="O51" s="13">
        <f t="shared" ref="O51:O56" si="41">M51*N51</f>
        <v>0.13200000000000001</v>
      </c>
      <c r="P51" s="13">
        <f>A51*O51</f>
        <v>0</v>
      </c>
      <c r="Q51" s="14">
        <f t="shared" ref="Q51:Q56" si="42">P51/8</f>
        <v>0</v>
      </c>
    </row>
    <row r="52" spans="1:25" ht="15" customHeight="1" x14ac:dyDescent="0.3">
      <c r="A52" s="250">
        <f>VLOOKUP($B52,Reporting!$AM:$BK,MATCH(LEFT($A$49,FIND("(",$A$49)-2),Reporting!$AN$4:$BK$4,0)+1,FALSE)</f>
        <v>0</v>
      </c>
      <c r="B52" s="262" t="s">
        <v>372</v>
      </c>
      <c r="C52" s="96">
        <v>0.36</v>
      </c>
      <c r="D52" s="6">
        <v>0.61</v>
      </c>
      <c r="E52" s="7">
        <f t="shared" si="36"/>
        <v>0.21959999999999999</v>
      </c>
      <c r="F52" s="7">
        <f t="shared" ref="F52:F70" si="43">A52*E52</f>
        <v>0</v>
      </c>
      <c r="G52" s="8">
        <f t="shared" si="37"/>
        <v>0</v>
      </c>
      <c r="H52" s="9">
        <f t="shared" ref="H52:H70" si="44">C52</f>
        <v>0.36</v>
      </c>
      <c r="I52" s="10">
        <v>0.61</v>
      </c>
      <c r="J52" s="10">
        <f t="shared" si="38"/>
        <v>0.21959999999999999</v>
      </c>
      <c r="K52" s="10">
        <f t="shared" ref="K52:K70" si="45">A52*J52</f>
        <v>0</v>
      </c>
      <c r="L52" s="11">
        <f t="shared" si="39"/>
        <v>0</v>
      </c>
      <c r="M52" s="12">
        <f t="shared" si="40"/>
        <v>0.36</v>
      </c>
      <c r="N52" s="13">
        <v>0.55000000000000004</v>
      </c>
      <c r="O52" s="13">
        <f t="shared" si="41"/>
        <v>0.19800000000000001</v>
      </c>
      <c r="P52" s="13">
        <f t="shared" ref="P52:P70" si="46">A52*O52</f>
        <v>0</v>
      </c>
      <c r="Q52" s="14">
        <f t="shared" si="42"/>
        <v>0</v>
      </c>
    </row>
    <row r="53" spans="1:25" ht="15" customHeight="1" x14ac:dyDescent="0.3">
      <c r="A53" s="250">
        <f>VLOOKUP($B53,Reporting!$AM:$BK,MATCH(LEFT($A$49,FIND("(",$A$49)-2),Reporting!$AN$4:$BK$4,0)+1,FALSE)</f>
        <v>0</v>
      </c>
      <c r="B53" s="262" t="s">
        <v>389</v>
      </c>
      <c r="C53" s="96">
        <v>0.36</v>
      </c>
      <c r="D53" s="6">
        <v>0.61</v>
      </c>
      <c r="E53" s="7">
        <f t="shared" si="36"/>
        <v>0.21959999999999999</v>
      </c>
      <c r="F53" s="7">
        <f t="shared" si="43"/>
        <v>0</v>
      </c>
      <c r="G53" s="8">
        <f t="shared" si="37"/>
        <v>0</v>
      </c>
      <c r="H53" s="9">
        <f t="shared" si="44"/>
        <v>0.36</v>
      </c>
      <c r="I53" s="10">
        <v>0.61</v>
      </c>
      <c r="J53" s="10">
        <f t="shared" si="38"/>
        <v>0.21959999999999999</v>
      </c>
      <c r="K53" s="10">
        <f t="shared" si="45"/>
        <v>0</v>
      </c>
      <c r="L53" s="11">
        <f t="shared" si="39"/>
        <v>0</v>
      </c>
      <c r="M53" s="12">
        <f t="shared" si="40"/>
        <v>0.36</v>
      </c>
      <c r="N53" s="13">
        <v>0.55000000000000004</v>
      </c>
      <c r="O53" s="13">
        <f t="shared" si="41"/>
        <v>0.19800000000000001</v>
      </c>
      <c r="P53" s="13">
        <f t="shared" si="46"/>
        <v>0</v>
      </c>
      <c r="Q53" s="14">
        <f t="shared" si="42"/>
        <v>0</v>
      </c>
    </row>
    <row r="54" spans="1:25" ht="15" customHeight="1" x14ac:dyDescent="0.3">
      <c r="A54" s="250">
        <f>VLOOKUP($B54,Reporting!$AM:$BK,MATCH(LEFT($A$49,FIND("(",$A$49)-2),Reporting!$AN$4:$BK$4,0)+1,FALSE)</f>
        <v>0</v>
      </c>
      <c r="B54" s="262" t="s">
        <v>373</v>
      </c>
      <c r="C54" s="96">
        <v>0.36</v>
      </c>
      <c r="D54" s="6">
        <v>0.61</v>
      </c>
      <c r="E54" s="7">
        <f t="shared" si="36"/>
        <v>0.21959999999999999</v>
      </c>
      <c r="F54" s="7">
        <f t="shared" si="43"/>
        <v>0</v>
      </c>
      <c r="G54" s="8">
        <f t="shared" si="37"/>
        <v>0</v>
      </c>
      <c r="H54" s="9">
        <f t="shared" si="44"/>
        <v>0.36</v>
      </c>
      <c r="I54" s="10">
        <v>0.61</v>
      </c>
      <c r="J54" s="10">
        <f t="shared" si="38"/>
        <v>0.21959999999999999</v>
      </c>
      <c r="K54" s="10">
        <f t="shared" si="45"/>
        <v>0</v>
      </c>
      <c r="L54" s="11">
        <f t="shared" si="39"/>
        <v>0</v>
      </c>
      <c r="M54" s="12">
        <f t="shared" si="40"/>
        <v>0.36</v>
      </c>
      <c r="N54" s="13">
        <v>0.55000000000000004</v>
      </c>
      <c r="O54" s="13">
        <f t="shared" si="41"/>
        <v>0.19800000000000001</v>
      </c>
      <c r="P54" s="13">
        <f t="shared" si="46"/>
        <v>0</v>
      </c>
      <c r="Q54" s="14">
        <f t="shared" si="42"/>
        <v>0</v>
      </c>
    </row>
    <row r="55" spans="1:25" ht="15" customHeight="1" x14ac:dyDescent="0.3">
      <c r="A55" s="250">
        <f>VLOOKUP($B55,Reporting!$AM:$BK,MATCH(LEFT($A$49,FIND("(",$A$49)-2),Reporting!$AN$4:$BK$4,0)+1,FALSE)</f>
        <v>0</v>
      </c>
      <c r="B55" s="262" t="s">
        <v>374</v>
      </c>
      <c r="C55" s="96">
        <v>0.36</v>
      </c>
      <c r="D55" s="6">
        <v>0.61</v>
      </c>
      <c r="E55" s="7">
        <f t="shared" si="36"/>
        <v>0.21959999999999999</v>
      </c>
      <c r="F55" s="7">
        <f t="shared" si="43"/>
        <v>0</v>
      </c>
      <c r="G55" s="8">
        <f t="shared" si="37"/>
        <v>0</v>
      </c>
      <c r="H55" s="9">
        <f t="shared" si="44"/>
        <v>0.36</v>
      </c>
      <c r="I55" s="10">
        <v>0.61</v>
      </c>
      <c r="J55" s="10">
        <f t="shared" si="38"/>
        <v>0.21959999999999999</v>
      </c>
      <c r="K55" s="10">
        <f t="shared" si="45"/>
        <v>0</v>
      </c>
      <c r="L55" s="11">
        <f t="shared" si="39"/>
        <v>0</v>
      </c>
      <c r="M55" s="12">
        <f t="shared" si="40"/>
        <v>0.36</v>
      </c>
      <c r="N55" s="13">
        <v>0.55000000000000004</v>
      </c>
      <c r="O55" s="13">
        <f t="shared" si="41"/>
        <v>0.19800000000000001</v>
      </c>
      <c r="P55" s="13">
        <f t="shared" si="46"/>
        <v>0</v>
      </c>
      <c r="Q55" s="14">
        <f t="shared" si="42"/>
        <v>0</v>
      </c>
    </row>
    <row r="56" spans="1:25" ht="15.75" customHeight="1" x14ac:dyDescent="0.3">
      <c r="A56" s="250">
        <f>VLOOKUP($B56,Reporting!$AM:$BK,MATCH(LEFT($A$49,FIND("(",$A$49)-2),Reporting!$AN$4:$BK$4,0)+1,FALSE)</f>
        <v>0</v>
      </c>
      <c r="B56" s="266" t="s">
        <v>390</v>
      </c>
      <c r="C56" s="97">
        <v>0.39</v>
      </c>
      <c r="D56" s="6">
        <v>0.61</v>
      </c>
      <c r="E56" s="7">
        <f t="shared" si="36"/>
        <v>0.2379</v>
      </c>
      <c r="F56" s="7">
        <f t="shared" si="43"/>
        <v>0</v>
      </c>
      <c r="G56" s="8">
        <f t="shared" si="37"/>
        <v>0</v>
      </c>
      <c r="H56" s="9">
        <f t="shared" si="44"/>
        <v>0.39</v>
      </c>
      <c r="I56" s="10">
        <v>0.61</v>
      </c>
      <c r="J56" s="10">
        <f t="shared" si="38"/>
        <v>0.2379</v>
      </c>
      <c r="K56" s="10">
        <f t="shared" si="45"/>
        <v>0</v>
      </c>
      <c r="L56" s="11">
        <f t="shared" si="39"/>
        <v>0</v>
      </c>
      <c r="M56" s="12">
        <f t="shared" si="40"/>
        <v>0.39</v>
      </c>
      <c r="N56" s="13">
        <v>0.55000000000000004</v>
      </c>
      <c r="O56" s="13">
        <f t="shared" si="41"/>
        <v>0.21450000000000002</v>
      </c>
      <c r="P56" s="13">
        <f t="shared" si="46"/>
        <v>0</v>
      </c>
      <c r="Q56" s="14">
        <f t="shared" si="42"/>
        <v>0</v>
      </c>
    </row>
    <row r="57" spans="1:25" x14ac:dyDescent="0.3">
      <c r="A57" s="250">
        <f>VLOOKUP($B57,Reporting!$AM:$BK,MATCH(LEFT($A$49,FIND("(",$A$49)-2),Reporting!$AN$4:$BK$4,0)+1,FALSE)</f>
        <v>0</v>
      </c>
      <c r="B57" s="266" t="s">
        <v>376</v>
      </c>
      <c r="C57" s="97">
        <v>0.39</v>
      </c>
      <c r="D57" s="6">
        <v>0.61</v>
      </c>
      <c r="E57" s="7">
        <f t="shared" ref="E57:E70" si="47">C57*D57</f>
        <v>0.2379</v>
      </c>
      <c r="F57" s="7">
        <f t="shared" si="43"/>
        <v>0</v>
      </c>
      <c r="G57" s="8">
        <f t="shared" ref="G57:G70" si="48">F57/8</f>
        <v>0</v>
      </c>
      <c r="H57" s="9">
        <f t="shared" si="44"/>
        <v>0.39</v>
      </c>
      <c r="I57" s="10">
        <v>0.61</v>
      </c>
      <c r="J57" s="10">
        <f t="shared" ref="J57:J70" si="49">H57*I57</f>
        <v>0.2379</v>
      </c>
      <c r="K57" s="10">
        <f t="shared" si="45"/>
        <v>0</v>
      </c>
      <c r="L57" s="11">
        <f t="shared" ref="L57:L70" si="50">K57/8</f>
        <v>0</v>
      </c>
      <c r="M57" s="12">
        <f t="shared" ref="M57:M70" si="51">H57</f>
        <v>0.39</v>
      </c>
      <c r="N57" s="13">
        <v>0.55000000000000004</v>
      </c>
      <c r="O57" s="13">
        <f t="shared" ref="O57:O70" si="52">M57*N57</f>
        <v>0.21450000000000002</v>
      </c>
      <c r="P57" s="13">
        <f t="shared" si="46"/>
        <v>0</v>
      </c>
      <c r="Q57" s="14">
        <f t="shared" ref="Q57:Q70" si="53">P57/8</f>
        <v>0</v>
      </c>
    </row>
    <row r="58" spans="1:25" x14ac:dyDescent="0.3">
      <c r="A58" s="250">
        <f>VLOOKUP($B58,Reporting!$AM:$BK,MATCH(LEFT($A$49,FIND("(",$A$49)-2),Reporting!$AN$4:$BK$4,0)+1,FALSE)</f>
        <v>0</v>
      </c>
      <c r="B58" s="266" t="s">
        <v>391</v>
      </c>
      <c r="C58" s="97">
        <v>0.38</v>
      </c>
      <c r="D58" s="6">
        <v>0.61</v>
      </c>
      <c r="E58" s="7">
        <f t="shared" si="47"/>
        <v>0.23180000000000001</v>
      </c>
      <c r="F58" s="7">
        <f t="shared" si="43"/>
        <v>0</v>
      </c>
      <c r="G58" s="8">
        <f t="shared" si="48"/>
        <v>0</v>
      </c>
      <c r="H58" s="9">
        <f t="shared" si="44"/>
        <v>0.38</v>
      </c>
      <c r="I58" s="10">
        <v>0.61</v>
      </c>
      <c r="J58" s="10">
        <f t="shared" si="49"/>
        <v>0.23180000000000001</v>
      </c>
      <c r="K58" s="10">
        <f t="shared" si="45"/>
        <v>0</v>
      </c>
      <c r="L58" s="11">
        <f t="shared" si="50"/>
        <v>0</v>
      </c>
      <c r="M58" s="12">
        <f t="shared" si="51"/>
        <v>0.38</v>
      </c>
      <c r="N58" s="13">
        <v>0.55000000000000004</v>
      </c>
      <c r="O58" s="13">
        <f t="shared" si="52"/>
        <v>0.20900000000000002</v>
      </c>
      <c r="P58" s="13">
        <f t="shared" si="46"/>
        <v>0</v>
      </c>
      <c r="Q58" s="14">
        <f t="shared" si="53"/>
        <v>0</v>
      </c>
    </row>
    <row r="59" spans="1:25" x14ac:dyDescent="0.3">
      <c r="A59" s="250">
        <f>VLOOKUP($B59,Reporting!$AM:$BK,MATCH(LEFT($A$49,FIND("(",$A$49)-2),Reporting!$AN$4:$BK$4,0)+1,FALSE)</f>
        <v>0</v>
      </c>
      <c r="B59" s="266" t="s">
        <v>392</v>
      </c>
      <c r="C59" s="97">
        <v>0.78</v>
      </c>
      <c r="D59" s="6">
        <v>0.61</v>
      </c>
      <c r="E59" s="7">
        <f t="shared" si="47"/>
        <v>0.4758</v>
      </c>
      <c r="F59" s="7">
        <f t="shared" si="43"/>
        <v>0</v>
      </c>
      <c r="G59" s="8">
        <f t="shared" si="48"/>
        <v>0</v>
      </c>
      <c r="H59" s="9">
        <f t="shared" si="44"/>
        <v>0.78</v>
      </c>
      <c r="I59" s="10">
        <v>0.61</v>
      </c>
      <c r="J59" s="10">
        <f t="shared" si="49"/>
        <v>0.4758</v>
      </c>
      <c r="K59" s="10">
        <f t="shared" si="45"/>
        <v>0</v>
      </c>
      <c r="L59" s="11">
        <f t="shared" si="50"/>
        <v>0</v>
      </c>
      <c r="M59" s="12">
        <f t="shared" si="51"/>
        <v>0.78</v>
      </c>
      <c r="N59" s="13">
        <v>0.55000000000000004</v>
      </c>
      <c r="O59" s="13">
        <f t="shared" si="52"/>
        <v>0.42900000000000005</v>
      </c>
      <c r="P59" s="13">
        <f t="shared" si="46"/>
        <v>0</v>
      </c>
      <c r="Q59" s="14">
        <f t="shared" si="53"/>
        <v>0</v>
      </c>
    </row>
    <row r="60" spans="1:25" ht="15" customHeight="1" x14ac:dyDescent="0.3">
      <c r="A60" s="250">
        <f>VLOOKUP($B60,Reporting!$AM:$BK,MATCH(LEFT($A$49,FIND("(",$A$49)-2),Reporting!$AN$4:$BK$4,0)+1,FALSE)</f>
        <v>0</v>
      </c>
      <c r="B60" s="266" t="s">
        <v>393</v>
      </c>
      <c r="C60" s="97">
        <v>0.9</v>
      </c>
      <c r="D60" s="6">
        <v>0.61</v>
      </c>
      <c r="E60" s="7">
        <f t="shared" si="47"/>
        <v>0.54900000000000004</v>
      </c>
      <c r="F60" s="7">
        <f t="shared" si="43"/>
        <v>0</v>
      </c>
      <c r="G60" s="8">
        <f t="shared" si="48"/>
        <v>0</v>
      </c>
      <c r="H60" s="9">
        <f t="shared" si="44"/>
        <v>0.9</v>
      </c>
      <c r="I60" s="10">
        <v>0.61</v>
      </c>
      <c r="J60" s="10">
        <f t="shared" si="49"/>
        <v>0.54900000000000004</v>
      </c>
      <c r="K60" s="10">
        <f t="shared" si="45"/>
        <v>0</v>
      </c>
      <c r="L60" s="11">
        <f t="shared" si="50"/>
        <v>0</v>
      </c>
      <c r="M60" s="12">
        <f t="shared" si="51"/>
        <v>0.9</v>
      </c>
      <c r="N60" s="13">
        <v>0.55000000000000004</v>
      </c>
      <c r="O60" s="13">
        <f t="shared" si="52"/>
        <v>0.49500000000000005</v>
      </c>
      <c r="P60" s="13">
        <f t="shared" si="46"/>
        <v>0</v>
      </c>
      <c r="Q60" s="14">
        <f t="shared" si="53"/>
        <v>0</v>
      </c>
    </row>
    <row r="61" spans="1:25" ht="15" customHeight="1" x14ac:dyDescent="0.3">
      <c r="A61" s="250">
        <f>VLOOKUP($B61,Reporting!$AM:$BK,MATCH(LEFT($A$49,FIND("(",$A$49)-2),Reporting!$AN$4:$BK$4,0)+1,FALSE)</f>
        <v>0</v>
      </c>
      <c r="B61" s="266" t="s">
        <v>394</v>
      </c>
      <c r="C61" s="97">
        <v>0.86</v>
      </c>
      <c r="D61" s="6">
        <v>0.61</v>
      </c>
      <c r="E61" s="7">
        <f t="shared" si="47"/>
        <v>0.52459999999999996</v>
      </c>
      <c r="F61" s="7">
        <f t="shared" si="43"/>
        <v>0</v>
      </c>
      <c r="G61" s="8">
        <f t="shared" si="48"/>
        <v>0</v>
      </c>
      <c r="H61" s="9">
        <f t="shared" si="44"/>
        <v>0.86</v>
      </c>
      <c r="I61" s="10">
        <v>0.61</v>
      </c>
      <c r="J61" s="10">
        <f t="shared" si="49"/>
        <v>0.52459999999999996</v>
      </c>
      <c r="K61" s="10">
        <f t="shared" si="45"/>
        <v>0</v>
      </c>
      <c r="L61" s="11">
        <f t="shared" si="50"/>
        <v>0</v>
      </c>
      <c r="M61" s="12">
        <f t="shared" si="51"/>
        <v>0.86</v>
      </c>
      <c r="N61" s="13">
        <v>0.55000000000000004</v>
      </c>
      <c r="O61" s="13">
        <f t="shared" si="52"/>
        <v>0.47300000000000003</v>
      </c>
      <c r="P61" s="13">
        <f t="shared" si="46"/>
        <v>0</v>
      </c>
      <c r="Q61" s="14">
        <f t="shared" si="53"/>
        <v>0</v>
      </c>
      <c r="S61" s="598" t="s">
        <v>347</v>
      </c>
      <c r="T61" s="598"/>
      <c r="U61" s="598"/>
      <c r="W61" s="681" t="s">
        <v>347</v>
      </c>
      <c r="X61" s="681"/>
      <c r="Y61" s="681"/>
    </row>
    <row r="62" spans="1:25" ht="15" customHeight="1" x14ac:dyDescent="0.3">
      <c r="A62" s="250">
        <f>VLOOKUP($B62,Reporting!$AM:$BK,MATCH(LEFT($A$49,FIND("(",$A$49)-2),Reporting!$AN$4:$BK$4,0)+1,FALSE)</f>
        <v>0</v>
      </c>
      <c r="B62" s="266" t="s">
        <v>395</v>
      </c>
      <c r="C62" s="97">
        <v>0.84</v>
      </c>
      <c r="D62" s="6">
        <v>0.61</v>
      </c>
      <c r="E62" s="7">
        <f t="shared" si="47"/>
        <v>0.51239999999999997</v>
      </c>
      <c r="F62" s="7">
        <f t="shared" si="43"/>
        <v>0</v>
      </c>
      <c r="G62" s="8">
        <f t="shared" si="48"/>
        <v>0</v>
      </c>
      <c r="H62" s="9">
        <f t="shared" si="44"/>
        <v>0.84</v>
      </c>
      <c r="I62" s="10">
        <v>0.61</v>
      </c>
      <c r="J62" s="10">
        <f t="shared" si="49"/>
        <v>0.51239999999999997</v>
      </c>
      <c r="K62" s="10">
        <f t="shared" si="45"/>
        <v>0</v>
      </c>
      <c r="L62" s="11">
        <f t="shared" si="50"/>
        <v>0</v>
      </c>
      <c r="M62" s="12">
        <f t="shared" si="51"/>
        <v>0.84</v>
      </c>
      <c r="N62" s="13">
        <v>0.55000000000000004</v>
      </c>
      <c r="O62" s="13">
        <f t="shared" si="52"/>
        <v>0.46200000000000002</v>
      </c>
      <c r="P62" s="13">
        <f t="shared" si="46"/>
        <v>0</v>
      </c>
      <c r="Q62" s="14">
        <f t="shared" si="53"/>
        <v>0</v>
      </c>
      <c r="S62" s="664">
        <f>Q27+Q71+Q86+Q119+Q99</f>
        <v>1.9250000000000003E-2</v>
      </c>
      <c r="T62" s="665"/>
      <c r="U62" s="665"/>
      <c r="W62" s="682">
        <f>L27+L71+L86+L119+L99</f>
        <v>2.1350000000000001E-2</v>
      </c>
      <c r="X62" s="683"/>
      <c r="Y62" s="683"/>
    </row>
    <row r="63" spans="1:25" x14ac:dyDescent="0.3">
      <c r="A63" s="250">
        <f>VLOOKUP($B63,Reporting!$AM:$BK,MATCH(LEFT($A$49,FIND("(",$A$49)-2),Reporting!$AN$4:$BK$4,0)+1,FALSE)</f>
        <v>0</v>
      </c>
      <c r="B63" s="266" t="s">
        <v>396</v>
      </c>
      <c r="C63" s="97">
        <v>1.35</v>
      </c>
      <c r="D63" s="6">
        <v>0.61</v>
      </c>
      <c r="E63" s="7">
        <f t="shared" si="47"/>
        <v>0.82350000000000001</v>
      </c>
      <c r="F63" s="7">
        <f t="shared" si="43"/>
        <v>0</v>
      </c>
      <c r="G63" s="8">
        <f t="shared" si="48"/>
        <v>0</v>
      </c>
      <c r="H63" s="9">
        <f t="shared" si="44"/>
        <v>1.35</v>
      </c>
      <c r="I63" s="10">
        <v>0.61</v>
      </c>
      <c r="J63" s="10">
        <f t="shared" si="49"/>
        <v>0.82350000000000001</v>
      </c>
      <c r="K63" s="10">
        <f t="shared" si="45"/>
        <v>0</v>
      </c>
      <c r="L63" s="11">
        <f t="shared" si="50"/>
        <v>0</v>
      </c>
      <c r="M63" s="12">
        <f t="shared" si="51"/>
        <v>1.35</v>
      </c>
      <c r="N63" s="13">
        <v>0.55000000000000004</v>
      </c>
      <c r="O63" s="13">
        <f t="shared" si="52"/>
        <v>0.74250000000000016</v>
      </c>
      <c r="P63" s="13">
        <f t="shared" si="46"/>
        <v>0</v>
      </c>
      <c r="Q63" s="14">
        <f t="shared" si="53"/>
        <v>0</v>
      </c>
      <c r="S63" s="665"/>
      <c r="T63" s="665"/>
      <c r="U63" s="665"/>
      <c r="W63" s="683"/>
      <c r="X63" s="683"/>
      <c r="Y63" s="683"/>
    </row>
    <row r="64" spans="1:25" x14ac:dyDescent="0.3">
      <c r="A64" s="250">
        <f>VLOOKUP($B64,Reporting!$AM:$BK,MATCH(LEFT($A$49,FIND("(",$A$49)-2),Reporting!$AN$4:$BK$4,0)+1,FALSE)</f>
        <v>0</v>
      </c>
      <c r="B64" s="266" t="s">
        <v>397</v>
      </c>
      <c r="C64" s="97">
        <v>1.35</v>
      </c>
      <c r="D64" s="6">
        <v>0.61</v>
      </c>
      <c r="E64" s="7">
        <f t="shared" si="47"/>
        <v>0.82350000000000001</v>
      </c>
      <c r="F64" s="7">
        <f t="shared" si="43"/>
        <v>0</v>
      </c>
      <c r="G64" s="8">
        <f t="shared" si="48"/>
        <v>0</v>
      </c>
      <c r="H64" s="9">
        <f t="shared" si="44"/>
        <v>1.35</v>
      </c>
      <c r="I64" s="10">
        <v>0.61</v>
      </c>
      <c r="J64" s="10">
        <f t="shared" si="49"/>
        <v>0.82350000000000001</v>
      </c>
      <c r="K64" s="10">
        <f t="shared" si="45"/>
        <v>0</v>
      </c>
      <c r="L64" s="11">
        <f t="shared" si="50"/>
        <v>0</v>
      </c>
      <c r="M64" s="12">
        <f t="shared" si="51"/>
        <v>1.35</v>
      </c>
      <c r="N64" s="13">
        <v>0.55000000000000004</v>
      </c>
      <c r="O64" s="13">
        <f t="shared" si="52"/>
        <v>0.74250000000000016</v>
      </c>
      <c r="P64" s="13">
        <f t="shared" si="46"/>
        <v>0</v>
      </c>
      <c r="Q64" s="14">
        <f t="shared" si="53"/>
        <v>0</v>
      </c>
      <c r="S64" s="665"/>
      <c r="T64" s="665"/>
      <c r="U64" s="665"/>
      <c r="W64" s="683"/>
      <c r="X64" s="683"/>
      <c r="Y64" s="683"/>
    </row>
    <row r="65" spans="1:17" x14ac:dyDescent="0.3">
      <c r="A65" s="250">
        <f>VLOOKUP($B65,Reporting!$AM:$BK,MATCH(LEFT($A$49,FIND("(",$A$49)-2),Reporting!$AN$4:$BK$4,0)+1,FALSE)</f>
        <v>0</v>
      </c>
      <c r="B65" s="266" t="s">
        <v>398</v>
      </c>
      <c r="C65" s="97">
        <v>1.79</v>
      </c>
      <c r="D65" s="6">
        <v>0.61</v>
      </c>
      <c r="E65" s="7">
        <f t="shared" si="47"/>
        <v>1.0919000000000001</v>
      </c>
      <c r="F65" s="7">
        <f t="shared" si="43"/>
        <v>0</v>
      </c>
      <c r="G65" s="8">
        <f t="shared" si="48"/>
        <v>0</v>
      </c>
      <c r="H65" s="9">
        <f t="shared" si="44"/>
        <v>1.79</v>
      </c>
      <c r="I65" s="10">
        <v>0.61</v>
      </c>
      <c r="J65" s="10">
        <f t="shared" si="49"/>
        <v>1.0919000000000001</v>
      </c>
      <c r="K65" s="10">
        <f t="shared" si="45"/>
        <v>0</v>
      </c>
      <c r="L65" s="11">
        <f t="shared" si="50"/>
        <v>0</v>
      </c>
      <c r="M65" s="12">
        <f t="shared" si="51"/>
        <v>1.79</v>
      </c>
      <c r="N65" s="13">
        <v>0.55000000000000004</v>
      </c>
      <c r="O65" s="13">
        <f t="shared" si="52"/>
        <v>0.98450000000000015</v>
      </c>
      <c r="P65" s="13">
        <f t="shared" si="46"/>
        <v>0</v>
      </c>
      <c r="Q65" s="14">
        <f t="shared" si="53"/>
        <v>0</v>
      </c>
    </row>
    <row r="66" spans="1:17" x14ac:dyDescent="0.3">
      <c r="A66" s="250">
        <f>VLOOKUP($B66,Reporting!$AM:$BK,MATCH(LEFT($A$49,FIND("(",$A$49)-2),Reporting!$AN$4:$BK$4,0)+1,FALSE)</f>
        <v>0</v>
      </c>
      <c r="B66" s="266" t="s">
        <v>399</v>
      </c>
      <c r="C66" s="97">
        <v>2.04</v>
      </c>
      <c r="D66" s="6">
        <v>0.61</v>
      </c>
      <c r="E66" s="7">
        <f t="shared" si="47"/>
        <v>1.2444</v>
      </c>
      <c r="F66" s="7">
        <f t="shared" si="43"/>
        <v>0</v>
      </c>
      <c r="G66" s="8">
        <f t="shared" si="48"/>
        <v>0</v>
      </c>
      <c r="H66" s="9">
        <f t="shared" si="44"/>
        <v>2.04</v>
      </c>
      <c r="I66" s="10">
        <v>0.61</v>
      </c>
      <c r="J66" s="10">
        <f t="shared" si="49"/>
        <v>1.2444</v>
      </c>
      <c r="K66" s="10">
        <f t="shared" si="45"/>
        <v>0</v>
      </c>
      <c r="L66" s="11">
        <f t="shared" si="50"/>
        <v>0</v>
      </c>
      <c r="M66" s="12">
        <f t="shared" si="51"/>
        <v>2.04</v>
      </c>
      <c r="N66" s="13">
        <v>0.55000000000000004</v>
      </c>
      <c r="O66" s="13">
        <f t="shared" si="52"/>
        <v>1.1220000000000001</v>
      </c>
      <c r="P66" s="13">
        <f t="shared" si="46"/>
        <v>0</v>
      </c>
      <c r="Q66" s="14">
        <f t="shared" si="53"/>
        <v>0</v>
      </c>
    </row>
    <row r="67" spans="1:17" x14ac:dyDescent="0.3">
      <c r="A67" s="250">
        <f>VLOOKUP($B67,Reporting!$AM:$BK,MATCH(LEFT($A$49,FIND("(",$A$49)-2),Reporting!$AN$4:$BK$4,0)+1,FALSE)</f>
        <v>0</v>
      </c>
      <c r="B67" s="266" t="s">
        <v>400</v>
      </c>
      <c r="C67" s="97">
        <v>2.2999999999999998</v>
      </c>
      <c r="D67" s="6">
        <v>0.61</v>
      </c>
      <c r="E67" s="7">
        <f t="shared" si="47"/>
        <v>1.4029999999999998</v>
      </c>
      <c r="F67" s="7">
        <f t="shared" si="43"/>
        <v>0</v>
      </c>
      <c r="G67" s="8">
        <f t="shared" si="48"/>
        <v>0</v>
      </c>
      <c r="H67" s="9">
        <f t="shared" si="44"/>
        <v>2.2999999999999998</v>
      </c>
      <c r="I67" s="10">
        <v>0.61</v>
      </c>
      <c r="J67" s="10">
        <f t="shared" si="49"/>
        <v>1.4029999999999998</v>
      </c>
      <c r="K67" s="10">
        <f t="shared" si="45"/>
        <v>0</v>
      </c>
      <c r="L67" s="11">
        <f t="shared" si="50"/>
        <v>0</v>
      </c>
      <c r="M67" s="12">
        <f t="shared" si="51"/>
        <v>2.2999999999999998</v>
      </c>
      <c r="N67" s="13">
        <v>0.55000000000000004</v>
      </c>
      <c r="O67" s="13">
        <f t="shared" si="52"/>
        <v>1.2649999999999999</v>
      </c>
      <c r="P67" s="13">
        <f t="shared" si="46"/>
        <v>0</v>
      </c>
      <c r="Q67" s="14">
        <f t="shared" si="53"/>
        <v>0</v>
      </c>
    </row>
    <row r="68" spans="1:17" x14ac:dyDescent="0.3">
      <c r="A68" s="250">
        <f>VLOOKUP($B68,Reporting!$AM:$BK,MATCH(LEFT($A$49,FIND("(",$A$49)-2),Reporting!$AN$4:$BK$4,0)+1,FALSE)</f>
        <v>0</v>
      </c>
      <c r="B68" s="266" t="s">
        <v>401</v>
      </c>
      <c r="C68" s="97">
        <v>2.85</v>
      </c>
      <c r="D68" s="6">
        <v>0.61</v>
      </c>
      <c r="E68" s="7">
        <f t="shared" si="47"/>
        <v>1.7384999999999999</v>
      </c>
      <c r="F68" s="7">
        <f t="shared" si="43"/>
        <v>0</v>
      </c>
      <c r="G68" s="8">
        <f t="shared" si="48"/>
        <v>0</v>
      </c>
      <c r="H68" s="9">
        <f t="shared" si="44"/>
        <v>2.85</v>
      </c>
      <c r="I68" s="10">
        <v>0.61</v>
      </c>
      <c r="J68" s="10">
        <f t="shared" si="49"/>
        <v>1.7384999999999999</v>
      </c>
      <c r="K68" s="10">
        <f t="shared" si="45"/>
        <v>0</v>
      </c>
      <c r="L68" s="11">
        <f t="shared" si="50"/>
        <v>0</v>
      </c>
      <c r="M68" s="12">
        <f t="shared" si="51"/>
        <v>2.85</v>
      </c>
      <c r="N68" s="13">
        <v>0.55000000000000004</v>
      </c>
      <c r="O68" s="13">
        <f t="shared" si="52"/>
        <v>1.5675000000000001</v>
      </c>
      <c r="P68" s="13">
        <f t="shared" si="46"/>
        <v>0</v>
      </c>
      <c r="Q68" s="14">
        <f t="shared" si="53"/>
        <v>0</v>
      </c>
    </row>
    <row r="69" spans="1:17" x14ac:dyDescent="0.3">
      <c r="A69" s="250">
        <f>VLOOKUP($B69,Reporting!$AM:$BK,MATCH(LEFT($A$49,FIND("(",$A$49)-2),Reporting!$AN$4:$BK$4,0)+1,FALSE)</f>
        <v>0</v>
      </c>
      <c r="B69" s="266" t="s">
        <v>402</v>
      </c>
      <c r="C69" s="97">
        <v>3.24</v>
      </c>
      <c r="D69" s="6">
        <v>0.61</v>
      </c>
      <c r="E69" s="7">
        <f t="shared" si="47"/>
        <v>1.9764000000000002</v>
      </c>
      <c r="F69" s="7">
        <f t="shared" si="43"/>
        <v>0</v>
      </c>
      <c r="G69" s="8">
        <f t="shared" si="48"/>
        <v>0</v>
      </c>
      <c r="H69" s="9">
        <f t="shared" si="44"/>
        <v>3.24</v>
      </c>
      <c r="I69" s="10">
        <v>0.61</v>
      </c>
      <c r="J69" s="10">
        <f t="shared" si="49"/>
        <v>1.9764000000000002</v>
      </c>
      <c r="K69" s="10">
        <f t="shared" si="45"/>
        <v>0</v>
      </c>
      <c r="L69" s="11">
        <f t="shared" si="50"/>
        <v>0</v>
      </c>
      <c r="M69" s="12">
        <f t="shared" si="51"/>
        <v>3.24</v>
      </c>
      <c r="N69" s="13">
        <v>0.55000000000000004</v>
      </c>
      <c r="O69" s="13">
        <f t="shared" si="52"/>
        <v>1.7820000000000003</v>
      </c>
      <c r="P69" s="13">
        <f t="shared" si="46"/>
        <v>0</v>
      </c>
      <c r="Q69" s="14">
        <f t="shared" si="53"/>
        <v>0</v>
      </c>
    </row>
    <row r="70" spans="1:17" x14ac:dyDescent="0.3">
      <c r="A70" s="250">
        <f>VLOOKUP($B70,Reporting!$AM:$BK,MATCH(LEFT($A$49,FIND("(",$A$49)-2),Reporting!$AN$4:$BK$4,0)+1,FALSE)</f>
        <v>0</v>
      </c>
      <c r="B70" s="266" t="s">
        <v>403</v>
      </c>
      <c r="C70" s="97">
        <v>4.05</v>
      </c>
      <c r="D70" s="6">
        <v>0.61</v>
      </c>
      <c r="E70" s="7">
        <f t="shared" si="47"/>
        <v>2.4704999999999999</v>
      </c>
      <c r="F70" s="7">
        <f t="shared" si="43"/>
        <v>0</v>
      </c>
      <c r="G70" s="8">
        <f t="shared" si="48"/>
        <v>0</v>
      </c>
      <c r="H70" s="9">
        <f t="shared" si="44"/>
        <v>4.05</v>
      </c>
      <c r="I70" s="10">
        <v>0.61</v>
      </c>
      <c r="J70" s="10">
        <f t="shared" si="49"/>
        <v>2.4704999999999999</v>
      </c>
      <c r="K70" s="10">
        <f t="shared" si="45"/>
        <v>0</v>
      </c>
      <c r="L70" s="11">
        <f t="shared" si="50"/>
        <v>0</v>
      </c>
      <c r="M70" s="12">
        <f t="shared" si="51"/>
        <v>4.05</v>
      </c>
      <c r="N70" s="13">
        <v>0.55000000000000004</v>
      </c>
      <c r="O70" s="13">
        <f t="shared" si="52"/>
        <v>2.2275</v>
      </c>
      <c r="P70" s="13">
        <f t="shared" si="46"/>
        <v>0</v>
      </c>
      <c r="Q70" s="14">
        <f t="shared" si="53"/>
        <v>0</v>
      </c>
    </row>
    <row r="71" spans="1:17" ht="15" thickBot="1" x14ac:dyDescent="0.35">
      <c r="A71" s="3">
        <f>SUM(A51:A70)</f>
        <v>0</v>
      </c>
      <c r="B71" s="267"/>
      <c r="C71" s="4"/>
      <c r="D71" s="644" t="s">
        <v>9</v>
      </c>
      <c r="E71" s="645"/>
      <c r="F71" s="645"/>
      <c r="G71" s="16">
        <f>SUM(G51:G70)</f>
        <v>0</v>
      </c>
      <c r="H71" s="1"/>
      <c r="I71" s="646" t="s">
        <v>10</v>
      </c>
      <c r="J71" s="646"/>
      <c r="K71" s="646"/>
      <c r="L71" s="17">
        <f>SUM(L51:L70)</f>
        <v>0</v>
      </c>
      <c r="M71" s="15"/>
      <c r="N71" s="647" t="s">
        <v>11</v>
      </c>
      <c r="O71" s="647"/>
      <c r="P71" s="647"/>
      <c r="Q71" s="18">
        <f>SUM(Q51:Q70)</f>
        <v>0</v>
      </c>
    </row>
    <row r="72" spans="1:17" ht="15" thickBot="1" x14ac:dyDescent="0.35"/>
    <row r="73" spans="1:17" ht="15" customHeight="1" x14ac:dyDescent="0.3">
      <c r="A73" s="689" t="s">
        <v>170</v>
      </c>
      <c r="B73" s="689"/>
      <c r="C73" s="689"/>
      <c r="D73" s="689"/>
      <c r="E73" s="689"/>
      <c r="F73" s="689"/>
      <c r="G73" s="133"/>
      <c r="H73" s="133"/>
      <c r="I73" s="133"/>
      <c r="J73" s="734" t="s">
        <v>81</v>
      </c>
      <c r="K73" s="734"/>
      <c r="L73" s="734"/>
      <c r="M73" s="734"/>
      <c r="N73" s="2"/>
      <c r="O73" s="2"/>
      <c r="P73" s="2"/>
      <c r="Q73" s="5"/>
    </row>
    <row r="74" spans="1:17" ht="15" customHeight="1" x14ac:dyDescent="0.3">
      <c r="A74" s="690"/>
      <c r="B74" s="690"/>
      <c r="C74" s="690"/>
      <c r="D74" s="690"/>
      <c r="E74" s="690"/>
      <c r="F74" s="690"/>
      <c r="G74" s="134"/>
      <c r="H74" s="134"/>
      <c r="I74" s="134"/>
      <c r="J74" s="735"/>
      <c r="K74" s="735"/>
      <c r="L74" s="735"/>
      <c r="M74" s="735"/>
      <c r="N74" s="29"/>
      <c r="O74" s="29"/>
      <c r="P74" s="29"/>
      <c r="Q74" s="30"/>
    </row>
    <row r="75" spans="1:17" ht="15" customHeight="1" x14ac:dyDescent="0.3">
      <c r="A75" s="250">
        <f>VLOOKUP($B75,Reporting!$AM:$BK,MATCH($A$73,Reporting!$AN$4:$BK$4,0)+1,FALSE)</f>
        <v>0</v>
      </c>
      <c r="B75" s="262" t="s">
        <v>371</v>
      </c>
      <c r="C75" s="114">
        <v>0.2</v>
      </c>
      <c r="D75" s="6">
        <v>0.61</v>
      </c>
      <c r="E75" s="7">
        <f t="shared" ref="E75:E85" si="54">C75*D75</f>
        <v>0.122</v>
      </c>
      <c r="F75" s="7">
        <f>A75*E75</f>
        <v>0</v>
      </c>
      <c r="G75" s="8">
        <f t="shared" ref="G75:G85" si="55">F75/8</f>
        <v>0</v>
      </c>
      <c r="H75" s="9">
        <f>C75</f>
        <v>0.2</v>
      </c>
      <c r="I75" s="10">
        <v>0.61</v>
      </c>
      <c r="J75" s="10">
        <f t="shared" ref="J75:J85" si="56">H75*I75</f>
        <v>0.122</v>
      </c>
      <c r="K75" s="10">
        <f>A75*J75</f>
        <v>0</v>
      </c>
      <c r="L75" s="11">
        <f t="shared" ref="L75:L85" si="57">K75/8</f>
        <v>0</v>
      </c>
      <c r="M75" s="12">
        <f t="shared" ref="M75:M85" si="58">H75</f>
        <v>0.2</v>
      </c>
      <c r="N75" s="13">
        <v>0.55000000000000004</v>
      </c>
      <c r="O75" s="13">
        <f t="shared" ref="O75:O85" si="59">M75*N75</f>
        <v>0.11000000000000001</v>
      </c>
      <c r="P75" s="13">
        <f>A75*O75</f>
        <v>0</v>
      </c>
      <c r="Q75" s="14">
        <f t="shared" ref="Q75:Q85" si="60">P75/8</f>
        <v>0</v>
      </c>
    </row>
    <row r="76" spans="1:17" ht="15" customHeight="1" x14ac:dyDescent="0.3">
      <c r="A76" s="250">
        <f>VLOOKUP($B76,Reporting!$AM:$BK,MATCH($A$73,Reporting!$AN$4:$BK$4,0)+1,FALSE)</f>
        <v>1</v>
      </c>
      <c r="B76" s="262" t="s">
        <v>372</v>
      </c>
      <c r="C76" s="114">
        <v>0.28000000000000003</v>
      </c>
      <c r="D76" s="6">
        <v>0.61</v>
      </c>
      <c r="E76" s="7">
        <f t="shared" si="54"/>
        <v>0.17080000000000001</v>
      </c>
      <c r="F76" s="7">
        <f t="shared" ref="F76:F85" si="61">A76*E76</f>
        <v>0.17080000000000001</v>
      </c>
      <c r="G76" s="8">
        <f t="shared" si="55"/>
        <v>2.1350000000000001E-2</v>
      </c>
      <c r="H76" s="9">
        <f t="shared" ref="H76:H85" si="62">C76</f>
        <v>0.28000000000000003</v>
      </c>
      <c r="I76" s="10">
        <v>0.61</v>
      </c>
      <c r="J76" s="10">
        <f t="shared" si="56"/>
        <v>0.17080000000000001</v>
      </c>
      <c r="K76" s="10">
        <f t="shared" ref="K76:K85" si="63">A76*J76</f>
        <v>0.17080000000000001</v>
      </c>
      <c r="L76" s="11">
        <f t="shared" si="57"/>
        <v>2.1350000000000001E-2</v>
      </c>
      <c r="M76" s="12">
        <f t="shared" si="58"/>
        <v>0.28000000000000003</v>
      </c>
      <c r="N76" s="13">
        <v>0.55000000000000004</v>
      </c>
      <c r="O76" s="13">
        <f t="shared" si="59"/>
        <v>0.15400000000000003</v>
      </c>
      <c r="P76" s="13">
        <f t="shared" ref="P76:P85" si="64">A76*O76</f>
        <v>0.15400000000000003</v>
      </c>
      <c r="Q76" s="14">
        <f t="shared" si="60"/>
        <v>1.9250000000000003E-2</v>
      </c>
    </row>
    <row r="77" spans="1:17" ht="15" customHeight="1" x14ac:dyDescent="0.3">
      <c r="A77" s="250">
        <f>VLOOKUP($B77,Reporting!$AM:$BK,MATCH($A$73,Reporting!$AN$4:$BK$4,0)+1,FALSE)</f>
        <v>0</v>
      </c>
      <c r="B77" s="262" t="s">
        <v>389</v>
      </c>
      <c r="C77" s="114">
        <v>0.34</v>
      </c>
      <c r="D77" s="6">
        <v>0.61</v>
      </c>
      <c r="E77" s="7">
        <f t="shared" si="54"/>
        <v>0.2074</v>
      </c>
      <c r="F77" s="7">
        <f t="shared" si="61"/>
        <v>0</v>
      </c>
      <c r="G77" s="8">
        <f t="shared" si="55"/>
        <v>0</v>
      </c>
      <c r="H77" s="9">
        <f t="shared" si="62"/>
        <v>0.34</v>
      </c>
      <c r="I77" s="10">
        <v>0.61</v>
      </c>
      <c r="J77" s="10">
        <f t="shared" si="56"/>
        <v>0.2074</v>
      </c>
      <c r="K77" s="10">
        <f t="shared" si="63"/>
        <v>0</v>
      </c>
      <c r="L77" s="11">
        <f t="shared" si="57"/>
        <v>0</v>
      </c>
      <c r="M77" s="12">
        <f t="shared" si="58"/>
        <v>0.34</v>
      </c>
      <c r="N77" s="13">
        <v>0.55000000000000004</v>
      </c>
      <c r="O77" s="13">
        <f t="shared" si="59"/>
        <v>0.18700000000000003</v>
      </c>
      <c r="P77" s="13">
        <f t="shared" si="64"/>
        <v>0</v>
      </c>
      <c r="Q77" s="14">
        <f t="shared" si="60"/>
        <v>0</v>
      </c>
    </row>
    <row r="78" spans="1:17" ht="15" customHeight="1" x14ac:dyDescent="0.3">
      <c r="A78" s="250">
        <f>VLOOKUP($B78,Reporting!$AM:$BK,MATCH($A$73,Reporting!$AN$4:$BK$4,0)+1,FALSE)</f>
        <v>0</v>
      </c>
      <c r="B78" s="262" t="s">
        <v>373</v>
      </c>
      <c r="C78" s="114">
        <v>0.4</v>
      </c>
      <c r="D78" s="6">
        <v>0.61</v>
      </c>
      <c r="E78" s="7">
        <f t="shared" si="54"/>
        <v>0.24399999999999999</v>
      </c>
      <c r="F78" s="7">
        <f t="shared" si="61"/>
        <v>0</v>
      </c>
      <c r="G78" s="8">
        <f t="shared" si="55"/>
        <v>0</v>
      </c>
      <c r="H78" s="9">
        <f t="shared" si="62"/>
        <v>0.4</v>
      </c>
      <c r="I78" s="10">
        <v>0.61</v>
      </c>
      <c r="J78" s="10">
        <f t="shared" si="56"/>
        <v>0.24399999999999999</v>
      </c>
      <c r="K78" s="10">
        <f t="shared" si="63"/>
        <v>0</v>
      </c>
      <c r="L78" s="11">
        <f t="shared" si="57"/>
        <v>0</v>
      </c>
      <c r="M78" s="12">
        <f t="shared" si="58"/>
        <v>0.4</v>
      </c>
      <c r="N78" s="13">
        <v>0.55000000000000004</v>
      </c>
      <c r="O78" s="13">
        <f t="shared" si="59"/>
        <v>0.22000000000000003</v>
      </c>
      <c r="P78" s="13">
        <f t="shared" si="64"/>
        <v>0</v>
      </c>
      <c r="Q78" s="14">
        <f t="shared" si="60"/>
        <v>0</v>
      </c>
    </row>
    <row r="79" spans="1:17" ht="15" customHeight="1" x14ac:dyDescent="0.3">
      <c r="A79" s="250">
        <f>VLOOKUP($B79,Reporting!$AM:$BK,MATCH($A$73,Reporting!$AN$4:$BK$4,0)+1,FALSE)</f>
        <v>0</v>
      </c>
      <c r="B79" s="262" t="s">
        <v>374</v>
      </c>
      <c r="C79" s="114">
        <v>0.44</v>
      </c>
      <c r="D79" s="6">
        <v>0.61</v>
      </c>
      <c r="E79" s="7">
        <f t="shared" si="54"/>
        <v>0.26839999999999997</v>
      </c>
      <c r="F79" s="7">
        <f t="shared" si="61"/>
        <v>0</v>
      </c>
      <c r="G79" s="8">
        <f t="shared" si="55"/>
        <v>0</v>
      </c>
      <c r="H79" s="9">
        <f t="shared" si="62"/>
        <v>0.44</v>
      </c>
      <c r="I79" s="10">
        <v>0.61</v>
      </c>
      <c r="J79" s="10">
        <f t="shared" si="56"/>
        <v>0.26839999999999997</v>
      </c>
      <c r="K79" s="10">
        <f t="shared" si="63"/>
        <v>0</v>
      </c>
      <c r="L79" s="11">
        <f t="shared" si="57"/>
        <v>0</v>
      </c>
      <c r="M79" s="12">
        <f t="shared" si="58"/>
        <v>0.44</v>
      </c>
      <c r="N79" s="13">
        <v>0.55000000000000004</v>
      </c>
      <c r="O79" s="13">
        <f t="shared" si="59"/>
        <v>0.24200000000000002</v>
      </c>
      <c r="P79" s="13">
        <f t="shared" si="64"/>
        <v>0</v>
      </c>
      <c r="Q79" s="14">
        <f t="shared" si="60"/>
        <v>0</v>
      </c>
    </row>
    <row r="80" spans="1:17" ht="15.75" customHeight="1" x14ac:dyDescent="0.3">
      <c r="A80" s="250">
        <f>VLOOKUP($B80,Reporting!$AM:$BK,MATCH($A$73,Reporting!$AN$4:$BK$4,0)+1,FALSE)</f>
        <v>0</v>
      </c>
      <c r="B80" s="266" t="s">
        <v>390</v>
      </c>
      <c r="C80" s="97">
        <v>0.53</v>
      </c>
      <c r="D80" s="6">
        <v>0.61</v>
      </c>
      <c r="E80" s="7">
        <f t="shared" si="54"/>
        <v>0.32330000000000003</v>
      </c>
      <c r="F80" s="7">
        <f t="shared" si="61"/>
        <v>0</v>
      </c>
      <c r="G80" s="8">
        <f t="shared" si="55"/>
        <v>0</v>
      </c>
      <c r="H80" s="9">
        <f t="shared" si="62"/>
        <v>0.53</v>
      </c>
      <c r="I80" s="10">
        <v>0.61</v>
      </c>
      <c r="J80" s="10">
        <f t="shared" si="56"/>
        <v>0.32330000000000003</v>
      </c>
      <c r="K80" s="10">
        <f t="shared" si="63"/>
        <v>0</v>
      </c>
      <c r="L80" s="11">
        <f t="shared" si="57"/>
        <v>0</v>
      </c>
      <c r="M80" s="12">
        <f t="shared" si="58"/>
        <v>0.53</v>
      </c>
      <c r="N80" s="13">
        <v>0.55000000000000004</v>
      </c>
      <c r="O80" s="13">
        <f t="shared" si="59"/>
        <v>0.29150000000000004</v>
      </c>
      <c r="P80" s="13">
        <f t="shared" si="64"/>
        <v>0</v>
      </c>
      <c r="Q80" s="14">
        <f t="shared" si="60"/>
        <v>0</v>
      </c>
    </row>
    <row r="81" spans="1:17" x14ac:dyDescent="0.3">
      <c r="A81" s="250">
        <f>VLOOKUP($B81,Reporting!$AM:$BK,MATCH($A$73,Reporting!$AN$4:$BK$4,0)+1,FALSE)</f>
        <v>0</v>
      </c>
      <c r="B81" s="266" t="s">
        <v>376</v>
      </c>
      <c r="C81" s="97">
        <v>0.89</v>
      </c>
      <c r="D81" s="6">
        <v>0.61</v>
      </c>
      <c r="E81" s="7">
        <f t="shared" si="54"/>
        <v>0.54290000000000005</v>
      </c>
      <c r="F81" s="7">
        <f t="shared" si="61"/>
        <v>0</v>
      </c>
      <c r="G81" s="8">
        <f t="shared" si="55"/>
        <v>0</v>
      </c>
      <c r="H81" s="9">
        <f t="shared" si="62"/>
        <v>0.89</v>
      </c>
      <c r="I81" s="10">
        <v>0.61</v>
      </c>
      <c r="J81" s="10">
        <f t="shared" si="56"/>
        <v>0.54290000000000005</v>
      </c>
      <c r="K81" s="10">
        <f t="shared" si="63"/>
        <v>0</v>
      </c>
      <c r="L81" s="11">
        <f t="shared" si="57"/>
        <v>0</v>
      </c>
      <c r="M81" s="12">
        <f t="shared" si="58"/>
        <v>0.89</v>
      </c>
      <c r="N81" s="13">
        <v>0.55000000000000004</v>
      </c>
      <c r="O81" s="13">
        <f t="shared" si="59"/>
        <v>0.48950000000000005</v>
      </c>
      <c r="P81" s="13">
        <f t="shared" si="64"/>
        <v>0</v>
      </c>
      <c r="Q81" s="14">
        <f t="shared" si="60"/>
        <v>0</v>
      </c>
    </row>
    <row r="82" spans="1:17" x14ac:dyDescent="0.3">
      <c r="A82" s="250">
        <f>VLOOKUP($B82,Reporting!$AM:$BK,MATCH($A$73,Reporting!$AN$4:$BK$4,0)+1,FALSE)</f>
        <v>0</v>
      </c>
      <c r="B82" s="266" t="s">
        <v>391</v>
      </c>
      <c r="C82" s="97">
        <v>1.06</v>
      </c>
      <c r="D82" s="6">
        <v>0.61</v>
      </c>
      <c r="E82" s="7">
        <f t="shared" si="54"/>
        <v>0.64660000000000006</v>
      </c>
      <c r="F82" s="7">
        <f t="shared" si="61"/>
        <v>0</v>
      </c>
      <c r="G82" s="8">
        <f t="shared" si="55"/>
        <v>0</v>
      </c>
      <c r="H82" s="9">
        <f t="shared" si="62"/>
        <v>1.06</v>
      </c>
      <c r="I82" s="10">
        <v>0.61</v>
      </c>
      <c r="J82" s="10">
        <f t="shared" si="56"/>
        <v>0.64660000000000006</v>
      </c>
      <c r="K82" s="10">
        <f t="shared" si="63"/>
        <v>0</v>
      </c>
      <c r="L82" s="11">
        <f t="shared" si="57"/>
        <v>0</v>
      </c>
      <c r="M82" s="12">
        <f t="shared" si="58"/>
        <v>1.06</v>
      </c>
      <c r="N82" s="13">
        <v>0.55000000000000004</v>
      </c>
      <c r="O82" s="13">
        <f t="shared" si="59"/>
        <v>0.58300000000000007</v>
      </c>
      <c r="P82" s="13">
        <f t="shared" si="64"/>
        <v>0</v>
      </c>
      <c r="Q82" s="14">
        <f t="shared" si="60"/>
        <v>0</v>
      </c>
    </row>
    <row r="83" spans="1:17" x14ac:dyDescent="0.3">
      <c r="A83" s="250">
        <f>VLOOKUP($B83,Reporting!$AM:$BK,MATCH($A$73,Reporting!$AN$4:$BK$4,0)+1,FALSE)</f>
        <v>0</v>
      </c>
      <c r="B83" s="266" t="s">
        <v>392</v>
      </c>
      <c r="C83" s="97">
        <v>1.42</v>
      </c>
      <c r="D83" s="6">
        <v>0.61</v>
      </c>
      <c r="E83" s="7">
        <f t="shared" si="54"/>
        <v>0.86619999999999997</v>
      </c>
      <c r="F83" s="7">
        <f t="shared" si="61"/>
        <v>0</v>
      </c>
      <c r="G83" s="8">
        <f t="shared" si="55"/>
        <v>0</v>
      </c>
      <c r="H83" s="9">
        <f t="shared" si="62"/>
        <v>1.42</v>
      </c>
      <c r="I83" s="10">
        <v>0.61</v>
      </c>
      <c r="J83" s="10">
        <f t="shared" si="56"/>
        <v>0.86619999999999997</v>
      </c>
      <c r="K83" s="10">
        <f t="shared" si="63"/>
        <v>0</v>
      </c>
      <c r="L83" s="11">
        <f t="shared" si="57"/>
        <v>0</v>
      </c>
      <c r="M83" s="12">
        <f t="shared" si="58"/>
        <v>1.42</v>
      </c>
      <c r="N83" s="13">
        <v>0.55000000000000004</v>
      </c>
      <c r="O83" s="13">
        <f t="shared" si="59"/>
        <v>0.78100000000000003</v>
      </c>
      <c r="P83" s="13">
        <f t="shared" si="64"/>
        <v>0</v>
      </c>
      <c r="Q83" s="14">
        <f t="shared" si="60"/>
        <v>0</v>
      </c>
    </row>
    <row r="84" spans="1:17" x14ac:dyDescent="0.3">
      <c r="A84" s="250">
        <f>VLOOKUP($B84,Reporting!$AM:$BK,MATCH($A$73,Reporting!$AN$4:$BK$4,0)+1,FALSE)</f>
        <v>0</v>
      </c>
      <c r="B84" s="266" t="s">
        <v>393</v>
      </c>
      <c r="C84" s="97">
        <v>2.3199999999999998</v>
      </c>
      <c r="D84" s="6">
        <v>0.61</v>
      </c>
      <c r="E84" s="7">
        <f t="shared" si="54"/>
        <v>1.4151999999999998</v>
      </c>
      <c r="F84" s="7">
        <f t="shared" si="61"/>
        <v>0</v>
      </c>
      <c r="G84" s="8">
        <f t="shared" si="55"/>
        <v>0</v>
      </c>
      <c r="H84" s="9">
        <f t="shared" si="62"/>
        <v>2.3199999999999998</v>
      </c>
      <c r="I84" s="10">
        <v>0.61</v>
      </c>
      <c r="J84" s="10">
        <f t="shared" si="56"/>
        <v>1.4151999999999998</v>
      </c>
      <c r="K84" s="10">
        <f t="shared" si="63"/>
        <v>0</v>
      </c>
      <c r="L84" s="11">
        <f t="shared" si="57"/>
        <v>0</v>
      </c>
      <c r="M84" s="12">
        <f t="shared" si="58"/>
        <v>2.3199999999999998</v>
      </c>
      <c r="N84" s="13">
        <v>0.55000000000000004</v>
      </c>
      <c r="O84" s="13">
        <f t="shared" si="59"/>
        <v>1.276</v>
      </c>
      <c r="P84" s="13">
        <f t="shared" si="64"/>
        <v>0</v>
      </c>
      <c r="Q84" s="14">
        <f t="shared" si="60"/>
        <v>0</v>
      </c>
    </row>
    <row r="85" spans="1:17" x14ac:dyDescent="0.3">
      <c r="A85" s="250">
        <f>VLOOKUP($B85,Reporting!$AM:$BK,MATCH($A$73,Reporting!$AN$4:$BK$4,0)+1,FALSE)</f>
        <v>0</v>
      </c>
      <c r="B85" s="266" t="s">
        <v>394</v>
      </c>
      <c r="C85" s="97">
        <v>2.78</v>
      </c>
      <c r="D85" s="6">
        <v>0.61</v>
      </c>
      <c r="E85" s="7">
        <f t="shared" si="54"/>
        <v>1.6957999999999998</v>
      </c>
      <c r="F85" s="7">
        <f t="shared" si="61"/>
        <v>0</v>
      </c>
      <c r="G85" s="8">
        <f t="shared" si="55"/>
        <v>0</v>
      </c>
      <c r="H85" s="9">
        <f t="shared" si="62"/>
        <v>2.78</v>
      </c>
      <c r="I85" s="10">
        <v>0.61</v>
      </c>
      <c r="J85" s="10">
        <f t="shared" si="56"/>
        <v>1.6957999999999998</v>
      </c>
      <c r="K85" s="10">
        <f t="shared" si="63"/>
        <v>0</v>
      </c>
      <c r="L85" s="11">
        <f t="shared" si="57"/>
        <v>0</v>
      </c>
      <c r="M85" s="12">
        <f t="shared" si="58"/>
        <v>2.78</v>
      </c>
      <c r="N85" s="13">
        <v>0.55000000000000004</v>
      </c>
      <c r="O85" s="13">
        <f t="shared" si="59"/>
        <v>1.5289999999999999</v>
      </c>
      <c r="P85" s="13">
        <f t="shared" si="64"/>
        <v>0</v>
      </c>
      <c r="Q85" s="14">
        <f t="shared" si="60"/>
        <v>0</v>
      </c>
    </row>
    <row r="86" spans="1:17" ht="15" thickBot="1" x14ac:dyDescent="0.35">
      <c r="A86" s="3">
        <f>SUM(A75:A85)</f>
        <v>1</v>
      </c>
      <c r="B86" s="267"/>
      <c r="C86" s="4"/>
      <c r="D86" s="644" t="s">
        <v>9</v>
      </c>
      <c r="E86" s="645"/>
      <c r="F86" s="645"/>
      <c r="G86" s="16">
        <f>SUM(G75:G85)</f>
        <v>2.1350000000000001E-2</v>
      </c>
      <c r="H86" s="1"/>
      <c r="I86" s="646" t="s">
        <v>10</v>
      </c>
      <c r="J86" s="646"/>
      <c r="K86" s="646"/>
      <c r="L86" s="17">
        <f>SUM(L75:L85)</f>
        <v>2.1350000000000001E-2</v>
      </c>
      <c r="M86" s="15"/>
      <c r="N86" s="647" t="s">
        <v>11</v>
      </c>
      <c r="O86" s="647"/>
      <c r="P86" s="647"/>
      <c r="Q86" s="18">
        <f>SUM(Q75:Q85)</f>
        <v>1.9250000000000003E-2</v>
      </c>
    </row>
    <row r="87" spans="1:17" ht="15" thickBot="1" x14ac:dyDescent="0.35"/>
    <row r="88" spans="1:17" ht="15" customHeight="1" x14ac:dyDescent="0.3">
      <c r="A88" s="689" t="s">
        <v>171</v>
      </c>
      <c r="B88" s="689"/>
      <c r="C88" s="689"/>
      <c r="D88" s="689"/>
      <c r="E88" s="689"/>
      <c r="F88" s="689"/>
      <c r="G88" s="122"/>
      <c r="H88" s="730" t="s">
        <v>134</v>
      </c>
      <c r="I88" s="730"/>
      <c r="J88" s="730"/>
      <c r="K88" s="2"/>
      <c r="L88" s="2"/>
      <c r="M88" s="2"/>
      <c r="N88" s="2"/>
      <c r="O88" s="2"/>
      <c r="P88" s="2"/>
      <c r="Q88" s="5"/>
    </row>
    <row r="89" spans="1:17" ht="15" customHeight="1" x14ac:dyDescent="0.3">
      <c r="A89" s="690"/>
      <c r="B89" s="690"/>
      <c r="C89" s="690"/>
      <c r="D89" s="690"/>
      <c r="E89" s="690"/>
      <c r="F89" s="690"/>
      <c r="G89" s="123"/>
      <c r="H89" s="732"/>
      <c r="I89" s="732"/>
      <c r="J89" s="732"/>
      <c r="K89" s="29"/>
      <c r="L89" s="29"/>
      <c r="M89" s="29"/>
      <c r="N89" s="29"/>
      <c r="O89" s="29"/>
      <c r="P89" s="29"/>
      <c r="Q89" s="30"/>
    </row>
    <row r="90" spans="1:17" x14ac:dyDescent="0.3">
      <c r="A90" s="250">
        <f>VLOOKUP($B90,Reporting!$AM:$BK,MATCH($A$88,Reporting!$AN$4:$BK$4,0)+1,FALSE)</f>
        <v>0</v>
      </c>
      <c r="B90" s="262" t="s">
        <v>371</v>
      </c>
      <c r="C90" s="114">
        <v>0.14000000000000001</v>
      </c>
      <c r="D90" s="6">
        <v>0.61</v>
      </c>
      <c r="E90" s="7">
        <f t="shared" ref="E90:E98" si="65">C90*D90</f>
        <v>8.5400000000000004E-2</v>
      </c>
      <c r="F90" s="7">
        <f>A90*E90</f>
        <v>0</v>
      </c>
      <c r="G90" s="8">
        <f t="shared" ref="G90:G98" si="66">F90/8</f>
        <v>0</v>
      </c>
      <c r="H90" s="9">
        <f>C90</f>
        <v>0.14000000000000001</v>
      </c>
      <c r="I90" s="10">
        <v>0.61</v>
      </c>
      <c r="J90" s="10">
        <f t="shared" ref="J90:J98" si="67">H90*I90</f>
        <v>8.5400000000000004E-2</v>
      </c>
      <c r="K90" s="10">
        <f>A90*J90</f>
        <v>0</v>
      </c>
      <c r="L90" s="11">
        <f t="shared" ref="L90:L98" si="68">K90/8</f>
        <v>0</v>
      </c>
      <c r="M90" s="12">
        <f t="shared" ref="M90:M98" si="69">H90</f>
        <v>0.14000000000000001</v>
      </c>
      <c r="N90" s="13">
        <v>0.55000000000000004</v>
      </c>
      <c r="O90" s="13">
        <f t="shared" ref="O90:O98" si="70">M90*N90</f>
        <v>7.7000000000000013E-2</v>
      </c>
      <c r="P90" s="13">
        <f>A90*O90</f>
        <v>0</v>
      </c>
      <c r="Q90" s="14">
        <f t="shared" ref="Q90:Q98" si="71">P90/8</f>
        <v>0</v>
      </c>
    </row>
    <row r="91" spans="1:17" x14ac:dyDescent="0.3">
      <c r="A91" s="250">
        <f>VLOOKUP($B91,Reporting!$AM:$BK,MATCH($A$88,Reporting!$AN$4:$BK$4,0)+1,FALSE)</f>
        <v>0</v>
      </c>
      <c r="B91" s="262" t="s">
        <v>372</v>
      </c>
      <c r="C91" s="114">
        <v>0.19600000000000001</v>
      </c>
      <c r="D91" s="6">
        <v>0.61</v>
      </c>
      <c r="E91" s="7">
        <f t="shared" si="65"/>
        <v>0.11956</v>
      </c>
      <c r="F91" s="7">
        <f t="shared" ref="F91:F98" si="72">A91*E91</f>
        <v>0</v>
      </c>
      <c r="G91" s="8">
        <f t="shared" si="66"/>
        <v>0</v>
      </c>
      <c r="H91" s="9">
        <f t="shared" ref="H91:H98" si="73">C91</f>
        <v>0.19600000000000001</v>
      </c>
      <c r="I91" s="10">
        <v>0.61</v>
      </c>
      <c r="J91" s="10">
        <f t="shared" si="67"/>
        <v>0.11956</v>
      </c>
      <c r="K91" s="10">
        <f t="shared" ref="K91:K98" si="74">A91*J91</f>
        <v>0</v>
      </c>
      <c r="L91" s="11">
        <f t="shared" si="68"/>
        <v>0</v>
      </c>
      <c r="M91" s="12">
        <f t="shared" si="69"/>
        <v>0.19600000000000001</v>
      </c>
      <c r="N91" s="13">
        <v>0.55000000000000004</v>
      </c>
      <c r="O91" s="13">
        <f t="shared" si="70"/>
        <v>0.10780000000000001</v>
      </c>
      <c r="P91" s="13">
        <f t="shared" ref="P91:P98" si="75">A91*O91</f>
        <v>0</v>
      </c>
      <c r="Q91" s="14">
        <f t="shared" si="71"/>
        <v>0</v>
      </c>
    </row>
    <row r="92" spans="1:17" x14ac:dyDescent="0.3">
      <c r="A92" s="250">
        <f>VLOOKUP($B92,Reporting!$AM:$BK,MATCH($A$88,Reporting!$AN$4:$BK$4,0)+1,FALSE)</f>
        <v>0</v>
      </c>
      <c r="B92" s="262" t="s">
        <v>389</v>
      </c>
      <c r="C92" s="114">
        <v>0.23799999999999999</v>
      </c>
      <c r="D92" s="6">
        <v>0.61</v>
      </c>
      <c r="E92" s="7">
        <f t="shared" si="65"/>
        <v>0.14518</v>
      </c>
      <c r="F92" s="7">
        <f t="shared" si="72"/>
        <v>0</v>
      </c>
      <c r="G92" s="8">
        <f t="shared" si="66"/>
        <v>0</v>
      </c>
      <c r="H92" s="9">
        <f t="shared" si="73"/>
        <v>0.23799999999999999</v>
      </c>
      <c r="I92" s="10">
        <v>0.61</v>
      </c>
      <c r="J92" s="10">
        <f t="shared" si="67"/>
        <v>0.14518</v>
      </c>
      <c r="K92" s="10">
        <f t="shared" si="74"/>
        <v>0</v>
      </c>
      <c r="L92" s="11">
        <f t="shared" si="68"/>
        <v>0</v>
      </c>
      <c r="M92" s="12">
        <f t="shared" si="69"/>
        <v>0.23799999999999999</v>
      </c>
      <c r="N92" s="13">
        <v>0.55000000000000004</v>
      </c>
      <c r="O92" s="13">
        <f t="shared" si="70"/>
        <v>0.13090000000000002</v>
      </c>
      <c r="P92" s="13">
        <f t="shared" si="75"/>
        <v>0</v>
      </c>
      <c r="Q92" s="14">
        <f t="shared" si="71"/>
        <v>0</v>
      </c>
    </row>
    <row r="93" spans="1:17" x14ac:dyDescent="0.3">
      <c r="A93" s="250">
        <f>VLOOKUP($B93,Reporting!$AM:$BK,MATCH($A$88,Reporting!$AN$4:$BK$4,0)+1,FALSE)</f>
        <v>0</v>
      </c>
      <c r="B93" s="262" t="s">
        <v>373</v>
      </c>
      <c r="C93" s="114">
        <v>0.28000000000000003</v>
      </c>
      <c r="D93" s="6">
        <v>0.61</v>
      </c>
      <c r="E93" s="7">
        <f t="shared" si="65"/>
        <v>0.17080000000000001</v>
      </c>
      <c r="F93" s="7">
        <f t="shared" si="72"/>
        <v>0</v>
      </c>
      <c r="G93" s="8">
        <f t="shared" si="66"/>
        <v>0</v>
      </c>
      <c r="H93" s="9">
        <f t="shared" si="73"/>
        <v>0.28000000000000003</v>
      </c>
      <c r="I93" s="10">
        <v>0.61</v>
      </c>
      <c r="J93" s="10">
        <f t="shared" si="67"/>
        <v>0.17080000000000001</v>
      </c>
      <c r="K93" s="10">
        <f t="shared" si="74"/>
        <v>0</v>
      </c>
      <c r="L93" s="11">
        <f t="shared" si="68"/>
        <v>0</v>
      </c>
      <c r="M93" s="12">
        <f t="shared" si="69"/>
        <v>0.28000000000000003</v>
      </c>
      <c r="N93" s="13">
        <v>0.55000000000000004</v>
      </c>
      <c r="O93" s="13">
        <f t="shared" si="70"/>
        <v>0.15400000000000003</v>
      </c>
      <c r="P93" s="13">
        <f t="shared" si="75"/>
        <v>0</v>
      </c>
      <c r="Q93" s="14">
        <f t="shared" si="71"/>
        <v>0</v>
      </c>
    </row>
    <row r="94" spans="1:17" x14ac:dyDescent="0.3">
      <c r="A94" s="250">
        <f>VLOOKUP($B94,Reporting!$AM:$BK,MATCH($A$88,Reporting!$AN$4:$BK$4,0)+1,FALSE)</f>
        <v>0</v>
      </c>
      <c r="B94" s="262" t="s">
        <v>374</v>
      </c>
      <c r="C94" s="114">
        <v>0.308</v>
      </c>
      <c r="D94" s="6">
        <v>0.61</v>
      </c>
      <c r="E94" s="7">
        <f t="shared" si="65"/>
        <v>0.18787999999999999</v>
      </c>
      <c r="F94" s="7">
        <f t="shared" si="72"/>
        <v>0</v>
      </c>
      <c r="G94" s="8">
        <f t="shared" si="66"/>
        <v>0</v>
      </c>
      <c r="H94" s="9">
        <f t="shared" si="73"/>
        <v>0.308</v>
      </c>
      <c r="I94" s="10">
        <v>0.61</v>
      </c>
      <c r="J94" s="10">
        <f t="shared" si="67"/>
        <v>0.18787999999999999</v>
      </c>
      <c r="K94" s="10">
        <f t="shared" si="74"/>
        <v>0</v>
      </c>
      <c r="L94" s="11">
        <f t="shared" si="68"/>
        <v>0</v>
      </c>
      <c r="M94" s="12">
        <f t="shared" si="69"/>
        <v>0.308</v>
      </c>
      <c r="N94" s="13">
        <v>0.55000000000000004</v>
      </c>
      <c r="O94" s="13">
        <f t="shared" si="70"/>
        <v>0.16940000000000002</v>
      </c>
      <c r="P94" s="13">
        <f t="shared" si="75"/>
        <v>0</v>
      </c>
      <c r="Q94" s="14">
        <f t="shared" si="71"/>
        <v>0</v>
      </c>
    </row>
    <row r="95" spans="1:17" x14ac:dyDescent="0.3">
      <c r="A95" s="250">
        <f>VLOOKUP($B95,Reporting!$AM:$BK,MATCH($A$88,Reporting!$AN$4:$BK$4,0)+1,FALSE)</f>
        <v>0</v>
      </c>
      <c r="B95" s="266" t="s">
        <v>390</v>
      </c>
      <c r="C95" s="97">
        <v>0.371</v>
      </c>
      <c r="D95" s="6">
        <v>0.61</v>
      </c>
      <c r="E95" s="7">
        <f t="shared" si="65"/>
        <v>0.22630999999999998</v>
      </c>
      <c r="F95" s="7">
        <f t="shared" si="72"/>
        <v>0</v>
      </c>
      <c r="G95" s="8">
        <f t="shared" si="66"/>
        <v>0</v>
      </c>
      <c r="H95" s="9">
        <f t="shared" si="73"/>
        <v>0.371</v>
      </c>
      <c r="I95" s="10">
        <v>0.61</v>
      </c>
      <c r="J95" s="10">
        <f t="shared" si="67"/>
        <v>0.22630999999999998</v>
      </c>
      <c r="K95" s="10">
        <f t="shared" si="74"/>
        <v>0</v>
      </c>
      <c r="L95" s="11">
        <f t="shared" si="68"/>
        <v>0</v>
      </c>
      <c r="M95" s="12">
        <f t="shared" si="69"/>
        <v>0.371</v>
      </c>
      <c r="N95" s="13">
        <v>0.55000000000000004</v>
      </c>
      <c r="O95" s="13">
        <f t="shared" si="70"/>
        <v>0.20405000000000001</v>
      </c>
      <c r="P95" s="13">
        <f t="shared" si="75"/>
        <v>0</v>
      </c>
      <c r="Q95" s="14">
        <f t="shared" si="71"/>
        <v>0</v>
      </c>
    </row>
    <row r="96" spans="1:17" x14ac:dyDescent="0.3">
      <c r="A96" s="250">
        <f>VLOOKUP($B96,Reporting!$AM:$BK,MATCH($A$88,Reporting!$AN$4:$BK$4,0)+1,FALSE)</f>
        <v>0</v>
      </c>
      <c r="B96" s="266" t="s">
        <v>376</v>
      </c>
      <c r="C96" s="97">
        <v>0.623</v>
      </c>
      <c r="D96" s="6">
        <v>0.61</v>
      </c>
      <c r="E96" s="7">
        <f t="shared" si="65"/>
        <v>0.38002999999999998</v>
      </c>
      <c r="F96" s="7">
        <f t="shared" si="72"/>
        <v>0</v>
      </c>
      <c r="G96" s="8">
        <f t="shared" si="66"/>
        <v>0</v>
      </c>
      <c r="H96" s="9">
        <f t="shared" si="73"/>
        <v>0.623</v>
      </c>
      <c r="I96" s="10">
        <v>0.61</v>
      </c>
      <c r="J96" s="10">
        <f t="shared" si="67"/>
        <v>0.38002999999999998</v>
      </c>
      <c r="K96" s="10">
        <f t="shared" si="74"/>
        <v>0</v>
      </c>
      <c r="L96" s="11">
        <f t="shared" si="68"/>
        <v>0</v>
      </c>
      <c r="M96" s="12">
        <f t="shared" si="69"/>
        <v>0.623</v>
      </c>
      <c r="N96" s="13">
        <v>0.55000000000000004</v>
      </c>
      <c r="O96" s="13">
        <f t="shared" si="70"/>
        <v>0.34265000000000001</v>
      </c>
      <c r="P96" s="13">
        <f t="shared" si="75"/>
        <v>0</v>
      </c>
      <c r="Q96" s="14">
        <f t="shared" si="71"/>
        <v>0</v>
      </c>
    </row>
    <row r="97" spans="1:17" x14ac:dyDescent="0.3">
      <c r="A97" s="250">
        <f>VLOOKUP($B97,Reporting!$AM:$BK,MATCH($A$88,Reporting!$AN$4:$BK$4,0)+1,FALSE)</f>
        <v>0</v>
      </c>
      <c r="B97" s="266" t="s">
        <v>391</v>
      </c>
      <c r="C97" s="97">
        <v>0.74199999999999999</v>
      </c>
      <c r="D97" s="6">
        <v>0.61</v>
      </c>
      <c r="E97" s="7">
        <f t="shared" si="65"/>
        <v>0.45261999999999997</v>
      </c>
      <c r="F97" s="7">
        <f t="shared" si="72"/>
        <v>0</v>
      </c>
      <c r="G97" s="8">
        <f t="shared" si="66"/>
        <v>0</v>
      </c>
      <c r="H97" s="9">
        <f t="shared" si="73"/>
        <v>0.74199999999999999</v>
      </c>
      <c r="I97" s="10">
        <v>0.61</v>
      </c>
      <c r="J97" s="10">
        <f t="shared" si="67"/>
        <v>0.45261999999999997</v>
      </c>
      <c r="K97" s="10">
        <f t="shared" si="74"/>
        <v>0</v>
      </c>
      <c r="L97" s="11">
        <f t="shared" si="68"/>
        <v>0</v>
      </c>
      <c r="M97" s="12">
        <f t="shared" si="69"/>
        <v>0.74199999999999999</v>
      </c>
      <c r="N97" s="13">
        <v>0.55000000000000004</v>
      </c>
      <c r="O97" s="13">
        <f t="shared" si="70"/>
        <v>0.40810000000000002</v>
      </c>
      <c r="P97" s="13">
        <f t="shared" si="75"/>
        <v>0</v>
      </c>
      <c r="Q97" s="14">
        <f t="shared" si="71"/>
        <v>0</v>
      </c>
    </row>
    <row r="98" spans="1:17" x14ac:dyDescent="0.3">
      <c r="A98" s="250">
        <f>VLOOKUP($B98,Reporting!$AM:$BK,MATCH($A$88,Reporting!$AN$4:$BK$4,0)+1,FALSE)</f>
        <v>0</v>
      </c>
      <c r="B98" s="266" t="s">
        <v>392</v>
      </c>
      <c r="C98" s="97">
        <v>0.99399999999999999</v>
      </c>
      <c r="D98" s="6">
        <v>0.61</v>
      </c>
      <c r="E98" s="7">
        <f t="shared" si="65"/>
        <v>0.60633999999999999</v>
      </c>
      <c r="F98" s="7">
        <f t="shared" si="72"/>
        <v>0</v>
      </c>
      <c r="G98" s="8">
        <f t="shared" si="66"/>
        <v>0</v>
      </c>
      <c r="H98" s="9">
        <f t="shared" si="73"/>
        <v>0.99399999999999999</v>
      </c>
      <c r="I98" s="10">
        <v>0.61</v>
      </c>
      <c r="J98" s="10">
        <f t="shared" si="67"/>
        <v>0.60633999999999999</v>
      </c>
      <c r="K98" s="10">
        <f t="shared" si="74"/>
        <v>0</v>
      </c>
      <c r="L98" s="11">
        <f t="shared" si="68"/>
        <v>0</v>
      </c>
      <c r="M98" s="12">
        <f t="shared" si="69"/>
        <v>0.99399999999999999</v>
      </c>
      <c r="N98" s="13">
        <v>0.55000000000000004</v>
      </c>
      <c r="O98" s="13">
        <f t="shared" si="70"/>
        <v>0.54670000000000007</v>
      </c>
      <c r="P98" s="13">
        <f t="shared" si="75"/>
        <v>0</v>
      </c>
      <c r="Q98" s="14">
        <f t="shared" si="71"/>
        <v>0</v>
      </c>
    </row>
    <row r="99" spans="1:17" ht="15" thickBot="1" x14ac:dyDescent="0.35">
      <c r="A99" s="3">
        <f>SUM(A90:A98)</f>
        <v>0</v>
      </c>
      <c r="B99" s="267"/>
      <c r="C99" s="4"/>
      <c r="D99" s="644" t="s">
        <v>9</v>
      </c>
      <c r="E99" s="645"/>
      <c r="F99" s="645"/>
      <c r="G99" s="16">
        <f>SUM(G90:G98)</f>
        <v>0</v>
      </c>
      <c r="H99" s="1"/>
      <c r="I99" s="646" t="s">
        <v>10</v>
      </c>
      <c r="J99" s="646"/>
      <c r="K99" s="646"/>
      <c r="L99" s="17">
        <f>SUM(L90:L98)</f>
        <v>0</v>
      </c>
      <c r="M99" s="15"/>
      <c r="N99" s="647" t="s">
        <v>11</v>
      </c>
      <c r="O99" s="647"/>
      <c r="P99" s="647"/>
      <c r="Q99" s="18">
        <f>SUM(Q90:Q98)</f>
        <v>0</v>
      </c>
    </row>
    <row r="100" spans="1:17" ht="15" thickBot="1" x14ac:dyDescent="0.35"/>
    <row r="101" spans="1:17" ht="15" customHeight="1" x14ac:dyDescent="0.3">
      <c r="A101" s="689" t="s">
        <v>173</v>
      </c>
      <c r="B101" s="689"/>
      <c r="C101" s="689"/>
      <c r="D101" s="689"/>
      <c r="E101" s="689"/>
      <c r="F101" s="689"/>
      <c r="G101" s="689"/>
      <c r="H101" s="689"/>
      <c r="I101" s="689"/>
      <c r="J101" s="689"/>
      <c r="K101" s="689"/>
      <c r="L101" s="689"/>
      <c r="M101" s="689"/>
      <c r="N101" s="730" t="s">
        <v>99</v>
      </c>
      <c r="O101" s="730"/>
      <c r="P101" s="730"/>
      <c r="Q101" s="5"/>
    </row>
    <row r="102" spans="1:17" ht="15" customHeight="1" x14ac:dyDescent="0.3">
      <c r="A102" s="690"/>
      <c r="B102" s="690"/>
      <c r="C102" s="690"/>
      <c r="D102" s="690"/>
      <c r="E102" s="690"/>
      <c r="F102" s="690"/>
      <c r="G102" s="690"/>
      <c r="H102" s="690"/>
      <c r="I102" s="690"/>
      <c r="J102" s="690"/>
      <c r="K102" s="690"/>
      <c r="L102" s="690"/>
      <c r="M102" s="690"/>
      <c r="N102" s="732"/>
      <c r="O102" s="732"/>
      <c r="P102" s="732"/>
      <c r="Q102" s="30"/>
    </row>
    <row r="103" spans="1:17" ht="15" customHeight="1" x14ac:dyDescent="0.3">
      <c r="A103" s="250">
        <f>VLOOKUP($B103,Reporting!$AM:$BK,MATCH(LEFT($A$101,FIND("(",$A$101)-2),Reporting!$AN$4:$BK$4,0)+1,FALSE)</f>
        <v>0</v>
      </c>
      <c r="B103" s="262" t="s">
        <v>374</v>
      </c>
      <c r="C103" s="96">
        <v>7.0000000000000007E-2</v>
      </c>
      <c r="D103" s="6">
        <v>0.61</v>
      </c>
      <c r="E103" s="7">
        <f>C103*D103</f>
        <v>4.2700000000000002E-2</v>
      </c>
      <c r="F103" s="7">
        <f>A103*E103</f>
        <v>0</v>
      </c>
      <c r="G103" s="8">
        <f>F103/8</f>
        <v>0</v>
      </c>
      <c r="H103" s="9">
        <f>C103</f>
        <v>7.0000000000000007E-2</v>
      </c>
      <c r="I103" s="10">
        <v>0.61</v>
      </c>
      <c r="J103" s="10">
        <f>H103*I103</f>
        <v>4.2700000000000002E-2</v>
      </c>
      <c r="K103" s="10">
        <f>A103*J103</f>
        <v>0</v>
      </c>
      <c r="L103" s="11">
        <f>K103/8</f>
        <v>0</v>
      </c>
      <c r="M103" s="12">
        <f>H103</f>
        <v>7.0000000000000007E-2</v>
      </c>
      <c r="N103" s="13">
        <v>0.55000000000000004</v>
      </c>
      <c r="O103" s="13">
        <f>M103*N103</f>
        <v>3.8500000000000006E-2</v>
      </c>
      <c r="P103" s="13">
        <f>A103*O103</f>
        <v>0</v>
      </c>
      <c r="Q103" s="14">
        <f>P103/8</f>
        <v>0</v>
      </c>
    </row>
    <row r="104" spans="1:17" ht="15.75" customHeight="1" x14ac:dyDescent="0.3">
      <c r="A104" s="250">
        <f>VLOOKUP($B104,Reporting!$AM:$BK,MATCH(LEFT($A$101,FIND("(",$A$101)-2),Reporting!$AN$4:$BK$4,0)+1,FALSE)</f>
        <v>0</v>
      </c>
      <c r="B104" s="266" t="s">
        <v>390</v>
      </c>
      <c r="C104" s="97">
        <v>7.0000000000000007E-2</v>
      </c>
      <c r="D104" s="6">
        <v>0.61</v>
      </c>
      <c r="E104" s="7">
        <f>C104*D104</f>
        <v>4.2700000000000002E-2</v>
      </c>
      <c r="F104" s="7">
        <f t="shared" ref="F104:F118" si="76">A104*E104</f>
        <v>0</v>
      </c>
      <c r="G104" s="8">
        <f>F104/8</f>
        <v>0</v>
      </c>
      <c r="H104" s="9">
        <f t="shared" ref="H104:H118" si="77">C104</f>
        <v>7.0000000000000007E-2</v>
      </c>
      <c r="I104" s="10">
        <v>0.61</v>
      </c>
      <c r="J104" s="10">
        <f>H104*I104</f>
        <v>4.2700000000000002E-2</v>
      </c>
      <c r="K104" s="10">
        <f t="shared" ref="K104:K118" si="78">A104*J104</f>
        <v>0</v>
      </c>
      <c r="L104" s="11">
        <f>K104/8</f>
        <v>0</v>
      </c>
      <c r="M104" s="12">
        <f>H104</f>
        <v>7.0000000000000007E-2</v>
      </c>
      <c r="N104" s="13">
        <v>0.55000000000000004</v>
      </c>
      <c r="O104" s="13">
        <f>M104*N104</f>
        <v>3.8500000000000006E-2</v>
      </c>
      <c r="P104" s="13">
        <f t="shared" ref="P104:P118" si="79">A104*O104</f>
        <v>0</v>
      </c>
      <c r="Q104" s="14">
        <f>P104/8</f>
        <v>0</v>
      </c>
    </row>
    <row r="105" spans="1:17" x14ac:dyDescent="0.3">
      <c r="A105" s="250">
        <f>VLOOKUP($B105,Reporting!$AM:$BK,MATCH(LEFT($A$101,FIND("(",$A$101)-2),Reporting!$AN$4:$BK$4,0)+1,FALSE)</f>
        <v>0</v>
      </c>
      <c r="B105" s="266" t="s">
        <v>376</v>
      </c>
      <c r="C105" s="97">
        <v>0.08</v>
      </c>
      <c r="D105" s="6">
        <v>0.61</v>
      </c>
      <c r="E105" s="7">
        <f t="shared" ref="E105:E118" si="80">C105*D105</f>
        <v>4.8800000000000003E-2</v>
      </c>
      <c r="F105" s="7">
        <f t="shared" si="76"/>
        <v>0</v>
      </c>
      <c r="G105" s="8">
        <f t="shared" ref="G105:G118" si="81">F105/8</f>
        <v>0</v>
      </c>
      <c r="H105" s="9">
        <f t="shared" si="77"/>
        <v>0.08</v>
      </c>
      <c r="I105" s="10">
        <v>0.61</v>
      </c>
      <c r="J105" s="10">
        <f t="shared" ref="J105:J118" si="82">H105*I105</f>
        <v>4.8800000000000003E-2</v>
      </c>
      <c r="K105" s="10">
        <f t="shared" si="78"/>
        <v>0</v>
      </c>
      <c r="L105" s="11">
        <f t="shared" ref="L105:L118" si="83">K105/8</f>
        <v>0</v>
      </c>
      <c r="M105" s="12">
        <f t="shared" ref="M105:M118" si="84">H105</f>
        <v>0.08</v>
      </c>
      <c r="N105" s="13">
        <v>0.55000000000000004</v>
      </c>
      <c r="O105" s="13">
        <f t="shared" ref="O105:O118" si="85">M105*N105</f>
        <v>4.4000000000000004E-2</v>
      </c>
      <c r="P105" s="13">
        <f t="shared" si="79"/>
        <v>0</v>
      </c>
      <c r="Q105" s="14">
        <f t="shared" ref="Q105:Q118" si="86">P105/8</f>
        <v>0</v>
      </c>
    </row>
    <row r="106" spans="1:17" x14ac:dyDescent="0.3">
      <c r="A106" s="250">
        <f>VLOOKUP($B106,Reporting!$AM:$BK,MATCH(LEFT($A$101,FIND("(",$A$101)-2),Reporting!$AN$4:$BK$4,0)+1,FALSE)</f>
        <v>0</v>
      </c>
      <c r="B106" s="266" t="s">
        <v>391</v>
      </c>
      <c r="C106" s="97">
        <v>0.09</v>
      </c>
      <c r="D106" s="6">
        <v>0.61</v>
      </c>
      <c r="E106" s="7">
        <f t="shared" si="80"/>
        <v>5.4899999999999997E-2</v>
      </c>
      <c r="F106" s="7">
        <f t="shared" si="76"/>
        <v>0</v>
      </c>
      <c r="G106" s="8">
        <f t="shared" si="81"/>
        <v>0</v>
      </c>
      <c r="H106" s="9">
        <f t="shared" si="77"/>
        <v>0.09</v>
      </c>
      <c r="I106" s="10">
        <v>0.61</v>
      </c>
      <c r="J106" s="10">
        <f t="shared" si="82"/>
        <v>5.4899999999999997E-2</v>
      </c>
      <c r="K106" s="10">
        <f t="shared" si="78"/>
        <v>0</v>
      </c>
      <c r="L106" s="11">
        <f t="shared" si="83"/>
        <v>0</v>
      </c>
      <c r="M106" s="12">
        <f t="shared" si="84"/>
        <v>0.09</v>
      </c>
      <c r="N106" s="13">
        <v>0.55000000000000004</v>
      </c>
      <c r="O106" s="13">
        <f t="shared" si="85"/>
        <v>4.9500000000000002E-2</v>
      </c>
      <c r="P106" s="13">
        <f t="shared" si="79"/>
        <v>0</v>
      </c>
      <c r="Q106" s="14">
        <f t="shared" si="86"/>
        <v>0</v>
      </c>
    </row>
    <row r="107" spans="1:17" x14ac:dyDescent="0.3">
      <c r="A107" s="250">
        <f>VLOOKUP($B107,Reporting!$AM:$BK,MATCH(LEFT($A$101,FIND("(",$A$101)-2),Reporting!$AN$4:$BK$4,0)+1,FALSE)</f>
        <v>0</v>
      </c>
      <c r="B107" s="266" t="s">
        <v>392</v>
      </c>
      <c r="C107" s="97">
        <v>0.12</v>
      </c>
      <c r="D107" s="6">
        <v>0.61</v>
      </c>
      <c r="E107" s="7">
        <f t="shared" si="80"/>
        <v>7.3200000000000001E-2</v>
      </c>
      <c r="F107" s="7">
        <f t="shared" si="76"/>
        <v>0</v>
      </c>
      <c r="G107" s="8">
        <f t="shared" si="81"/>
        <v>0</v>
      </c>
      <c r="H107" s="9">
        <f t="shared" si="77"/>
        <v>0.12</v>
      </c>
      <c r="I107" s="10">
        <v>0.61</v>
      </c>
      <c r="J107" s="10">
        <f t="shared" si="82"/>
        <v>7.3200000000000001E-2</v>
      </c>
      <c r="K107" s="10">
        <f t="shared" si="78"/>
        <v>0</v>
      </c>
      <c r="L107" s="11">
        <f t="shared" si="83"/>
        <v>0</v>
      </c>
      <c r="M107" s="12">
        <f t="shared" si="84"/>
        <v>0.12</v>
      </c>
      <c r="N107" s="13">
        <v>0.55000000000000004</v>
      </c>
      <c r="O107" s="13">
        <f t="shared" si="85"/>
        <v>6.6000000000000003E-2</v>
      </c>
      <c r="P107" s="13">
        <f t="shared" si="79"/>
        <v>0</v>
      </c>
      <c r="Q107" s="14">
        <f t="shared" si="86"/>
        <v>0</v>
      </c>
    </row>
    <row r="108" spans="1:17" x14ac:dyDescent="0.3">
      <c r="A108" s="250">
        <f>VLOOKUP($B108,Reporting!$AM:$BK,MATCH(LEFT($A$101,FIND("(",$A$101)-2),Reporting!$AN$4:$BK$4,0)+1,FALSE)</f>
        <v>0</v>
      </c>
      <c r="B108" s="266" t="s">
        <v>393</v>
      </c>
      <c r="C108" s="97">
        <v>0.16</v>
      </c>
      <c r="D108" s="6">
        <v>0.61</v>
      </c>
      <c r="E108" s="7">
        <f t="shared" si="80"/>
        <v>9.7600000000000006E-2</v>
      </c>
      <c r="F108" s="7">
        <f t="shared" si="76"/>
        <v>0</v>
      </c>
      <c r="G108" s="8">
        <f t="shared" si="81"/>
        <v>0</v>
      </c>
      <c r="H108" s="9">
        <f t="shared" si="77"/>
        <v>0.16</v>
      </c>
      <c r="I108" s="10">
        <v>0.61</v>
      </c>
      <c r="J108" s="10">
        <f t="shared" si="82"/>
        <v>9.7600000000000006E-2</v>
      </c>
      <c r="K108" s="10">
        <f t="shared" si="78"/>
        <v>0</v>
      </c>
      <c r="L108" s="11">
        <f t="shared" si="83"/>
        <v>0</v>
      </c>
      <c r="M108" s="12">
        <f t="shared" si="84"/>
        <v>0.16</v>
      </c>
      <c r="N108" s="13">
        <v>0.55000000000000004</v>
      </c>
      <c r="O108" s="13">
        <f t="shared" si="85"/>
        <v>8.8000000000000009E-2</v>
      </c>
      <c r="P108" s="13">
        <f t="shared" si="79"/>
        <v>0</v>
      </c>
      <c r="Q108" s="14">
        <f t="shared" si="86"/>
        <v>0</v>
      </c>
    </row>
    <row r="109" spans="1:17" x14ac:dyDescent="0.3">
      <c r="A109" s="250">
        <f>VLOOKUP($B109,Reporting!$AM:$BK,MATCH(LEFT($A$101,FIND("(",$A$101)-2),Reporting!$AN$4:$BK$4,0)+1,FALSE)</f>
        <v>0</v>
      </c>
      <c r="B109" s="266" t="s">
        <v>394</v>
      </c>
      <c r="C109" s="97">
        <v>0.18</v>
      </c>
      <c r="D109" s="6">
        <v>0.61</v>
      </c>
      <c r="E109" s="7">
        <f t="shared" si="80"/>
        <v>0.10979999999999999</v>
      </c>
      <c r="F109" s="7">
        <f t="shared" si="76"/>
        <v>0</v>
      </c>
      <c r="G109" s="8">
        <f t="shared" si="81"/>
        <v>0</v>
      </c>
      <c r="H109" s="9">
        <f t="shared" si="77"/>
        <v>0.18</v>
      </c>
      <c r="I109" s="10">
        <v>0.61</v>
      </c>
      <c r="J109" s="10">
        <f t="shared" si="82"/>
        <v>0.10979999999999999</v>
      </c>
      <c r="K109" s="10">
        <f t="shared" si="78"/>
        <v>0</v>
      </c>
      <c r="L109" s="11">
        <f t="shared" si="83"/>
        <v>0</v>
      </c>
      <c r="M109" s="12">
        <f t="shared" si="84"/>
        <v>0.18</v>
      </c>
      <c r="N109" s="13">
        <v>0.55000000000000004</v>
      </c>
      <c r="O109" s="13">
        <f t="shared" si="85"/>
        <v>9.9000000000000005E-2</v>
      </c>
      <c r="P109" s="13">
        <f t="shared" si="79"/>
        <v>0</v>
      </c>
      <c r="Q109" s="14">
        <f t="shared" si="86"/>
        <v>0</v>
      </c>
    </row>
    <row r="110" spans="1:17" x14ac:dyDescent="0.3">
      <c r="A110" s="250">
        <f>VLOOKUP($B110,Reporting!$AM:$BK,MATCH(LEFT($A$101,FIND("(",$A$101)-2),Reporting!$AN$4:$BK$4,0)+1,FALSE)</f>
        <v>0</v>
      </c>
      <c r="B110" s="266" t="s">
        <v>395</v>
      </c>
      <c r="C110" s="97">
        <v>0.28000000000000003</v>
      </c>
      <c r="D110" s="6">
        <v>0.61</v>
      </c>
      <c r="E110" s="7">
        <f t="shared" si="80"/>
        <v>0.17080000000000001</v>
      </c>
      <c r="F110" s="7">
        <f t="shared" si="76"/>
        <v>0</v>
      </c>
      <c r="G110" s="8">
        <f t="shared" si="81"/>
        <v>0</v>
      </c>
      <c r="H110" s="9">
        <f t="shared" si="77"/>
        <v>0.28000000000000003</v>
      </c>
      <c r="I110" s="10">
        <v>0.61</v>
      </c>
      <c r="J110" s="10">
        <f t="shared" si="82"/>
        <v>0.17080000000000001</v>
      </c>
      <c r="K110" s="10">
        <f t="shared" si="78"/>
        <v>0</v>
      </c>
      <c r="L110" s="11">
        <f t="shared" si="83"/>
        <v>0</v>
      </c>
      <c r="M110" s="12">
        <f t="shared" si="84"/>
        <v>0.28000000000000003</v>
      </c>
      <c r="N110" s="13">
        <v>0.55000000000000004</v>
      </c>
      <c r="O110" s="13">
        <f t="shared" si="85"/>
        <v>0.15400000000000003</v>
      </c>
      <c r="P110" s="13">
        <f t="shared" si="79"/>
        <v>0</v>
      </c>
      <c r="Q110" s="14">
        <f t="shared" si="86"/>
        <v>0</v>
      </c>
    </row>
    <row r="111" spans="1:17" x14ac:dyDescent="0.3">
      <c r="A111" s="250">
        <f>VLOOKUP($B111,Reporting!$AM:$BK,MATCH(LEFT($A$101,FIND("(",$A$101)-2),Reporting!$AN$4:$BK$4,0)+1,FALSE)</f>
        <v>0</v>
      </c>
      <c r="B111" s="266" t="s">
        <v>396</v>
      </c>
      <c r="C111" s="97">
        <v>0.43</v>
      </c>
      <c r="D111" s="6">
        <v>0.61</v>
      </c>
      <c r="E111" s="7">
        <f t="shared" si="80"/>
        <v>0.26229999999999998</v>
      </c>
      <c r="F111" s="7">
        <f t="shared" si="76"/>
        <v>0</v>
      </c>
      <c r="G111" s="8">
        <f t="shared" si="81"/>
        <v>0</v>
      </c>
      <c r="H111" s="9">
        <f t="shared" si="77"/>
        <v>0.43</v>
      </c>
      <c r="I111" s="10">
        <v>0.61</v>
      </c>
      <c r="J111" s="10">
        <f t="shared" si="82"/>
        <v>0.26229999999999998</v>
      </c>
      <c r="K111" s="10">
        <f t="shared" si="78"/>
        <v>0</v>
      </c>
      <c r="L111" s="11">
        <f t="shared" si="83"/>
        <v>0</v>
      </c>
      <c r="M111" s="12">
        <f t="shared" si="84"/>
        <v>0.43</v>
      </c>
      <c r="N111" s="13">
        <v>0.55000000000000004</v>
      </c>
      <c r="O111" s="13">
        <f t="shared" si="85"/>
        <v>0.23650000000000002</v>
      </c>
      <c r="P111" s="13">
        <f t="shared" si="79"/>
        <v>0</v>
      </c>
      <c r="Q111" s="14">
        <f t="shared" si="86"/>
        <v>0</v>
      </c>
    </row>
    <row r="112" spans="1:17" x14ac:dyDescent="0.3">
      <c r="A112" s="250">
        <f>VLOOKUP($B112,Reporting!$AM:$BK,MATCH(LEFT($A$101,FIND("(",$A$101)-2),Reporting!$AN$4:$BK$4,0)+1,FALSE)</f>
        <v>0</v>
      </c>
      <c r="B112" s="266" t="s">
        <v>397</v>
      </c>
      <c r="C112" s="97">
        <v>0.48</v>
      </c>
      <c r="D112" s="6">
        <v>0.61</v>
      </c>
      <c r="E112" s="7">
        <f t="shared" si="80"/>
        <v>0.2928</v>
      </c>
      <c r="F112" s="7">
        <f t="shared" si="76"/>
        <v>0</v>
      </c>
      <c r="G112" s="8">
        <f t="shared" si="81"/>
        <v>0</v>
      </c>
      <c r="H112" s="9">
        <f t="shared" si="77"/>
        <v>0.48</v>
      </c>
      <c r="I112" s="10">
        <v>0.61</v>
      </c>
      <c r="J112" s="10">
        <f t="shared" si="82"/>
        <v>0.2928</v>
      </c>
      <c r="K112" s="10">
        <f t="shared" si="78"/>
        <v>0</v>
      </c>
      <c r="L112" s="11">
        <f t="shared" si="83"/>
        <v>0</v>
      </c>
      <c r="M112" s="12">
        <f t="shared" si="84"/>
        <v>0.48</v>
      </c>
      <c r="N112" s="13">
        <v>0.55000000000000004</v>
      </c>
      <c r="O112" s="13">
        <f t="shared" si="85"/>
        <v>0.26400000000000001</v>
      </c>
      <c r="P112" s="13">
        <f t="shared" si="79"/>
        <v>0</v>
      </c>
      <c r="Q112" s="14">
        <f t="shared" si="86"/>
        <v>0</v>
      </c>
    </row>
    <row r="113" spans="1:17" x14ac:dyDescent="0.3">
      <c r="A113" s="250">
        <f>VLOOKUP($B113,Reporting!$AM:$BK,MATCH(LEFT($A$101,FIND("(",$A$101)-2),Reporting!$AN$4:$BK$4,0)+1,FALSE)</f>
        <v>0</v>
      </c>
      <c r="B113" s="266" t="s">
        <v>398</v>
      </c>
      <c r="C113" s="97">
        <v>0.55000000000000004</v>
      </c>
      <c r="D113" s="6">
        <v>0.61</v>
      </c>
      <c r="E113" s="7">
        <f t="shared" si="80"/>
        <v>0.33550000000000002</v>
      </c>
      <c r="F113" s="7">
        <f t="shared" si="76"/>
        <v>0</v>
      </c>
      <c r="G113" s="8">
        <f t="shared" si="81"/>
        <v>0</v>
      </c>
      <c r="H113" s="9">
        <f t="shared" si="77"/>
        <v>0.55000000000000004</v>
      </c>
      <c r="I113" s="10">
        <v>0.61</v>
      </c>
      <c r="J113" s="10">
        <f t="shared" si="82"/>
        <v>0.33550000000000002</v>
      </c>
      <c r="K113" s="10">
        <f t="shared" si="78"/>
        <v>0</v>
      </c>
      <c r="L113" s="11">
        <f t="shared" si="83"/>
        <v>0</v>
      </c>
      <c r="M113" s="12">
        <f t="shared" si="84"/>
        <v>0.55000000000000004</v>
      </c>
      <c r="N113" s="13">
        <v>0.55000000000000004</v>
      </c>
      <c r="O113" s="13">
        <f t="shared" si="85"/>
        <v>0.30250000000000005</v>
      </c>
      <c r="P113" s="13">
        <f t="shared" si="79"/>
        <v>0</v>
      </c>
      <c r="Q113" s="14">
        <f t="shared" si="86"/>
        <v>0</v>
      </c>
    </row>
    <row r="114" spans="1:17" x14ac:dyDescent="0.3">
      <c r="A114" s="250">
        <f>VLOOKUP($B114,Reporting!$AM:$BK,MATCH(LEFT($A$101,FIND("(",$A$101)-2),Reporting!$AN$4:$BK$4,0)+1,FALSE)</f>
        <v>0</v>
      </c>
      <c r="B114" s="266" t="s">
        <v>399</v>
      </c>
      <c r="C114" s="97">
        <v>0.67</v>
      </c>
      <c r="D114" s="6">
        <v>0.61</v>
      </c>
      <c r="E114" s="7">
        <f t="shared" si="80"/>
        <v>0.40870000000000001</v>
      </c>
      <c r="F114" s="7">
        <f t="shared" si="76"/>
        <v>0</v>
      </c>
      <c r="G114" s="8">
        <f t="shared" si="81"/>
        <v>0</v>
      </c>
      <c r="H114" s="9">
        <f t="shared" si="77"/>
        <v>0.67</v>
      </c>
      <c r="I114" s="10">
        <v>0.61</v>
      </c>
      <c r="J114" s="10">
        <f t="shared" si="82"/>
        <v>0.40870000000000001</v>
      </c>
      <c r="K114" s="10">
        <f t="shared" si="78"/>
        <v>0</v>
      </c>
      <c r="L114" s="11">
        <f t="shared" si="83"/>
        <v>0</v>
      </c>
      <c r="M114" s="12">
        <f t="shared" si="84"/>
        <v>0.67</v>
      </c>
      <c r="N114" s="13">
        <v>0.55000000000000004</v>
      </c>
      <c r="O114" s="13">
        <f t="shared" si="85"/>
        <v>0.36850000000000005</v>
      </c>
      <c r="P114" s="13">
        <f t="shared" si="79"/>
        <v>0</v>
      </c>
      <c r="Q114" s="14">
        <f t="shared" si="86"/>
        <v>0</v>
      </c>
    </row>
    <row r="115" spans="1:17" x14ac:dyDescent="0.3">
      <c r="A115" s="250">
        <f>VLOOKUP($B115,Reporting!$AM:$BK,MATCH(LEFT($A$101,FIND("(",$A$101)-2),Reporting!$AN$4:$BK$4,0)+1,FALSE)</f>
        <v>0</v>
      </c>
      <c r="B115" s="266" t="s">
        <v>400</v>
      </c>
      <c r="C115" s="97">
        <v>0.87</v>
      </c>
      <c r="D115" s="6">
        <v>0.61</v>
      </c>
      <c r="E115" s="7">
        <f t="shared" si="80"/>
        <v>0.53069999999999995</v>
      </c>
      <c r="F115" s="7">
        <f t="shared" si="76"/>
        <v>0</v>
      </c>
      <c r="G115" s="8">
        <f t="shared" si="81"/>
        <v>0</v>
      </c>
      <c r="H115" s="9">
        <f t="shared" si="77"/>
        <v>0.87</v>
      </c>
      <c r="I115" s="10">
        <v>0.61</v>
      </c>
      <c r="J115" s="10">
        <f t="shared" si="82"/>
        <v>0.53069999999999995</v>
      </c>
      <c r="K115" s="10">
        <f t="shared" si="78"/>
        <v>0</v>
      </c>
      <c r="L115" s="11">
        <f t="shared" si="83"/>
        <v>0</v>
      </c>
      <c r="M115" s="12">
        <f t="shared" si="84"/>
        <v>0.87</v>
      </c>
      <c r="N115" s="13">
        <v>0.55000000000000004</v>
      </c>
      <c r="O115" s="13">
        <f t="shared" si="85"/>
        <v>0.47850000000000004</v>
      </c>
      <c r="P115" s="13">
        <f t="shared" si="79"/>
        <v>0</v>
      </c>
      <c r="Q115" s="14">
        <f t="shared" si="86"/>
        <v>0</v>
      </c>
    </row>
    <row r="116" spans="1:17" x14ac:dyDescent="0.3">
      <c r="A116" s="250">
        <f>VLOOKUP($B116,Reporting!$AM:$BK,MATCH(LEFT($A$101,FIND("(",$A$101)-2),Reporting!$AN$4:$BK$4,0)+1,FALSE)</f>
        <v>0</v>
      </c>
      <c r="B116" s="266" t="s">
        <v>401</v>
      </c>
      <c r="C116" s="97">
        <v>1.07</v>
      </c>
      <c r="D116" s="6">
        <v>0.61</v>
      </c>
      <c r="E116" s="7">
        <f t="shared" si="80"/>
        <v>0.65270000000000006</v>
      </c>
      <c r="F116" s="7">
        <f t="shared" si="76"/>
        <v>0</v>
      </c>
      <c r="G116" s="8">
        <f t="shared" si="81"/>
        <v>0</v>
      </c>
      <c r="H116" s="9">
        <f t="shared" si="77"/>
        <v>1.07</v>
      </c>
      <c r="I116" s="10">
        <v>0.61</v>
      </c>
      <c r="J116" s="10">
        <f t="shared" si="82"/>
        <v>0.65270000000000006</v>
      </c>
      <c r="K116" s="10">
        <f t="shared" si="78"/>
        <v>0</v>
      </c>
      <c r="L116" s="11">
        <f t="shared" si="83"/>
        <v>0</v>
      </c>
      <c r="M116" s="12">
        <f t="shared" si="84"/>
        <v>1.07</v>
      </c>
      <c r="N116" s="13">
        <v>0.55000000000000004</v>
      </c>
      <c r="O116" s="13">
        <f t="shared" si="85"/>
        <v>0.58850000000000013</v>
      </c>
      <c r="P116" s="13">
        <f t="shared" si="79"/>
        <v>0</v>
      </c>
      <c r="Q116" s="14">
        <f t="shared" si="86"/>
        <v>0</v>
      </c>
    </row>
    <row r="117" spans="1:17" x14ac:dyDescent="0.3">
      <c r="A117" s="250">
        <f>VLOOKUP($B117,Reporting!$AM:$BK,MATCH(LEFT($A$101,FIND("(",$A$101)-2),Reporting!$AN$4:$BK$4,0)+1,FALSE)</f>
        <v>0</v>
      </c>
      <c r="B117" s="266" t="s">
        <v>402</v>
      </c>
      <c r="C117" s="97">
        <v>1.21</v>
      </c>
      <c r="D117" s="6">
        <v>0.61</v>
      </c>
      <c r="E117" s="7">
        <f t="shared" si="80"/>
        <v>0.73809999999999998</v>
      </c>
      <c r="F117" s="7">
        <f t="shared" si="76"/>
        <v>0</v>
      </c>
      <c r="G117" s="8">
        <f t="shared" si="81"/>
        <v>0</v>
      </c>
      <c r="H117" s="9">
        <f t="shared" si="77"/>
        <v>1.21</v>
      </c>
      <c r="I117" s="10">
        <v>0.61</v>
      </c>
      <c r="J117" s="10">
        <f t="shared" si="82"/>
        <v>0.73809999999999998</v>
      </c>
      <c r="K117" s="10">
        <f t="shared" si="78"/>
        <v>0</v>
      </c>
      <c r="L117" s="11">
        <f t="shared" si="83"/>
        <v>0</v>
      </c>
      <c r="M117" s="12">
        <f t="shared" si="84"/>
        <v>1.21</v>
      </c>
      <c r="N117" s="13">
        <v>0.55000000000000004</v>
      </c>
      <c r="O117" s="13">
        <f t="shared" si="85"/>
        <v>0.66549999999999998</v>
      </c>
      <c r="P117" s="13">
        <f t="shared" si="79"/>
        <v>0</v>
      </c>
      <c r="Q117" s="14">
        <f t="shared" si="86"/>
        <v>0</v>
      </c>
    </row>
    <row r="118" spans="1:17" x14ac:dyDescent="0.3">
      <c r="A118" s="250">
        <f>VLOOKUP($B118,Reporting!$AM:$BK,MATCH(LEFT($A$101,FIND("(",$A$101)-2),Reporting!$AN$4:$BK$4,0)+1,FALSE)</f>
        <v>0</v>
      </c>
      <c r="B118" s="266" t="s">
        <v>403</v>
      </c>
      <c r="C118" s="97">
        <v>2.1</v>
      </c>
      <c r="D118" s="6">
        <v>0.61</v>
      </c>
      <c r="E118" s="7">
        <f t="shared" si="80"/>
        <v>1.2809999999999999</v>
      </c>
      <c r="F118" s="7">
        <f t="shared" si="76"/>
        <v>0</v>
      </c>
      <c r="G118" s="8">
        <f t="shared" si="81"/>
        <v>0</v>
      </c>
      <c r="H118" s="9">
        <f t="shared" si="77"/>
        <v>2.1</v>
      </c>
      <c r="I118" s="10">
        <v>0.61</v>
      </c>
      <c r="J118" s="10">
        <f t="shared" si="82"/>
        <v>1.2809999999999999</v>
      </c>
      <c r="K118" s="10">
        <f t="shared" si="78"/>
        <v>0</v>
      </c>
      <c r="L118" s="11">
        <f t="shared" si="83"/>
        <v>0</v>
      </c>
      <c r="M118" s="12">
        <f t="shared" si="84"/>
        <v>2.1</v>
      </c>
      <c r="N118" s="13">
        <v>0.55000000000000004</v>
      </c>
      <c r="O118" s="13">
        <f t="shared" si="85"/>
        <v>1.1550000000000002</v>
      </c>
      <c r="P118" s="13">
        <f t="shared" si="79"/>
        <v>0</v>
      </c>
      <c r="Q118" s="14">
        <f t="shared" si="86"/>
        <v>0</v>
      </c>
    </row>
    <row r="119" spans="1:17" ht="15" thickBot="1" x14ac:dyDescent="0.35">
      <c r="A119" s="3">
        <f>SUM(A103:A118)</f>
        <v>0</v>
      </c>
      <c r="B119" s="267"/>
      <c r="C119" s="4"/>
      <c r="D119" s="644" t="s">
        <v>9</v>
      </c>
      <c r="E119" s="645"/>
      <c r="F119" s="645"/>
      <c r="G119" s="16">
        <f>SUM(G103:G118)</f>
        <v>0</v>
      </c>
      <c r="H119" s="1"/>
      <c r="I119" s="646" t="s">
        <v>10</v>
      </c>
      <c r="J119" s="646"/>
      <c r="K119" s="646"/>
      <c r="L119" s="17">
        <f>SUM(L103:L118)</f>
        <v>0</v>
      </c>
      <c r="M119" s="15"/>
      <c r="N119" s="647" t="s">
        <v>11</v>
      </c>
      <c r="O119" s="647"/>
      <c r="P119" s="647"/>
      <c r="Q119" s="18">
        <f>SUM(Q103:Q118)</f>
        <v>0</v>
      </c>
    </row>
    <row r="120" spans="1:17" ht="15" thickBot="1" x14ac:dyDescent="0.35"/>
    <row r="121" spans="1:17" ht="15" customHeight="1" x14ac:dyDescent="0.3">
      <c r="A121" s="689" t="s">
        <v>189</v>
      </c>
      <c r="B121" s="689"/>
      <c r="C121" s="689"/>
      <c r="D121" s="689"/>
      <c r="E121" s="689"/>
      <c r="F121" s="698" t="s">
        <v>121</v>
      </c>
      <c r="G121" s="698"/>
      <c r="H121" s="698"/>
      <c r="I121" s="2"/>
      <c r="J121" s="2"/>
      <c r="K121" s="2"/>
      <c r="L121" s="2"/>
      <c r="M121" s="2"/>
      <c r="N121" s="2"/>
      <c r="O121" s="2"/>
      <c r="P121" s="2"/>
      <c r="Q121" s="5"/>
    </row>
    <row r="122" spans="1:17" ht="15" customHeight="1" x14ac:dyDescent="0.3">
      <c r="A122" s="690"/>
      <c r="B122" s="690"/>
      <c r="C122" s="690"/>
      <c r="D122" s="690"/>
      <c r="E122" s="690"/>
      <c r="F122" s="699"/>
      <c r="G122" s="699"/>
      <c r="H122" s="699"/>
      <c r="I122" s="29"/>
      <c r="J122" s="29"/>
      <c r="K122" s="29"/>
      <c r="L122" s="29"/>
      <c r="M122" s="29"/>
      <c r="N122" s="29"/>
      <c r="O122" s="29"/>
      <c r="P122" s="29"/>
      <c r="Q122" s="30"/>
    </row>
    <row r="123" spans="1:17" ht="15" customHeight="1" x14ac:dyDescent="0.3">
      <c r="A123" s="250">
        <f>VLOOKUP($B123,Reporting!$AM:$BK,MATCH($A$121,Reporting!$AN$4:$BK$4,0)+1,FALSE)</f>
        <v>0</v>
      </c>
      <c r="B123" s="262" t="s">
        <v>371</v>
      </c>
      <c r="C123" s="114">
        <v>0.48</v>
      </c>
      <c r="D123" s="6">
        <v>0.61</v>
      </c>
      <c r="E123" s="7">
        <f t="shared" ref="E123:E128" si="87">C123*D123</f>
        <v>0.2928</v>
      </c>
      <c r="F123" s="7">
        <f>A123*E123</f>
        <v>0</v>
      </c>
      <c r="G123" s="8">
        <f t="shared" ref="G123:G128" si="88">F123/8</f>
        <v>0</v>
      </c>
      <c r="H123" s="9">
        <f>C123</f>
        <v>0.48</v>
      </c>
      <c r="I123" s="10">
        <v>0.61</v>
      </c>
      <c r="J123" s="10">
        <f t="shared" ref="J123:J128" si="89">H123*I123</f>
        <v>0.2928</v>
      </c>
      <c r="K123" s="10">
        <f>A123*J123</f>
        <v>0</v>
      </c>
      <c r="L123" s="11">
        <f t="shared" ref="L123:L128" si="90">K123/8</f>
        <v>0</v>
      </c>
      <c r="M123" s="12">
        <f t="shared" ref="M123:M128" si="91">H123</f>
        <v>0.48</v>
      </c>
      <c r="N123" s="13">
        <v>0.45</v>
      </c>
      <c r="O123" s="13">
        <f t="shared" ref="O123:O128" si="92">M123*N123</f>
        <v>0.216</v>
      </c>
      <c r="P123" s="13">
        <f>A123*O123</f>
        <v>0</v>
      </c>
      <c r="Q123" s="14">
        <f t="shared" ref="Q123:Q128" si="93">P123/8</f>
        <v>0</v>
      </c>
    </row>
    <row r="124" spans="1:17" ht="15" customHeight="1" x14ac:dyDescent="0.3">
      <c r="A124" s="250">
        <f>VLOOKUP($B124,Reporting!$AM:$BK,MATCH($A$121,Reporting!$AN$4:$BK$4,0)+1,FALSE)</f>
        <v>0</v>
      </c>
      <c r="B124" s="262" t="s">
        <v>372</v>
      </c>
      <c r="C124" s="114">
        <v>0.72</v>
      </c>
      <c r="D124" s="6">
        <v>0.61</v>
      </c>
      <c r="E124" s="7">
        <f t="shared" si="87"/>
        <v>0.43919999999999998</v>
      </c>
      <c r="F124" s="7">
        <f t="shared" ref="F124:F135" si="94">A124*E124</f>
        <v>0</v>
      </c>
      <c r="G124" s="8">
        <f t="shared" si="88"/>
        <v>0</v>
      </c>
      <c r="H124" s="9">
        <f t="shared" ref="H124:H135" si="95">C124</f>
        <v>0.72</v>
      </c>
      <c r="I124" s="10">
        <v>0.61</v>
      </c>
      <c r="J124" s="10">
        <f t="shared" si="89"/>
        <v>0.43919999999999998</v>
      </c>
      <c r="K124" s="10">
        <f t="shared" ref="K124:K135" si="96">A124*J124</f>
        <v>0</v>
      </c>
      <c r="L124" s="11">
        <f t="shared" si="90"/>
        <v>0</v>
      </c>
      <c r="M124" s="12">
        <f t="shared" si="91"/>
        <v>0.72</v>
      </c>
      <c r="N124" s="13">
        <v>0.45</v>
      </c>
      <c r="O124" s="13">
        <f t="shared" si="92"/>
        <v>0.32400000000000001</v>
      </c>
      <c r="P124" s="13">
        <f t="shared" ref="P124:P135" si="97">A124*O124</f>
        <v>0</v>
      </c>
      <c r="Q124" s="14">
        <f t="shared" si="93"/>
        <v>0</v>
      </c>
    </row>
    <row r="125" spans="1:17" ht="15" customHeight="1" x14ac:dyDescent="0.3">
      <c r="A125" s="250">
        <f>VLOOKUP($B125,Reporting!$AM:$BK,MATCH($A$121,Reporting!$AN$4:$BK$4,0)+1,FALSE)</f>
        <v>0</v>
      </c>
      <c r="B125" s="262" t="s">
        <v>389</v>
      </c>
      <c r="C125" s="114">
        <v>0.96</v>
      </c>
      <c r="D125" s="6">
        <v>0.61</v>
      </c>
      <c r="E125" s="7">
        <f t="shared" si="87"/>
        <v>0.58560000000000001</v>
      </c>
      <c r="F125" s="7">
        <f t="shared" si="94"/>
        <v>0</v>
      </c>
      <c r="G125" s="8">
        <f t="shared" si="88"/>
        <v>0</v>
      </c>
      <c r="H125" s="9">
        <f t="shared" si="95"/>
        <v>0.96</v>
      </c>
      <c r="I125" s="10">
        <v>0.61</v>
      </c>
      <c r="J125" s="10">
        <f t="shared" si="89"/>
        <v>0.58560000000000001</v>
      </c>
      <c r="K125" s="10">
        <f t="shared" si="96"/>
        <v>0</v>
      </c>
      <c r="L125" s="11">
        <f t="shared" si="90"/>
        <v>0</v>
      </c>
      <c r="M125" s="12">
        <f t="shared" si="91"/>
        <v>0.96</v>
      </c>
      <c r="N125" s="13">
        <v>0.45</v>
      </c>
      <c r="O125" s="13">
        <f t="shared" si="92"/>
        <v>0.432</v>
      </c>
      <c r="P125" s="13">
        <f t="shared" si="97"/>
        <v>0</v>
      </c>
      <c r="Q125" s="14">
        <f t="shared" si="93"/>
        <v>0</v>
      </c>
    </row>
    <row r="126" spans="1:17" ht="15" customHeight="1" x14ac:dyDescent="0.3">
      <c r="A126" s="250">
        <f>VLOOKUP($B126,Reporting!$AM:$BK,MATCH($A$121,Reporting!$AN$4:$BK$4,0)+1,FALSE)</f>
        <v>0</v>
      </c>
      <c r="B126" s="262" t="s">
        <v>373</v>
      </c>
      <c r="C126" s="114">
        <v>1.2</v>
      </c>
      <c r="D126" s="6">
        <v>0.61</v>
      </c>
      <c r="E126" s="7">
        <f t="shared" si="87"/>
        <v>0.73199999999999998</v>
      </c>
      <c r="F126" s="7">
        <f t="shared" si="94"/>
        <v>0</v>
      </c>
      <c r="G126" s="8">
        <f t="shared" si="88"/>
        <v>0</v>
      </c>
      <c r="H126" s="9">
        <f t="shared" si="95"/>
        <v>1.2</v>
      </c>
      <c r="I126" s="10">
        <v>0.61</v>
      </c>
      <c r="J126" s="10">
        <f t="shared" si="89"/>
        <v>0.73199999999999998</v>
      </c>
      <c r="K126" s="10">
        <f t="shared" si="96"/>
        <v>0</v>
      </c>
      <c r="L126" s="11">
        <f t="shared" si="90"/>
        <v>0</v>
      </c>
      <c r="M126" s="12">
        <f t="shared" si="91"/>
        <v>1.2</v>
      </c>
      <c r="N126" s="13">
        <v>0.45</v>
      </c>
      <c r="O126" s="13">
        <f t="shared" si="92"/>
        <v>0.54</v>
      </c>
      <c r="P126" s="13">
        <f t="shared" si="97"/>
        <v>0</v>
      </c>
      <c r="Q126" s="14">
        <f t="shared" si="93"/>
        <v>0</v>
      </c>
    </row>
    <row r="127" spans="1:17" ht="15" customHeight="1" x14ac:dyDescent="0.3">
      <c r="A127" s="250">
        <f>VLOOKUP($B127,Reporting!$AM:$BK,MATCH($A$121,Reporting!$AN$4:$BK$4,0)+1,FALSE)</f>
        <v>0</v>
      </c>
      <c r="B127" s="262" t="s">
        <v>374</v>
      </c>
      <c r="C127" s="114">
        <v>1.44</v>
      </c>
      <c r="D127" s="6">
        <v>0.61</v>
      </c>
      <c r="E127" s="7">
        <f t="shared" si="87"/>
        <v>0.87839999999999996</v>
      </c>
      <c r="F127" s="7">
        <f t="shared" si="94"/>
        <v>0</v>
      </c>
      <c r="G127" s="8">
        <f t="shared" si="88"/>
        <v>0</v>
      </c>
      <c r="H127" s="9">
        <f t="shared" si="95"/>
        <v>1.44</v>
      </c>
      <c r="I127" s="10">
        <v>0.61</v>
      </c>
      <c r="J127" s="10">
        <f t="shared" si="89"/>
        <v>0.87839999999999996</v>
      </c>
      <c r="K127" s="10">
        <f t="shared" si="96"/>
        <v>0</v>
      </c>
      <c r="L127" s="11">
        <f t="shared" si="90"/>
        <v>0</v>
      </c>
      <c r="M127" s="12">
        <f t="shared" si="91"/>
        <v>1.44</v>
      </c>
      <c r="N127" s="13">
        <v>0.45</v>
      </c>
      <c r="O127" s="13">
        <f t="shared" si="92"/>
        <v>0.64800000000000002</v>
      </c>
      <c r="P127" s="13">
        <f t="shared" si="97"/>
        <v>0</v>
      </c>
      <c r="Q127" s="14">
        <f t="shared" si="93"/>
        <v>0</v>
      </c>
    </row>
    <row r="128" spans="1:17" ht="15.75" customHeight="1" x14ac:dyDescent="0.3">
      <c r="A128" s="250">
        <f>VLOOKUP($B128,Reporting!$AM:$BK,MATCH($A$121,Reporting!$AN$4:$BK$4,0)+1,FALSE)</f>
        <v>0</v>
      </c>
      <c r="B128" s="266" t="s">
        <v>390</v>
      </c>
      <c r="C128" s="97">
        <v>1.92</v>
      </c>
      <c r="D128" s="6">
        <v>0.61</v>
      </c>
      <c r="E128" s="7">
        <f t="shared" si="87"/>
        <v>1.1712</v>
      </c>
      <c r="F128" s="7">
        <f t="shared" si="94"/>
        <v>0</v>
      </c>
      <c r="G128" s="8">
        <f t="shared" si="88"/>
        <v>0</v>
      </c>
      <c r="H128" s="9">
        <f t="shared" si="95"/>
        <v>1.92</v>
      </c>
      <c r="I128" s="10">
        <v>0.61</v>
      </c>
      <c r="J128" s="10">
        <f t="shared" si="89"/>
        <v>1.1712</v>
      </c>
      <c r="K128" s="10">
        <f t="shared" si="96"/>
        <v>0</v>
      </c>
      <c r="L128" s="11">
        <f t="shared" si="90"/>
        <v>0</v>
      </c>
      <c r="M128" s="12">
        <f t="shared" si="91"/>
        <v>1.92</v>
      </c>
      <c r="N128" s="13">
        <v>0.45</v>
      </c>
      <c r="O128" s="13">
        <f t="shared" si="92"/>
        <v>0.86399999999999999</v>
      </c>
      <c r="P128" s="13">
        <f t="shared" si="97"/>
        <v>0</v>
      </c>
      <c r="Q128" s="14">
        <f t="shared" si="93"/>
        <v>0</v>
      </c>
    </row>
    <row r="129" spans="1:17" x14ac:dyDescent="0.3">
      <c r="A129" s="250">
        <f>VLOOKUP($B129,Reporting!$AM:$BK,MATCH($A$121,Reporting!$AN$4:$BK$4,0)+1,FALSE)</f>
        <v>0</v>
      </c>
      <c r="B129" s="266" t="s">
        <v>376</v>
      </c>
      <c r="C129" s="97">
        <v>2.2999999999999998</v>
      </c>
      <c r="D129" s="6">
        <v>0.61</v>
      </c>
      <c r="E129" s="7">
        <f t="shared" ref="E129:E135" si="98">C129*D129</f>
        <v>1.4029999999999998</v>
      </c>
      <c r="F129" s="7">
        <f t="shared" si="94"/>
        <v>0</v>
      </c>
      <c r="G129" s="8">
        <f t="shared" ref="G129:G135" si="99">F129/8</f>
        <v>0</v>
      </c>
      <c r="H129" s="9">
        <f t="shared" si="95"/>
        <v>2.2999999999999998</v>
      </c>
      <c r="I129" s="10">
        <v>0.61</v>
      </c>
      <c r="J129" s="10">
        <f t="shared" ref="J129:J135" si="100">H129*I129</f>
        <v>1.4029999999999998</v>
      </c>
      <c r="K129" s="10">
        <f t="shared" si="96"/>
        <v>0</v>
      </c>
      <c r="L129" s="11">
        <f t="shared" ref="L129:L135" si="101">K129/8</f>
        <v>0</v>
      </c>
      <c r="M129" s="12">
        <f t="shared" ref="M129:M135" si="102">H129</f>
        <v>2.2999999999999998</v>
      </c>
      <c r="N129" s="13">
        <v>0.45</v>
      </c>
      <c r="O129" s="13">
        <f t="shared" ref="O129:O135" si="103">M129*N129</f>
        <v>1.0349999999999999</v>
      </c>
      <c r="P129" s="13">
        <f t="shared" si="97"/>
        <v>0</v>
      </c>
      <c r="Q129" s="14">
        <f t="shared" ref="Q129:Q135" si="104">P129/8</f>
        <v>0</v>
      </c>
    </row>
    <row r="130" spans="1:17" x14ac:dyDescent="0.3">
      <c r="A130" s="250">
        <f>VLOOKUP($B130,Reporting!$AM:$BK,MATCH($A$121,Reporting!$AN$4:$BK$4,0)+1,FALSE)</f>
        <v>0</v>
      </c>
      <c r="B130" s="266" t="s">
        <v>391</v>
      </c>
      <c r="C130" s="97">
        <v>2.6</v>
      </c>
      <c r="D130" s="6">
        <v>0.61</v>
      </c>
      <c r="E130" s="7">
        <f t="shared" si="98"/>
        <v>1.5860000000000001</v>
      </c>
      <c r="F130" s="7">
        <f t="shared" si="94"/>
        <v>0</v>
      </c>
      <c r="G130" s="8">
        <f t="shared" si="99"/>
        <v>0</v>
      </c>
      <c r="H130" s="9">
        <f t="shared" si="95"/>
        <v>2.6</v>
      </c>
      <c r="I130" s="10">
        <v>0.61</v>
      </c>
      <c r="J130" s="10">
        <f t="shared" si="100"/>
        <v>1.5860000000000001</v>
      </c>
      <c r="K130" s="10">
        <f t="shared" si="96"/>
        <v>0</v>
      </c>
      <c r="L130" s="11">
        <f t="shared" si="101"/>
        <v>0</v>
      </c>
      <c r="M130" s="12">
        <f t="shared" si="102"/>
        <v>2.6</v>
      </c>
      <c r="N130" s="13">
        <v>0.45</v>
      </c>
      <c r="O130" s="13">
        <f t="shared" si="103"/>
        <v>1.1700000000000002</v>
      </c>
      <c r="P130" s="13">
        <f t="shared" si="97"/>
        <v>0</v>
      </c>
      <c r="Q130" s="14">
        <f t="shared" si="104"/>
        <v>0</v>
      </c>
    </row>
    <row r="131" spans="1:17" x14ac:dyDescent="0.3">
      <c r="A131" s="250">
        <f>VLOOKUP($B131,Reporting!$AM:$BK,MATCH($A$121,Reporting!$AN$4:$BK$4,0)+1,FALSE)</f>
        <v>0</v>
      </c>
      <c r="B131" s="266" t="s">
        <v>392</v>
      </c>
      <c r="C131" s="97">
        <v>3.06</v>
      </c>
      <c r="D131" s="6">
        <v>0.61</v>
      </c>
      <c r="E131" s="7">
        <f t="shared" si="98"/>
        <v>1.8666</v>
      </c>
      <c r="F131" s="7">
        <f t="shared" si="94"/>
        <v>0</v>
      </c>
      <c r="G131" s="8">
        <f t="shared" si="99"/>
        <v>0</v>
      </c>
      <c r="H131" s="9">
        <f t="shared" si="95"/>
        <v>3.06</v>
      </c>
      <c r="I131" s="10">
        <v>0.61</v>
      </c>
      <c r="J131" s="10">
        <f t="shared" si="100"/>
        <v>1.8666</v>
      </c>
      <c r="K131" s="10">
        <f t="shared" si="96"/>
        <v>0</v>
      </c>
      <c r="L131" s="11">
        <f t="shared" si="101"/>
        <v>0</v>
      </c>
      <c r="M131" s="12">
        <f t="shared" si="102"/>
        <v>3.06</v>
      </c>
      <c r="N131" s="13">
        <v>0.45</v>
      </c>
      <c r="O131" s="13">
        <f t="shared" si="103"/>
        <v>1.377</v>
      </c>
      <c r="P131" s="13">
        <f t="shared" si="97"/>
        <v>0</v>
      </c>
      <c r="Q131" s="14">
        <f t="shared" si="104"/>
        <v>0</v>
      </c>
    </row>
    <row r="132" spans="1:17" x14ac:dyDescent="0.3">
      <c r="A132" s="250">
        <f>VLOOKUP($B132,Reporting!$AM:$BK,MATCH($A$121,Reporting!$AN$4:$BK$4,0)+1,FALSE)</f>
        <v>0</v>
      </c>
      <c r="B132" s="266" t="s">
        <v>393</v>
      </c>
      <c r="C132" s="97">
        <v>3.44</v>
      </c>
      <c r="D132" s="6">
        <v>0.61</v>
      </c>
      <c r="E132" s="7">
        <f t="shared" si="98"/>
        <v>2.0983999999999998</v>
      </c>
      <c r="F132" s="7">
        <f t="shared" si="94"/>
        <v>0</v>
      </c>
      <c r="G132" s="8">
        <f t="shared" si="99"/>
        <v>0</v>
      </c>
      <c r="H132" s="9">
        <f t="shared" si="95"/>
        <v>3.44</v>
      </c>
      <c r="I132" s="10">
        <v>0.61</v>
      </c>
      <c r="J132" s="10">
        <f t="shared" si="100"/>
        <v>2.0983999999999998</v>
      </c>
      <c r="K132" s="10">
        <f t="shared" si="96"/>
        <v>0</v>
      </c>
      <c r="L132" s="11">
        <f t="shared" si="101"/>
        <v>0</v>
      </c>
      <c r="M132" s="12">
        <f t="shared" si="102"/>
        <v>3.44</v>
      </c>
      <c r="N132" s="13">
        <v>0.45</v>
      </c>
      <c r="O132" s="13">
        <f t="shared" si="103"/>
        <v>1.548</v>
      </c>
      <c r="P132" s="13">
        <f t="shared" si="97"/>
        <v>0</v>
      </c>
      <c r="Q132" s="14">
        <f t="shared" si="104"/>
        <v>0</v>
      </c>
    </row>
    <row r="133" spans="1:17" x14ac:dyDescent="0.3">
      <c r="A133" s="250">
        <f>VLOOKUP($B133,Reporting!$AM:$BK,MATCH($A$121,Reporting!$AN$4:$BK$4,0)+1,FALSE)</f>
        <v>0</v>
      </c>
      <c r="B133" s="266" t="s">
        <v>394</v>
      </c>
      <c r="C133" s="97">
        <v>3.87</v>
      </c>
      <c r="D133" s="6">
        <v>0.61</v>
      </c>
      <c r="E133" s="7">
        <f t="shared" si="98"/>
        <v>2.3607</v>
      </c>
      <c r="F133" s="7">
        <f t="shared" si="94"/>
        <v>0</v>
      </c>
      <c r="G133" s="8">
        <f t="shared" si="99"/>
        <v>0</v>
      </c>
      <c r="H133" s="9">
        <f t="shared" si="95"/>
        <v>3.87</v>
      </c>
      <c r="I133" s="10">
        <v>0.61</v>
      </c>
      <c r="J133" s="10">
        <f t="shared" si="100"/>
        <v>2.3607</v>
      </c>
      <c r="K133" s="10">
        <f t="shared" si="96"/>
        <v>0</v>
      </c>
      <c r="L133" s="11">
        <f t="shared" si="101"/>
        <v>0</v>
      </c>
      <c r="M133" s="12">
        <f t="shared" si="102"/>
        <v>3.87</v>
      </c>
      <c r="N133" s="13">
        <v>0.45</v>
      </c>
      <c r="O133" s="13">
        <f t="shared" si="103"/>
        <v>1.7415</v>
      </c>
      <c r="P133" s="13">
        <f t="shared" si="97"/>
        <v>0</v>
      </c>
      <c r="Q133" s="14">
        <f t="shared" si="104"/>
        <v>0</v>
      </c>
    </row>
    <row r="134" spans="1:17" x14ac:dyDescent="0.3">
      <c r="A134" s="250">
        <f>VLOOKUP($B134,Reporting!$AM:$BK,MATCH($A$121,Reporting!$AN$4:$BK$4,0)+1,FALSE)</f>
        <v>0</v>
      </c>
      <c r="B134" s="266" t="s">
        <v>395</v>
      </c>
      <c r="C134" s="97">
        <v>4.8</v>
      </c>
      <c r="D134" s="6">
        <v>0.61</v>
      </c>
      <c r="E134" s="7">
        <f t="shared" si="98"/>
        <v>2.9279999999999999</v>
      </c>
      <c r="F134" s="7">
        <f t="shared" si="94"/>
        <v>0</v>
      </c>
      <c r="G134" s="8">
        <f t="shared" si="99"/>
        <v>0</v>
      </c>
      <c r="H134" s="9">
        <f t="shared" si="95"/>
        <v>4.8</v>
      </c>
      <c r="I134" s="10">
        <v>0.61</v>
      </c>
      <c r="J134" s="10">
        <f t="shared" si="100"/>
        <v>2.9279999999999999</v>
      </c>
      <c r="K134" s="10">
        <f t="shared" si="96"/>
        <v>0</v>
      </c>
      <c r="L134" s="11">
        <f t="shared" si="101"/>
        <v>0</v>
      </c>
      <c r="M134" s="12">
        <f t="shared" si="102"/>
        <v>4.8</v>
      </c>
      <c r="N134" s="13">
        <v>0.45</v>
      </c>
      <c r="O134" s="13">
        <f t="shared" si="103"/>
        <v>2.16</v>
      </c>
      <c r="P134" s="13">
        <f t="shared" si="97"/>
        <v>0</v>
      </c>
      <c r="Q134" s="14">
        <f t="shared" si="104"/>
        <v>0</v>
      </c>
    </row>
    <row r="135" spans="1:17" x14ac:dyDescent="0.3">
      <c r="A135" s="250">
        <f>VLOOKUP($B135,Reporting!$AM:$BK,MATCH($A$121,Reporting!$AN$4:$BK$4,0)+1,FALSE)</f>
        <v>0</v>
      </c>
      <c r="B135" s="266" t="s">
        <v>396</v>
      </c>
      <c r="C135" s="97">
        <v>6.07</v>
      </c>
      <c r="D135" s="6">
        <v>0.61</v>
      </c>
      <c r="E135" s="7">
        <f t="shared" si="98"/>
        <v>3.7027000000000001</v>
      </c>
      <c r="F135" s="7">
        <f t="shared" si="94"/>
        <v>0</v>
      </c>
      <c r="G135" s="8">
        <f t="shared" si="99"/>
        <v>0</v>
      </c>
      <c r="H135" s="9">
        <f t="shared" si="95"/>
        <v>6.07</v>
      </c>
      <c r="I135" s="10">
        <v>0.61</v>
      </c>
      <c r="J135" s="10">
        <f t="shared" si="100"/>
        <v>3.7027000000000001</v>
      </c>
      <c r="K135" s="10">
        <f t="shared" si="96"/>
        <v>0</v>
      </c>
      <c r="L135" s="11">
        <f t="shared" si="101"/>
        <v>0</v>
      </c>
      <c r="M135" s="12">
        <f t="shared" si="102"/>
        <v>6.07</v>
      </c>
      <c r="N135" s="13">
        <v>0.45</v>
      </c>
      <c r="O135" s="13">
        <f t="shared" si="103"/>
        <v>2.7315</v>
      </c>
      <c r="P135" s="13">
        <f t="shared" si="97"/>
        <v>0</v>
      </c>
      <c r="Q135" s="14">
        <f t="shared" si="104"/>
        <v>0</v>
      </c>
    </row>
    <row r="136" spans="1:17" ht="15" thickBot="1" x14ac:dyDescent="0.35">
      <c r="A136" s="3">
        <f>SUM(A123:A135)</f>
        <v>0</v>
      </c>
      <c r="B136" s="267"/>
      <c r="C136" s="4"/>
      <c r="D136" s="644" t="s">
        <v>9</v>
      </c>
      <c r="E136" s="645"/>
      <c r="F136" s="645"/>
      <c r="G136" s="16">
        <f>SUM(G123:G135)</f>
        <v>0</v>
      </c>
      <c r="H136" s="1"/>
      <c r="I136" s="646" t="s">
        <v>10</v>
      </c>
      <c r="J136" s="646"/>
      <c r="K136" s="646"/>
      <c r="L136" s="17">
        <f>SUM(L123:L135)</f>
        <v>0</v>
      </c>
      <c r="M136" s="15"/>
      <c r="N136" s="647" t="s">
        <v>11</v>
      </c>
      <c r="O136" s="647"/>
      <c r="P136" s="647"/>
      <c r="Q136" s="18">
        <f>SUM(Q123:Q135)</f>
        <v>0</v>
      </c>
    </row>
    <row r="137" spans="1:17" ht="15" thickBot="1" x14ac:dyDescent="0.35"/>
    <row r="138" spans="1:17" ht="15" customHeight="1" x14ac:dyDescent="0.3">
      <c r="A138" s="689" t="s">
        <v>174</v>
      </c>
      <c r="B138" s="689"/>
      <c r="C138" s="689"/>
      <c r="D138" s="689"/>
      <c r="E138" s="689"/>
      <c r="F138" s="689"/>
      <c r="G138" s="689"/>
      <c r="H138" s="689"/>
      <c r="I138" s="689"/>
      <c r="J138" s="689"/>
      <c r="K138" s="689"/>
      <c r="L138" s="689"/>
      <c r="M138" s="689"/>
      <c r="N138" s="730" t="s">
        <v>98</v>
      </c>
      <c r="O138" s="730"/>
      <c r="P138" s="730"/>
      <c r="Q138" s="731"/>
    </row>
    <row r="139" spans="1:17" ht="15" customHeight="1" x14ac:dyDescent="0.3">
      <c r="A139" s="690"/>
      <c r="B139" s="690"/>
      <c r="C139" s="690"/>
      <c r="D139" s="690"/>
      <c r="E139" s="690"/>
      <c r="F139" s="690"/>
      <c r="G139" s="690"/>
      <c r="H139" s="690"/>
      <c r="I139" s="690"/>
      <c r="J139" s="690"/>
      <c r="K139" s="690"/>
      <c r="L139" s="690"/>
      <c r="M139" s="690"/>
      <c r="N139" s="732"/>
      <c r="O139" s="732"/>
      <c r="P139" s="732"/>
      <c r="Q139" s="733"/>
    </row>
    <row r="140" spans="1:17" ht="15" customHeight="1" x14ac:dyDescent="0.3">
      <c r="A140" s="250">
        <f>VLOOKUP($B140,Reporting!$AM:$BK,MATCH(LEFT($A$138,FIND("(",$A$138)-2),Reporting!$AN$4:$BK$4,0)+1,FALSE)</f>
        <v>0</v>
      </c>
      <c r="B140" s="262" t="s">
        <v>371</v>
      </c>
      <c r="C140" s="96">
        <v>0.24</v>
      </c>
      <c r="D140" s="6">
        <v>0.61</v>
      </c>
      <c r="E140" s="7">
        <f t="shared" ref="E140:E145" si="105">C140*D140</f>
        <v>0.1464</v>
      </c>
      <c r="F140" s="7">
        <f>A140*E140</f>
        <v>0</v>
      </c>
      <c r="G140" s="8">
        <f t="shared" ref="G140:G145" si="106">F140/8</f>
        <v>0</v>
      </c>
      <c r="H140" s="9">
        <f>C140</f>
        <v>0.24</v>
      </c>
      <c r="I140" s="10">
        <v>0.61</v>
      </c>
      <c r="J140" s="10">
        <f t="shared" ref="J140:J145" si="107">H140*I140</f>
        <v>0.1464</v>
      </c>
      <c r="K140" s="10">
        <f>A140*J140</f>
        <v>0</v>
      </c>
      <c r="L140" s="11">
        <f t="shared" ref="L140:L145" si="108">K140/8</f>
        <v>0</v>
      </c>
      <c r="M140" s="12">
        <f t="shared" ref="M140:M145" si="109">H140</f>
        <v>0.24</v>
      </c>
      <c r="N140" s="13">
        <v>0.55000000000000004</v>
      </c>
      <c r="O140" s="13">
        <f t="shared" ref="O140:O145" si="110">M140*N140</f>
        <v>0.13200000000000001</v>
      </c>
      <c r="P140" s="13">
        <f>A140*O140</f>
        <v>0</v>
      </c>
      <c r="Q140" s="14">
        <f t="shared" ref="Q140:Q145" si="111">P140/8</f>
        <v>0</v>
      </c>
    </row>
    <row r="141" spans="1:17" ht="15" customHeight="1" x14ac:dyDescent="0.3">
      <c r="A141" s="250">
        <f>VLOOKUP($B141,Reporting!$AM:$BK,MATCH(LEFT($A$138,FIND("(",$A$138)-2),Reporting!$AN$4:$BK$4,0)+1,FALSE)</f>
        <v>0</v>
      </c>
      <c r="B141" s="262" t="s">
        <v>372</v>
      </c>
      <c r="C141" s="96">
        <v>0.36</v>
      </c>
      <c r="D141" s="6">
        <v>0.61</v>
      </c>
      <c r="E141" s="7">
        <f t="shared" si="105"/>
        <v>0.21959999999999999</v>
      </c>
      <c r="F141" s="7">
        <f t="shared" ref="F141:F152" si="112">A141*E141</f>
        <v>0</v>
      </c>
      <c r="G141" s="8">
        <f t="shared" si="106"/>
        <v>0</v>
      </c>
      <c r="H141" s="9">
        <f t="shared" ref="H141:H152" si="113">C141</f>
        <v>0.36</v>
      </c>
      <c r="I141" s="10">
        <v>0.61</v>
      </c>
      <c r="J141" s="10">
        <f t="shared" si="107"/>
        <v>0.21959999999999999</v>
      </c>
      <c r="K141" s="10">
        <f t="shared" ref="K141:K152" si="114">A141*J141</f>
        <v>0</v>
      </c>
      <c r="L141" s="11">
        <f t="shared" si="108"/>
        <v>0</v>
      </c>
      <c r="M141" s="12">
        <f t="shared" si="109"/>
        <v>0.36</v>
      </c>
      <c r="N141" s="13">
        <v>0.55000000000000004</v>
      </c>
      <c r="O141" s="13">
        <f t="shared" si="110"/>
        <v>0.19800000000000001</v>
      </c>
      <c r="P141" s="13">
        <f t="shared" ref="P141:P152" si="115">A141*O141</f>
        <v>0</v>
      </c>
      <c r="Q141" s="14">
        <f t="shared" si="111"/>
        <v>0</v>
      </c>
    </row>
    <row r="142" spans="1:17" ht="15" customHeight="1" x14ac:dyDescent="0.3">
      <c r="A142" s="250">
        <f>VLOOKUP($B142,Reporting!$AM:$BK,MATCH(LEFT($A$138,FIND("(",$A$138)-2),Reporting!$AN$4:$BK$4,0)+1,FALSE)</f>
        <v>0</v>
      </c>
      <c r="B142" s="262" t="s">
        <v>389</v>
      </c>
      <c r="C142" s="96">
        <v>0.36</v>
      </c>
      <c r="D142" s="6">
        <v>0.61</v>
      </c>
      <c r="E142" s="7">
        <f t="shared" si="105"/>
        <v>0.21959999999999999</v>
      </c>
      <c r="F142" s="7">
        <f t="shared" si="112"/>
        <v>0</v>
      </c>
      <c r="G142" s="8">
        <f t="shared" si="106"/>
        <v>0</v>
      </c>
      <c r="H142" s="9">
        <f t="shared" si="113"/>
        <v>0.36</v>
      </c>
      <c r="I142" s="10">
        <v>0.61</v>
      </c>
      <c r="J142" s="10">
        <f t="shared" si="107"/>
        <v>0.21959999999999999</v>
      </c>
      <c r="K142" s="10">
        <f t="shared" si="114"/>
        <v>0</v>
      </c>
      <c r="L142" s="11">
        <f t="shared" si="108"/>
        <v>0</v>
      </c>
      <c r="M142" s="12">
        <f t="shared" si="109"/>
        <v>0.36</v>
      </c>
      <c r="N142" s="13">
        <v>0.55000000000000004</v>
      </c>
      <c r="O142" s="13">
        <f t="shared" si="110"/>
        <v>0.19800000000000001</v>
      </c>
      <c r="P142" s="13">
        <f t="shared" si="115"/>
        <v>0</v>
      </c>
      <c r="Q142" s="14">
        <f t="shared" si="111"/>
        <v>0</v>
      </c>
    </row>
    <row r="143" spans="1:17" ht="15" customHeight="1" x14ac:dyDescent="0.3">
      <c r="A143" s="250">
        <f>VLOOKUP($B143,Reporting!$AM:$BK,MATCH(LEFT($A$138,FIND("(",$A$138)-2),Reporting!$AN$4:$BK$4,0)+1,FALSE)</f>
        <v>0</v>
      </c>
      <c r="B143" s="262" t="s">
        <v>373</v>
      </c>
      <c r="C143" s="96">
        <v>0.36</v>
      </c>
      <c r="D143" s="6">
        <v>0.61</v>
      </c>
      <c r="E143" s="7">
        <f t="shared" si="105"/>
        <v>0.21959999999999999</v>
      </c>
      <c r="F143" s="7">
        <f t="shared" si="112"/>
        <v>0</v>
      </c>
      <c r="G143" s="8">
        <f t="shared" si="106"/>
        <v>0</v>
      </c>
      <c r="H143" s="9">
        <f t="shared" si="113"/>
        <v>0.36</v>
      </c>
      <c r="I143" s="10">
        <v>0.61</v>
      </c>
      <c r="J143" s="10">
        <f t="shared" si="107"/>
        <v>0.21959999999999999</v>
      </c>
      <c r="K143" s="10">
        <f t="shared" si="114"/>
        <v>0</v>
      </c>
      <c r="L143" s="11">
        <f t="shared" si="108"/>
        <v>0</v>
      </c>
      <c r="M143" s="12">
        <f t="shared" si="109"/>
        <v>0.36</v>
      </c>
      <c r="N143" s="13">
        <v>0.55000000000000004</v>
      </c>
      <c r="O143" s="13">
        <f t="shared" si="110"/>
        <v>0.19800000000000001</v>
      </c>
      <c r="P143" s="13">
        <f t="shared" si="115"/>
        <v>0</v>
      </c>
      <c r="Q143" s="14">
        <f t="shared" si="111"/>
        <v>0</v>
      </c>
    </row>
    <row r="144" spans="1:17" ht="15" customHeight="1" x14ac:dyDescent="0.3">
      <c r="A144" s="250">
        <f>VLOOKUP($B144,Reporting!$AM:$BK,MATCH(LEFT($A$138,FIND("(",$A$138)-2),Reporting!$AN$4:$BK$4,0)+1,FALSE)</f>
        <v>0</v>
      </c>
      <c r="B144" s="262" t="s">
        <v>374</v>
      </c>
      <c r="C144" s="96">
        <v>0.36</v>
      </c>
      <c r="D144" s="6">
        <v>0.61</v>
      </c>
      <c r="E144" s="7">
        <f t="shared" si="105"/>
        <v>0.21959999999999999</v>
      </c>
      <c r="F144" s="7">
        <f t="shared" si="112"/>
        <v>0</v>
      </c>
      <c r="G144" s="8">
        <f t="shared" si="106"/>
        <v>0</v>
      </c>
      <c r="H144" s="9">
        <f t="shared" si="113"/>
        <v>0.36</v>
      </c>
      <c r="I144" s="10">
        <v>0.61</v>
      </c>
      <c r="J144" s="10">
        <f t="shared" si="107"/>
        <v>0.21959999999999999</v>
      </c>
      <c r="K144" s="10">
        <f t="shared" si="114"/>
        <v>0</v>
      </c>
      <c r="L144" s="11">
        <f t="shared" si="108"/>
        <v>0</v>
      </c>
      <c r="M144" s="12">
        <f t="shared" si="109"/>
        <v>0.36</v>
      </c>
      <c r="N144" s="13">
        <v>0.55000000000000004</v>
      </c>
      <c r="O144" s="13">
        <f t="shared" si="110"/>
        <v>0.19800000000000001</v>
      </c>
      <c r="P144" s="13">
        <f t="shared" si="115"/>
        <v>0</v>
      </c>
      <c r="Q144" s="14">
        <f t="shared" si="111"/>
        <v>0</v>
      </c>
    </row>
    <row r="145" spans="1:25" ht="15.75" customHeight="1" x14ac:dyDescent="0.3">
      <c r="A145" s="250">
        <f>VLOOKUP($B145,Reporting!$AM:$BK,MATCH(LEFT($A$138,FIND("(",$A$138)-2),Reporting!$AN$4:$BK$4,0)+1,FALSE)</f>
        <v>0</v>
      </c>
      <c r="B145" s="266" t="s">
        <v>390</v>
      </c>
      <c r="C145" s="97">
        <v>0.39</v>
      </c>
      <c r="D145" s="6">
        <v>0.61</v>
      </c>
      <c r="E145" s="7">
        <f t="shared" si="105"/>
        <v>0.2379</v>
      </c>
      <c r="F145" s="7">
        <f t="shared" si="112"/>
        <v>0</v>
      </c>
      <c r="G145" s="8">
        <f t="shared" si="106"/>
        <v>0</v>
      </c>
      <c r="H145" s="9">
        <f t="shared" si="113"/>
        <v>0.39</v>
      </c>
      <c r="I145" s="10">
        <v>0.61</v>
      </c>
      <c r="J145" s="10">
        <f t="shared" si="107"/>
        <v>0.2379</v>
      </c>
      <c r="K145" s="10">
        <f t="shared" si="114"/>
        <v>0</v>
      </c>
      <c r="L145" s="11">
        <f t="shared" si="108"/>
        <v>0</v>
      </c>
      <c r="M145" s="12">
        <f t="shared" si="109"/>
        <v>0.39</v>
      </c>
      <c r="N145" s="13">
        <v>0.55000000000000004</v>
      </c>
      <c r="O145" s="13">
        <f t="shared" si="110"/>
        <v>0.21450000000000002</v>
      </c>
      <c r="P145" s="13">
        <f t="shared" si="115"/>
        <v>0</v>
      </c>
      <c r="Q145" s="14">
        <f t="shared" si="111"/>
        <v>0</v>
      </c>
    </row>
    <row r="146" spans="1:25" x14ac:dyDescent="0.3">
      <c r="A146" s="250">
        <f>VLOOKUP($B146,Reporting!$AM:$BK,MATCH(LEFT($A$138,FIND("(",$A$138)-2),Reporting!$AN$4:$BK$4,0)+1,FALSE)</f>
        <v>0</v>
      </c>
      <c r="B146" s="266" t="s">
        <v>376</v>
      </c>
      <c r="C146" s="97">
        <v>0.39</v>
      </c>
      <c r="D146" s="6">
        <v>0.61</v>
      </c>
      <c r="E146" s="7">
        <f t="shared" ref="E146:E152" si="116">C146*D146</f>
        <v>0.2379</v>
      </c>
      <c r="F146" s="7">
        <f t="shared" si="112"/>
        <v>0</v>
      </c>
      <c r="G146" s="8">
        <f t="shared" ref="G146:G152" si="117">F146/8</f>
        <v>0</v>
      </c>
      <c r="H146" s="9">
        <f t="shared" si="113"/>
        <v>0.39</v>
      </c>
      <c r="I146" s="10">
        <v>0.61</v>
      </c>
      <c r="J146" s="10">
        <f t="shared" ref="J146:J152" si="118">H146*I146</f>
        <v>0.2379</v>
      </c>
      <c r="K146" s="10">
        <f t="shared" si="114"/>
        <v>0</v>
      </c>
      <c r="L146" s="11">
        <f t="shared" ref="L146:L152" si="119">K146/8</f>
        <v>0</v>
      </c>
      <c r="M146" s="12">
        <f t="shared" ref="M146:M152" si="120">H146</f>
        <v>0.39</v>
      </c>
      <c r="N146" s="13">
        <v>0.55000000000000004</v>
      </c>
      <c r="O146" s="13">
        <f t="shared" ref="O146:O152" si="121">M146*N146</f>
        <v>0.21450000000000002</v>
      </c>
      <c r="P146" s="13">
        <f t="shared" si="115"/>
        <v>0</v>
      </c>
      <c r="Q146" s="14">
        <f t="shared" ref="Q146:Q152" si="122">P146/8</f>
        <v>0</v>
      </c>
    </row>
    <row r="147" spans="1:25" x14ac:dyDescent="0.3">
      <c r="A147" s="250">
        <f>VLOOKUP($B147,Reporting!$AM:$BK,MATCH(LEFT($A$138,FIND("(",$A$138)-2),Reporting!$AN$4:$BK$4,0)+1,FALSE)</f>
        <v>0</v>
      </c>
      <c r="B147" s="266" t="s">
        <v>391</v>
      </c>
      <c r="C147" s="97">
        <v>0.38</v>
      </c>
      <c r="D147" s="6">
        <v>0.61</v>
      </c>
      <c r="E147" s="7">
        <f t="shared" si="116"/>
        <v>0.23180000000000001</v>
      </c>
      <c r="F147" s="7">
        <f t="shared" si="112"/>
        <v>0</v>
      </c>
      <c r="G147" s="8">
        <f t="shared" si="117"/>
        <v>0</v>
      </c>
      <c r="H147" s="9">
        <f t="shared" si="113"/>
        <v>0.38</v>
      </c>
      <c r="I147" s="10">
        <v>0.61</v>
      </c>
      <c r="J147" s="10">
        <f t="shared" si="118"/>
        <v>0.23180000000000001</v>
      </c>
      <c r="K147" s="10">
        <f t="shared" si="114"/>
        <v>0</v>
      </c>
      <c r="L147" s="11">
        <f t="shared" si="119"/>
        <v>0</v>
      </c>
      <c r="M147" s="12">
        <f t="shared" si="120"/>
        <v>0.38</v>
      </c>
      <c r="N147" s="13">
        <v>0.55000000000000004</v>
      </c>
      <c r="O147" s="13">
        <f t="shared" si="121"/>
        <v>0.20900000000000002</v>
      </c>
      <c r="P147" s="13">
        <f t="shared" si="115"/>
        <v>0</v>
      </c>
      <c r="Q147" s="14">
        <f t="shared" si="122"/>
        <v>0</v>
      </c>
    </row>
    <row r="148" spans="1:25" x14ac:dyDescent="0.3">
      <c r="A148" s="250">
        <f>VLOOKUP($B148,Reporting!$AM:$BK,MATCH(LEFT($A$138,FIND("(",$A$138)-2),Reporting!$AN$4:$BK$4,0)+1,FALSE)</f>
        <v>0</v>
      </c>
      <c r="B148" s="266" t="s">
        <v>392</v>
      </c>
      <c r="C148" s="97">
        <v>0.78</v>
      </c>
      <c r="D148" s="6">
        <v>0.61</v>
      </c>
      <c r="E148" s="7">
        <f t="shared" si="116"/>
        <v>0.4758</v>
      </c>
      <c r="F148" s="7">
        <f t="shared" si="112"/>
        <v>0</v>
      </c>
      <c r="G148" s="8">
        <f t="shared" si="117"/>
        <v>0</v>
      </c>
      <c r="H148" s="9">
        <f t="shared" si="113"/>
        <v>0.78</v>
      </c>
      <c r="I148" s="10">
        <v>0.61</v>
      </c>
      <c r="J148" s="10">
        <f t="shared" si="118"/>
        <v>0.4758</v>
      </c>
      <c r="K148" s="10">
        <f t="shared" si="114"/>
        <v>0</v>
      </c>
      <c r="L148" s="11">
        <f t="shared" si="119"/>
        <v>0</v>
      </c>
      <c r="M148" s="12">
        <f t="shared" si="120"/>
        <v>0.78</v>
      </c>
      <c r="N148" s="13">
        <v>0.55000000000000004</v>
      </c>
      <c r="O148" s="13">
        <f t="shared" si="121"/>
        <v>0.42900000000000005</v>
      </c>
      <c r="P148" s="13">
        <f t="shared" si="115"/>
        <v>0</v>
      </c>
      <c r="Q148" s="14">
        <f t="shared" si="122"/>
        <v>0</v>
      </c>
    </row>
    <row r="149" spans="1:25" ht="15" customHeight="1" x14ac:dyDescent="0.3">
      <c r="A149" s="250">
        <f>VLOOKUP($B149,Reporting!$AM:$BK,MATCH(LEFT($A$138,FIND("(",$A$138)-2),Reporting!$AN$4:$BK$4,0)+1,FALSE)</f>
        <v>0</v>
      </c>
      <c r="B149" s="266" t="s">
        <v>393</v>
      </c>
      <c r="C149" s="97">
        <v>0.9</v>
      </c>
      <c r="D149" s="6">
        <v>0.61</v>
      </c>
      <c r="E149" s="7">
        <f t="shared" si="116"/>
        <v>0.54900000000000004</v>
      </c>
      <c r="F149" s="7">
        <f t="shared" si="112"/>
        <v>0</v>
      </c>
      <c r="G149" s="8">
        <f t="shared" si="117"/>
        <v>0</v>
      </c>
      <c r="H149" s="9">
        <f t="shared" si="113"/>
        <v>0.9</v>
      </c>
      <c r="I149" s="10">
        <v>0.61</v>
      </c>
      <c r="J149" s="10">
        <f t="shared" si="118"/>
        <v>0.54900000000000004</v>
      </c>
      <c r="K149" s="10">
        <f t="shared" si="114"/>
        <v>0</v>
      </c>
      <c r="L149" s="11">
        <f t="shared" si="119"/>
        <v>0</v>
      </c>
      <c r="M149" s="12">
        <f t="shared" si="120"/>
        <v>0.9</v>
      </c>
      <c r="N149" s="13">
        <v>0.55000000000000004</v>
      </c>
      <c r="O149" s="13">
        <f t="shared" si="121"/>
        <v>0.49500000000000005</v>
      </c>
      <c r="P149" s="13">
        <f t="shared" si="115"/>
        <v>0</v>
      </c>
      <c r="Q149" s="14">
        <f t="shared" si="122"/>
        <v>0</v>
      </c>
    </row>
    <row r="150" spans="1:25" ht="15" customHeight="1" x14ac:dyDescent="0.3">
      <c r="A150" s="250">
        <f>VLOOKUP($B150,Reporting!$AM:$BK,MATCH(LEFT($A$138,FIND("(",$A$138)-2),Reporting!$AN$4:$BK$4,0)+1,FALSE)</f>
        <v>0</v>
      </c>
      <c r="B150" s="266" t="s">
        <v>394</v>
      </c>
      <c r="C150" s="97">
        <v>0.86</v>
      </c>
      <c r="D150" s="6">
        <v>0.61</v>
      </c>
      <c r="E150" s="7">
        <f t="shared" si="116"/>
        <v>0.52459999999999996</v>
      </c>
      <c r="F150" s="7">
        <f t="shared" si="112"/>
        <v>0</v>
      </c>
      <c r="G150" s="8">
        <f t="shared" si="117"/>
        <v>0</v>
      </c>
      <c r="H150" s="9">
        <f t="shared" si="113"/>
        <v>0.86</v>
      </c>
      <c r="I150" s="10">
        <v>0.61</v>
      </c>
      <c r="J150" s="10">
        <f t="shared" si="118"/>
        <v>0.52459999999999996</v>
      </c>
      <c r="K150" s="10">
        <f t="shared" si="114"/>
        <v>0</v>
      </c>
      <c r="L150" s="11">
        <f t="shared" si="119"/>
        <v>0</v>
      </c>
      <c r="M150" s="12">
        <f t="shared" si="120"/>
        <v>0.86</v>
      </c>
      <c r="N150" s="13">
        <v>0.55000000000000004</v>
      </c>
      <c r="O150" s="13">
        <f t="shared" si="121"/>
        <v>0.47300000000000003</v>
      </c>
      <c r="P150" s="13">
        <f t="shared" si="115"/>
        <v>0</v>
      </c>
      <c r="Q150" s="14">
        <f t="shared" si="122"/>
        <v>0</v>
      </c>
      <c r="S150" s="598" t="s">
        <v>168</v>
      </c>
      <c r="T150" s="598"/>
      <c r="U150" s="598"/>
      <c r="W150" s="681" t="s">
        <v>168</v>
      </c>
      <c r="X150" s="681"/>
      <c r="Y150" s="681"/>
    </row>
    <row r="151" spans="1:25" ht="15" customHeight="1" x14ac:dyDescent="0.3">
      <c r="A151" s="250">
        <f>VLOOKUP($B151,Reporting!$AM:$BK,MATCH(LEFT($A$138,FIND("(",$A$138)-2),Reporting!$AN$4:$BK$4,0)+1,FALSE)</f>
        <v>0</v>
      </c>
      <c r="B151" s="266" t="s">
        <v>395</v>
      </c>
      <c r="C151" s="97">
        <v>0.84</v>
      </c>
      <c r="D151" s="6">
        <v>0.61</v>
      </c>
      <c r="E151" s="7">
        <f t="shared" si="116"/>
        <v>0.51239999999999997</v>
      </c>
      <c r="F151" s="7">
        <f t="shared" si="112"/>
        <v>0</v>
      </c>
      <c r="G151" s="8">
        <f t="shared" si="117"/>
        <v>0</v>
      </c>
      <c r="H151" s="9">
        <f t="shared" si="113"/>
        <v>0.84</v>
      </c>
      <c r="I151" s="10">
        <v>0.61</v>
      </c>
      <c r="J151" s="10">
        <f t="shared" si="118"/>
        <v>0.51239999999999997</v>
      </c>
      <c r="K151" s="10">
        <f t="shared" si="114"/>
        <v>0</v>
      </c>
      <c r="L151" s="11">
        <f t="shared" si="119"/>
        <v>0</v>
      </c>
      <c r="M151" s="12">
        <f t="shared" si="120"/>
        <v>0.84</v>
      </c>
      <c r="N151" s="13">
        <v>0.55000000000000004</v>
      </c>
      <c r="O151" s="13">
        <f t="shared" si="121"/>
        <v>0.46200000000000002</v>
      </c>
      <c r="P151" s="13">
        <f t="shared" si="115"/>
        <v>0</v>
      </c>
      <c r="Q151" s="14">
        <f t="shared" si="122"/>
        <v>0</v>
      </c>
      <c r="S151" s="664">
        <f>Q136+Q153+Q166+Q179+Q192</f>
        <v>2.3375000000000003E-2</v>
      </c>
      <c r="T151" s="665"/>
      <c r="U151" s="665"/>
      <c r="W151" s="682">
        <f>L136+L153+L166+L179+L192</f>
        <v>2.5925E-2</v>
      </c>
      <c r="X151" s="683"/>
      <c r="Y151" s="683"/>
    </row>
    <row r="152" spans="1:25" x14ac:dyDescent="0.3">
      <c r="A152" s="250">
        <f>VLOOKUP($B152,Reporting!$AM:$BK,MATCH(LEFT($A$138,FIND("(",$A$138)-2),Reporting!$AN$4:$BK$4,0)+1,FALSE)</f>
        <v>0</v>
      </c>
      <c r="B152" s="266" t="s">
        <v>396</v>
      </c>
      <c r="C152" s="97">
        <v>1.35</v>
      </c>
      <c r="D152" s="6">
        <v>0.61</v>
      </c>
      <c r="E152" s="7">
        <f t="shared" si="116"/>
        <v>0.82350000000000001</v>
      </c>
      <c r="F152" s="7">
        <f t="shared" si="112"/>
        <v>0</v>
      </c>
      <c r="G152" s="8">
        <f t="shared" si="117"/>
        <v>0</v>
      </c>
      <c r="H152" s="9">
        <f t="shared" si="113"/>
        <v>1.35</v>
      </c>
      <c r="I152" s="10">
        <v>0.61</v>
      </c>
      <c r="J152" s="10">
        <f t="shared" si="118"/>
        <v>0.82350000000000001</v>
      </c>
      <c r="K152" s="10">
        <f t="shared" si="114"/>
        <v>0</v>
      </c>
      <c r="L152" s="11">
        <f t="shared" si="119"/>
        <v>0</v>
      </c>
      <c r="M152" s="12">
        <f t="shared" si="120"/>
        <v>1.35</v>
      </c>
      <c r="N152" s="13">
        <v>0.55000000000000004</v>
      </c>
      <c r="O152" s="13">
        <f t="shared" si="121"/>
        <v>0.74250000000000016</v>
      </c>
      <c r="P152" s="13">
        <f t="shared" si="115"/>
        <v>0</v>
      </c>
      <c r="Q152" s="14">
        <f t="shared" si="122"/>
        <v>0</v>
      </c>
      <c r="S152" s="665"/>
      <c r="T152" s="665"/>
      <c r="U152" s="665"/>
      <c r="W152" s="683"/>
      <c r="X152" s="683"/>
      <c r="Y152" s="683"/>
    </row>
    <row r="153" spans="1:25" ht="15" thickBot="1" x14ac:dyDescent="0.35">
      <c r="A153" s="3">
        <f>SUM(A140:A152)</f>
        <v>0</v>
      </c>
      <c r="B153" s="267"/>
      <c r="C153" s="4"/>
      <c r="D153" s="644" t="s">
        <v>9</v>
      </c>
      <c r="E153" s="645"/>
      <c r="F153" s="645"/>
      <c r="G153" s="16">
        <f>SUM(G140:G152)</f>
        <v>0</v>
      </c>
      <c r="H153" s="1"/>
      <c r="I153" s="646" t="s">
        <v>10</v>
      </c>
      <c r="J153" s="646"/>
      <c r="K153" s="646"/>
      <c r="L153" s="17">
        <f>SUM(L140:L152)</f>
        <v>0</v>
      </c>
      <c r="M153" s="15"/>
      <c r="N153" s="647" t="s">
        <v>11</v>
      </c>
      <c r="O153" s="647"/>
      <c r="P153" s="647"/>
      <c r="Q153" s="18">
        <f>SUM(Q140:Q152)</f>
        <v>0</v>
      </c>
    </row>
    <row r="154" spans="1:25" ht="15" thickBot="1" x14ac:dyDescent="0.35"/>
    <row r="155" spans="1:25" ht="15" customHeight="1" x14ac:dyDescent="0.3">
      <c r="A155" s="689" t="s">
        <v>175</v>
      </c>
      <c r="B155" s="689"/>
      <c r="C155" s="689"/>
      <c r="D155" s="689"/>
      <c r="E155" s="689"/>
      <c r="F155" s="689"/>
      <c r="G155" s="133"/>
      <c r="H155" s="133"/>
      <c r="I155" s="133"/>
      <c r="J155" s="734" t="s">
        <v>178</v>
      </c>
      <c r="K155" s="734"/>
      <c r="L155" s="734"/>
      <c r="M155" s="734"/>
      <c r="N155" s="2"/>
      <c r="O155" s="2"/>
      <c r="P155" s="2"/>
      <c r="Q155" s="5"/>
    </row>
    <row r="156" spans="1:25" ht="15" customHeight="1" x14ac:dyDescent="0.3">
      <c r="A156" s="690"/>
      <c r="B156" s="690"/>
      <c r="C156" s="690"/>
      <c r="D156" s="690"/>
      <c r="E156" s="690"/>
      <c r="F156" s="690"/>
      <c r="G156" s="134"/>
      <c r="H156" s="134"/>
      <c r="I156" s="134"/>
      <c r="J156" s="735"/>
      <c r="K156" s="735"/>
      <c r="L156" s="735"/>
      <c r="M156" s="735"/>
      <c r="N156" s="29"/>
      <c r="O156" s="29"/>
      <c r="P156" s="29"/>
      <c r="Q156" s="30"/>
    </row>
    <row r="157" spans="1:25" ht="15" customHeight="1" x14ac:dyDescent="0.3">
      <c r="A157" s="250">
        <f>VLOOKUP($B157,Reporting!$AM:$BK,MATCH($A$155,Reporting!$AN$4:$BK$4,0)+1,FALSE)</f>
        <v>0</v>
      </c>
      <c r="B157" s="262" t="s">
        <v>371</v>
      </c>
      <c r="C157" s="114">
        <v>0.24</v>
      </c>
      <c r="D157" s="6">
        <v>0.61</v>
      </c>
      <c r="E157" s="7">
        <f t="shared" ref="E157:E165" si="123">C157*D157</f>
        <v>0.1464</v>
      </c>
      <c r="F157" s="7">
        <f>A157*E157</f>
        <v>0</v>
      </c>
      <c r="G157" s="8">
        <f t="shared" ref="G157:G165" si="124">F157/8</f>
        <v>0</v>
      </c>
      <c r="H157" s="9">
        <f>C157</f>
        <v>0.24</v>
      </c>
      <c r="I157" s="10">
        <v>0.61</v>
      </c>
      <c r="J157" s="10">
        <f t="shared" ref="J157:J165" si="125">H157*I157</f>
        <v>0.1464</v>
      </c>
      <c r="K157" s="10">
        <f>A157*J157</f>
        <v>0</v>
      </c>
      <c r="L157" s="11">
        <f t="shared" ref="L157:L165" si="126">K157/8</f>
        <v>0</v>
      </c>
      <c r="M157" s="12">
        <f t="shared" ref="M157:M165" si="127">H157</f>
        <v>0.24</v>
      </c>
      <c r="N157" s="13">
        <v>0.55000000000000004</v>
      </c>
      <c r="O157" s="13">
        <f t="shared" ref="O157:O165" si="128">M157*N157</f>
        <v>0.13200000000000001</v>
      </c>
      <c r="P157" s="13">
        <f>A157*O157</f>
        <v>0</v>
      </c>
      <c r="Q157" s="14">
        <f t="shared" ref="Q157:Q165" si="129">P157/8</f>
        <v>0</v>
      </c>
    </row>
    <row r="158" spans="1:25" ht="15" customHeight="1" x14ac:dyDescent="0.3">
      <c r="A158" s="250">
        <f>VLOOKUP($B158,Reporting!$AM:$BK,MATCH($A$155,Reporting!$AN$4:$BK$4,0)+1,FALSE)</f>
        <v>1</v>
      </c>
      <c r="B158" s="262" t="s">
        <v>372</v>
      </c>
      <c r="C158" s="114">
        <v>0.34</v>
      </c>
      <c r="D158" s="6">
        <v>0.61</v>
      </c>
      <c r="E158" s="7">
        <f t="shared" si="123"/>
        <v>0.2074</v>
      </c>
      <c r="F158" s="7">
        <f t="shared" ref="F158:F165" si="130">A158*E158</f>
        <v>0.2074</v>
      </c>
      <c r="G158" s="8">
        <f t="shared" si="124"/>
        <v>2.5925E-2</v>
      </c>
      <c r="H158" s="9">
        <f t="shared" ref="H158:H165" si="131">C158</f>
        <v>0.34</v>
      </c>
      <c r="I158" s="10">
        <v>0.61</v>
      </c>
      <c r="J158" s="10">
        <f t="shared" si="125"/>
        <v>0.2074</v>
      </c>
      <c r="K158" s="10">
        <f t="shared" ref="K158:K165" si="132">A158*J158</f>
        <v>0.2074</v>
      </c>
      <c r="L158" s="11">
        <f t="shared" si="126"/>
        <v>2.5925E-2</v>
      </c>
      <c r="M158" s="12">
        <f t="shared" si="127"/>
        <v>0.34</v>
      </c>
      <c r="N158" s="13">
        <v>0.55000000000000004</v>
      </c>
      <c r="O158" s="13">
        <f t="shared" si="128"/>
        <v>0.18700000000000003</v>
      </c>
      <c r="P158" s="13">
        <f t="shared" ref="P158:P165" si="133">A158*O158</f>
        <v>0.18700000000000003</v>
      </c>
      <c r="Q158" s="14">
        <f t="shared" si="129"/>
        <v>2.3375000000000003E-2</v>
      </c>
    </row>
    <row r="159" spans="1:25" ht="15" customHeight="1" x14ac:dyDescent="0.3">
      <c r="A159" s="250">
        <f>VLOOKUP($B159,Reporting!$AM:$BK,MATCH($A$155,Reporting!$AN$4:$BK$4,0)+1,FALSE)</f>
        <v>0</v>
      </c>
      <c r="B159" s="262" t="s">
        <v>389</v>
      </c>
      <c r="C159" s="114">
        <v>0.41</v>
      </c>
      <c r="D159" s="6">
        <v>0.61</v>
      </c>
      <c r="E159" s="7">
        <f t="shared" si="123"/>
        <v>0.25009999999999999</v>
      </c>
      <c r="F159" s="7">
        <f t="shared" si="130"/>
        <v>0</v>
      </c>
      <c r="G159" s="8">
        <f t="shared" si="124"/>
        <v>0</v>
      </c>
      <c r="H159" s="9">
        <f t="shared" si="131"/>
        <v>0.41</v>
      </c>
      <c r="I159" s="10">
        <v>0.61</v>
      </c>
      <c r="J159" s="10">
        <f t="shared" si="125"/>
        <v>0.25009999999999999</v>
      </c>
      <c r="K159" s="10">
        <f t="shared" si="132"/>
        <v>0</v>
      </c>
      <c r="L159" s="11">
        <f t="shared" si="126"/>
        <v>0</v>
      </c>
      <c r="M159" s="12">
        <f t="shared" si="127"/>
        <v>0.41</v>
      </c>
      <c r="N159" s="13">
        <v>0.55000000000000004</v>
      </c>
      <c r="O159" s="13">
        <f t="shared" si="128"/>
        <v>0.22550000000000001</v>
      </c>
      <c r="P159" s="13">
        <f t="shared" si="133"/>
        <v>0</v>
      </c>
      <c r="Q159" s="14">
        <f t="shared" si="129"/>
        <v>0</v>
      </c>
    </row>
    <row r="160" spans="1:25" ht="15" customHeight="1" x14ac:dyDescent="0.3">
      <c r="A160" s="250">
        <f>VLOOKUP($B160,Reporting!$AM:$BK,MATCH($A$155,Reporting!$AN$4:$BK$4,0)+1,FALSE)</f>
        <v>0</v>
      </c>
      <c r="B160" s="262" t="s">
        <v>373</v>
      </c>
      <c r="C160" s="114">
        <v>0.48</v>
      </c>
      <c r="D160" s="6">
        <v>0.61</v>
      </c>
      <c r="E160" s="7">
        <f t="shared" si="123"/>
        <v>0.2928</v>
      </c>
      <c r="F160" s="7">
        <f t="shared" si="130"/>
        <v>0</v>
      </c>
      <c r="G160" s="8">
        <f t="shared" si="124"/>
        <v>0</v>
      </c>
      <c r="H160" s="9">
        <f t="shared" si="131"/>
        <v>0.48</v>
      </c>
      <c r="I160" s="10">
        <v>0.61</v>
      </c>
      <c r="J160" s="10">
        <f t="shared" si="125"/>
        <v>0.2928</v>
      </c>
      <c r="K160" s="10">
        <f t="shared" si="132"/>
        <v>0</v>
      </c>
      <c r="L160" s="11">
        <f t="shared" si="126"/>
        <v>0</v>
      </c>
      <c r="M160" s="12">
        <f t="shared" si="127"/>
        <v>0.48</v>
      </c>
      <c r="N160" s="13">
        <v>0.55000000000000004</v>
      </c>
      <c r="O160" s="13">
        <f t="shared" si="128"/>
        <v>0.26400000000000001</v>
      </c>
      <c r="P160" s="13">
        <f t="shared" si="133"/>
        <v>0</v>
      </c>
      <c r="Q160" s="14">
        <f t="shared" si="129"/>
        <v>0</v>
      </c>
    </row>
    <row r="161" spans="1:17" ht="15" customHeight="1" x14ac:dyDescent="0.3">
      <c r="A161" s="250">
        <f>VLOOKUP($B161,Reporting!$AM:$BK,MATCH($A$155,Reporting!$AN$4:$BK$4,0)+1,FALSE)</f>
        <v>0</v>
      </c>
      <c r="B161" s="262" t="s">
        <v>374</v>
      </c>
      <c r="C161" s="114">
        <v>0.51</v>
      </c>
      <c r="D161" s="6">
        <v>0.61</v>
      </c>
      <c r="E161" s="7">
        <f t="shared" si="123"/>
        <v>0.31109999999999999</v>
      </c>
      <c r="F161" s="7">
        <f t="shared" si="130"/>
        <v>0</v>
      </c>
      <c r="G161" s="8">
        <f t="shared" si="124"/>
        <v>0</v>
      </c>
      <c r="H161" s="9">
        <f t="shared" si="131"/>
        <v>0.51</v>
      </c>
      <c r="I161" s="10">
        <v>0.61</v>
      </c>
      <c r="J161" s="10">
        <f t="shared" si="125"/>
        <v>0.31109999999999999</v>
      </c>
      <c r="K161" s="10">
        <f t="shared" si="132"/>
        <v>0</v>
      </c>
      <c r="L161" s="11">
        <f t="shared" si="126"/>
        <v>0</v>
      </c>
      <c r="M161" s="12">
        <f t="shared" si="127"/>
        <v>0.51</v>
      </c>
      <c r="N161" s="13">
        <v>0.55000000000000004</v>
      </c>
      <c r="O161" s="13">
        <f t="shared" si="128"/>
        <v>0.28050000000000003</v>
      </c>
      <c r="P161" s="13">
        <f t="shared" si="133"/>
        <v>0</v>
      </c>
      <c r="Q161" s="14">
        <f t="shared" si="129"/>
        <v>0</v>
      </c>
    </row>
    <row r="162" spans="1:17" ht="15.75" customHeight="1" x14ac:dyDescent="0.3">
      <c r="A162" s="250">
        <f>VLOOKUP($B162,Reporting!$AM:$BK,MATCH($A$155,Reporting!$AN$4:$BK$4,0)+1,FALSE)</f>
        <v>0</v>
      </c>
      <c r="B162" s="266" t="s">
        <v>390</v>
      </c>
      <c r="C162" s="97">
        <v>0.63</v>
      </c>
      <c r="D162" s="6">
        <v>0.61</v>
      </c>
      <c r="E162" s="7">
        <f t="shared" si="123"/>
        <v>0.38429999999999997</v>
      </c>
      <c r="F162" s="7">
        <f t="shared" si="130"/>
        <v>0</v>
      </c>
      <c r="G162" s="8">
        <f t="shared" si="124"/>
        <v>0</v>
      </c>
      <c r="H162" s="9">
        <f t="shared" si="131"/>
        <v>0.63</v>
      </c>
      <c r="I162" s="10">
        <v>0.61</v>
      </c>
      <c r="J162" s="10">
        <f t="shared" si="125"/>
        <v>0.38429999999999997</v>
      </c>
      <c r="K162" s="10">
        <f t="shared" si="132"/>
        <v>0</v>
      </c>
      <c r="L162" s="11">
        <f t="shared" si="126"/>
        <v>0</v>
      </c>
      <c r="M162" s="12">
        <f t="shared" si="127"/>
        <v>0.63</v>
      </c>
      <c r="N162" s="13">
        <v>0.55000000000000004</v>
      </c>
      <c r="O162" s="13">
        <f t="shared" si="128"/>
        <v>0.34650000000000003</v>
      </c>
      <c r="P162" s="13">
        <f t="shared" si="133"/>
        <v>0</v>
      </c>
      <c r="Q162" s="14">
        <f t="shared" si="129"/>
        <v>0</v>
      </c>
    </row>
    <row r="163" spans="1:17" x14ac:dyDescent="0.3">
      <c r="A163" s="250">
        <f>VLOOKUP($B163,Reporting!$AM:$BK,MATCH($A$155,Reporting!$AN$4:$BK$4,0)+1,FALSE)</f>
        <v>0</v>
      </c>
      <c r="B163" s="266" t="s">
        <v>376</v>
      </c>
      <c r="C163" s="97">
        <v>1.06</v>
      </c>
      <c r="D163" s="6">
        <v>0.61</v>
      </c>
      <c r="E163" s="7">
        <f t="shared" si="123"/>
        <v>0.64660000000000006</v>
      </c>
      <c r="F163" s="7">
        <f t="shared" si="130"/>
        <v>0</v>
      </c>
      <c r="G163" s="8">
        <f t="shared" si="124"/>
        <v>0</v>
      </c>
      <c r="H163" s="9">
        <f t="shared" si="131"/>
        <v>1.06</v>
      </c>
      <c r="I163" s="10">
        <v>0.61</v>
      </c>
      <c r="J163" s="10">
        <f t="shared" si="125"/>
        <v>0.64660000000000006</v>
      </c>
      <c r="K163" s="10">
        <f t="shared" si="132"/>
        <v>0</v>
      </c>
      <c r="L163" s="11">
        <f t="shared" si="126"/>
        <v>0</v>
      </c>
      <c r="M163" s="12">
        <f t="shared" si="127"/>
        <v>1.06</v>
      </c>
      <c r="N163" s="13">
        <v>0.55000000000000004</v>
      </c>
      <c r="O163" s="13">
        <f t="shared" si="128"/>
        <v>0.58300000000000007</v>
      </c>
      <c r="P163" s="13">
        <f t="shared" si="133"/>
        <v>0</v>
      </c>
      <c r="Q163" s="14">
        <f t="shared" si="129"/>
        <v>0</v>
      </c>
    </row>
    <row r="164" spans="1:17" x14ac:dyDescent="0.3">
      <c r="A164" s="250">
        <f>VLOOKUP($B164,Reporting!$AM:$BK,MATCH($A$155,Reporting!$AN$4:$BK$4,0)+1,FALSE)</f>
        <v>0</v>
      </c>
      <c r="B164" s="266" t="s">
        <v>391</v>
      </c>
      <c r="C164" s="97">
        <v>1.27</v>
      </c>
      <c r="D164" s="6">
        <v>0.61</v>
      </c>
      <c r="E164" s="7">
        <f t="shared" si="123"/>
        <v>0.77469999999999994</v>
      </c>
      <c r="F164" s="7">
        <f t="shared" si="130"/>
        <v>0</v>
      </c>
      <c r="G164" s="8">
        <f t="shared" si="124"/>
        <v>0</v>
      </c>
      <c r="H164" s="9">
        <f t="shared" si="131"/>
        <v>1.27</v>
      </c>
      <c r="I164" s="10">
        <v>0.61</v>
      </c>
      <c r="J164" s="10">
        <f t="shared" si="125"/>
        <v>0.77469999999999994</v>
      </c>
      <c r="K164" s="10">
        <f t="shared" si="132"/>
        <v>0</v>
      </c>
      <c r="L164" s="11">
        <f t="shared" si="126"/>
        <v>0</v>
      </c>
      <c r="M164" s="12">
        <f t="shared" si="127"/>
        <v>1.27</v>
      </c>
      <c r="N164" s="13">
        <v>0.55000000000000004</v>
      </c>
      <c r="O164" s="13">
        <f t="shared" si="128"/>
        <v>0.69850000000000012</v>
      </c>
      <c r="P164" s="13">
        <f t="shared" si="133"/>
        <v>0</v>
      </c>
      <c r="Q164" s="14">
        <f t="shared" si="129"/>
        <v>0</v>
      </c>
    </row>
    <row r="165" spans="1:17" x14ac:dyDescent="0.3">
      <c r="A165" s="250">
        <f>VLOOKUP($B165,Reporting!$AM:$BK,MATCH($A$155,Reporting!$AN$4:$BK$4,0)+1,FALSE)</f>
        <v>0</v>
      </c>
      <c r="B165" s="266" t="s">
        <v>392</v>
      </c>
      <c r="C165" s="97">
        <v>1.69</v>
      </c>
      <c r="D165" s="6">
        <v>0.61</v>
      </c>
      <c r="E165" s="7">
        <f t="shared" si="123"/>
        <v>1.0308999999999999</v>
      </c>
      <c r="F165" s="7">
        <f t="shared" si="130"/>
        <v>0</v>
      </c>
      <c r="G165" s="8">
        <f t="shared" si="124"/>
        <v>0</v>
      </c>
      <c r="H165" s="9">
        <f t="shared" si="131"/>
        <v>1.69</v>
      </c>
      <c r="I165" s="10">
        <v>0.61</v>
      </c>
      <c r="J165" s="10">
        <f t="shared" si="125"/>
        <v>1.0308999999999999</v>
      </c>
      <c r="K165" s="10">
        <f t="shared" si="132"/>
        <v>0</v>
      </c>
      <c r="L165" s="11">
        <f t="shared" si="126"/>
        <v>0</v>
      </c>
      <c r="M165" s="12">
        <f t="shared" si="127"/>
        <v>1.69</v>
      </c>
      <c r="N165" s="13">
        <v>0.55000000000000004</v>
      </c>
      <c r="O165" s="13">
        <f t="shared" si="128"/>
        <v>0.92949999999999999</v>
      </c>
      <c r="P165" s="13">
        <f t="shared" si="133"/>
        <v>0</v>
      </c>
      <c r="Q165" s="14">
        <f t="shared" si="129"/>
        <v>0</v>
      </c>
    </row>
    <row r="166" spans="1:17" ht="15" thickBot="1" x14ac:dyDescent="0.35">
      <c r="A166" s="3">
        <f>SUM(A157:A165)</f>
        <v>1</v>
      </c>
      <c r="B166" s="267"/>
      <c r="C166" s="4"/>
      <c r="D166" s="644" t="s">
        <v>9</v>
      </c>
      <c r="E166" s="645"/>
      <c r="F166" s="645"/>
      <c r="G166" s="16">
        <f>SUM(G157:G165)</f>
        <v>2.5925E-2</v>
      </c>
      <c r="H166" s="1"/>
      <c r="I166" s="646" t="s">
        <v>10</v>
      </c>
      <c r="J166" s="646"/>
      <c r="K166" s="646"/>
      <c r="L166" s="17">
        <f>SUM(L157:L165)</f>
        <v>2.5925E-2</v>
      </c>
      <c r="M166" s="15"/>
      <c r="N166" s="647" t="s">
        <v>11</v>
      </c>
      <c r="O166" s="647"/>
      <c r="P166" s="647"/>
      <c r="Q166" s="18">
        <f>SUM(Q157:Q165)</f>
        <v>2.3375000000000003E-2</v>
      </c>
    </row>
    <row r="167" spans="1:17" ht="15" thickBot="1" x14ac:dyDescent="0.35"/>
    <row r="168" spans="1:17" ht="15" customHeight="1" x14ac:dyDescent="0.3">
      <c r="A168" s="689" t="s">
        <v>176</v>
      </c>
      <c r="B168" s="689"/>
      <c r="C168" s="689"/>
      <c r="D168" s="689"/>
      <c r="E168" s="689"/>
      <c r="F168" s="689"/>
      <c r="G168" s="122"/>
      <c r="H168" s="730" t="s">
        <v>134</v>
      </c>
      <c r="I168" s="730"/>
      <c r="J168" s="730"/>
      <c r="K168" s="2"/>
      <c r="L168" s="2"/>
      <c r="M168" s="2"/>
      <c r="N168" s="2"/>
      <c r="O168" s="2"/>
      <c r="P168" s="2"/>
      <c r="Q168" s="5"/>
    </row>
    <row r="169" spans="1:17" ht="15" customHeight="1" x14ac:dyDescent="0.3">
      <c r="A169" s="690"/>
      <c r="B169" s="690"/>
      <c r="C169" s="690"/>
      <c r="D169" s="690"/>
      <c r="E169" s="690"/>
      <c r="F169" s="690"/>
      <c r="G169" s="123"/>
      <c r="H169" s="732"/>
      <c r="I169" s="732"/>
      <c r="J169" s="732"/>
      <c r="K169" s="29"/>
      <c r="L169" s="29"/>
      <c r="M169" s="29"/>
      <c r="N169" s="29"/>
      <c r="O169" s="29"/>
      <c r="P169" s="29"/>
      <c r="Q169" s="30"/>
    </row>
    <row r="170" spans="1:17" x14ac:dyDescent="0.3">
      <c r="A170" s="250">
        <f>VLOOKUP($B170,Reporting!$AM:$BK,MATCH($A$168,Reporting!$AN$4:$BK$4,0)+1,FALSE)</f>
        <v>0</v>
      </c>
      <c r="B170" s="262" t="s">
        <v>371</v>
      </c>
      <c r="C170" s="114">
        <v>0.14000000000000001</v>
      </c>
      <c r="D170" s="6">
        <v>0.61</v>
      </c>
      <c r="E170" s="7">
        <f t="shared" ref="E170:E178" si="134">C170*D170</f>
        <v>8.5400000000000004E-2</v>
      </c>
      <c r="F170" s="7">
        <f>A170*E170</f>
        <v>0</v>
      </c>
      <c r="G170" s="8">
        <f t="shared" ref="G170:G178" si="135">F170/8</f>
        <v>0</v>
      </c>
      <c r="H170" s="9">
        <f>C170</f>
        <v>0.14000000000000001</v>
      </c>
      <c r="I170" s="10">
        <v>0.61</v>
      </c>
      <c r="J170" s="10">
        <f t="shared" ref="J170:J178" si="136">H170*I170</f>
        <v>8.5400000000000004E-2</v>
      </c>
      <c r="K170" s="10">
        <f>A170*J170</f>
        <v>0</v>
      </c>
      <c r="L170" s="11">
        <f t="shared" ref="L170:L178" si="137">K170/8</f>
        <v>0</v>
      </c>
      <c r="M170" s="12">
        <f t="shared" ref="M170:M178" si="138">H170</f>
        <v>0.14000000000000001</v>
      </c>
      <c r="N170" s="13">
        <v>0.55000000000000004</v>
      </c>
      <c r="O170" s="13">
        <f t="shared" ref="O170:O178" si="139">M170*N170</f>
        <v>7.7000000000000013E-2</v>
      </c>
      <c r="P170" s="13">
        <f>A170*O170</f>
        <v>0</v>
      </c>
      <c r="Q170" s="14">
        <f t="shared" ref="Q170:Q178" si="140">P170/8</f>
        <v>0</v>
      </c>
    </row>
    <row r="171" spans="1:17" x14ac:dyDescent="0.3">
      <c r="A171" s="250">
        <f>VLOOKUP($B171,Reporting!$AM:$BK,MATCH($A$168,Reporting!$AN$4:$BK$4,0)+1,FALSE)</f>
        <v>0</v>
      </c>
      <c r="B171" s="262" t="s">
        <v>372</v>
      </c>
      <c r="C171" s="114">
        <v>0.19600000000000001</v>
      </c>
      <c r="D171" s="6">
        <v>0.61</v>
      </c>
      <c r="E171" s="7">
        <f t="shared" si="134"/>
        <v>0.11956</v>
      </c>
      <c r="F171" s="7">
        <f t="shared" ref="F171:F178" si="141">A171*E171</f>
        <v>0</v>
      </c>
      <c r="G171" s="8">
        <f t="shared" si="135"/>
        <v>0</v>
      </c>
      <c r="H171" s="9">
        <f t="shared" ref="H171:H178" si="142">C171</f>
        <v>0.19600000000000001</v>
      </c>
      <c r="I171" s="10">
        <v>0.61</v>
      </c>
      <c r="J171" s="10">
        <f t="shared" si="136"/>
        <v>0.11956</v>
      </c>
      <c r="K171" s="10">
        <f t="shared" ref="K171:K178" si="143">A171*J171</f>
        <v>0</v>
      </c>
      <c r="L171" s="11">
        <f t="shared" si="137"/>
        <v>0</v>
      </c>
      <c r="M171" s="12">
        <f t="shared" si="138"/>
        <v>0.19600000000000001</v>
      </c>
      <c r="N171" s="13">
        <v>0.55000000000000004</v>
      </c>
      <c r="O171" s="13">
        <f t="shared" si="139"/>
        <v>0.10780000000000001</v>
      </c>
      <c r="P171" s="13">
        <f t="shared" ref="P171:P178" si="144">A171*O171</f>
        <v>0</v>
      </c>
      <c r="Q171" s="14">
        <f t="shared" si="140"/>
        <v>0</v>
      </c>
    </row>
    <row r="172" spans="1:17" x14ac:dyDescent="0.3">
      <c r="A172" s="250">
        <f>VLOOKUP($B172,Reporting!$AM:$BK,MATCH($A$168,Reporting!$AN$4:$BK$4,0)+1,FALSE)</f>
        <v>0</v>
      </c>
      <c r="B172" s="262" t="s">
        <v>389</v>
      </c>
      <c r="C172" s="114">
        <v>0.23799999999999999</v>
      </c>
      <c r="D172" s="6">
        <v>0.61</v>
      </c>
      <c r="E172" s="7">
        <f t="shared" si="134"/>
        <v>0.14518</v>
      </c>
      <c r="F172" s="7">
        <f t="shared" si="141"/>
        <v>0</v>
      </c>
      <c r="G172" s="8">
        <f t="shared" si="135"/>
        <v>0</v>
      </c>
      <c r="H172" s="9">
        <f t="shared" si="142"/>
        <v>0.23799999999999999</v>
      </c>
      <c r="I172" s="10">
        <v>0.61</v>
      </c>
      <c r="J172" s="10">
        <f t="shared" si="136"/>
        <v>0.14518</v>
      </c>
      <c r="K172" s="10">
        <f t="shared" si="143"/>
        <v>0</v>
      </c>
      <c r="L172" s="11">
        <f t="shared" si="137"/>
        <v>0</v>
      </c>
      <c r="M172" s="12">
        <f t="shared" si="138"/>
        <v>0.23799999999999999</v>
      </c>
      <c r="N172" s="13">
        <v>0.55000000000000004</v>
      </c>
      <c r="O172" s="13">
        <f t="shared" si="139"/>
        <v>0.13090000000000002</v>
      </c>
      <c r="P172" s="13">
        <f t="shared" si="144"/>
        <v>0</v>
      </c>
      <c r="Q172" s="14">
        <f t="shared" si="140"/>
        <v>0</v>
      </c>
    </row>
    <row r="173" spans="1:17" x14ac:dyDescent="0.3">
      <c r="A173" s="250">
        <f>VLOOKUP($B173,Reporting!$AM:$BK,MATCH($A$168,Reporting!$AN$4:$BK$4,0)+1,FALSE)</f>
        <v>0</v>
      </c>
      <c r="B173" s="262" t="s">
        <v>373</v>
      </c>
      <c r="C173" s="114">
        <v>0.28000000000000003</v>
      </c>
      <c r="D173" s="6">
        <v>0.61</v>
      </c>
      <c r="E173" s="7">
        <f t="shared" si="134"/>
        <v>0.17080000000000001</v>
      </c>
      <c r="F173" s="7">
        <f t="shared" si="141"/>
        <v>0</v>
      </c>
      <c r="G173" s="8">
        <f t="shared" si="135"/>
        <v>0</v>
      </c>
      <c r="H173" s="9">
        <f t="shared" si="142"/>
        <v>0.28000000000000003</v>
      </c>
      <c r="I173" s="10">
        <v>0.61</v>
      </c>
      <c r="J173" s="10">
        <f t="shared" si="136"/>
        <v>0.17080000000000001</v>
      </c>
      <c r="K173" s="10">
        <f t="shared" si="143"/>
        <v>0</v>
      </c>
      <c r="L173" s="11">
        <f t="shared" si="137"/>
        <v>0</v>
      </c>
      <c r="M173" s="12">
        <f t="shared" si="138"/>
        <v>0.28000000000000003</v>
      </c>
      <c r="N173" s="13">
        <v>0.55000000000000004</v>
      </c>
      <c r="O173" s="13">
        <f t="shared" si="139"/>
        <v>0.15400000000000003</v>
      </c>
      <c r="P173" s="13">
        <f t="shared" si="144"/>
        <v>0</v>
      </c>
      <c r="Q173" s="14">
        <f t="shared" si="140"/>
        <v>0</v>
      </c>
    </row>
    <row r="174" spans="1:17" x14ac:dyDescent="0.3">
      <c r="A174" s="250">
        <f>VLOOKUP($B174,Reporting!$AM:$BK,MATCH($A$168,Reporting!$AN$4:$BK$4,0)+1,FALSE)</f>
        <v>0</v>
      </c>
      <c r="B174" s="262" t="s">
        <v>374</v>
      </c>
      <c r="C174" s="114">
        <v>0.308</v>
      </c>
      <c r="D174" s="6">
        <v>0.61</v>
      </c>
      <c r="E174" s="7">
        <f t="shared" si="134"/>
        <v>0.18787999999999999</v>
      </c>
      <c r="F174" s="7">
        <f t="shared" si="141"/>
        <v>0</v>
      </c>
      <c r="G174" s="8">
        <f t="shared" si="135"/>
        <v>0</v>
      </c>
      <c r="H174" s="9">
        <f t="shared" si="142"/>
        <v>0.308</v>
      </c>
      <c r="I174" s="10">
        <v>0.61</v>
      </c>
      <c r="J174" s="10">
        <f t="shared" si="136"/>
        <v>0.18787999999999999</v>
      </c>
      <c r="K174" s="10">
        <f t="shared" si="143"/>
        <v>0</v>
      </c>
      <c r="L174" s="11">
        <f t="shared" si="137"/>
        <v>0</v>
      </c>
      <c r="M174" s="12">
        <f t="shared" si="138"/>
        <v>0.308</v>
      </c>
      <c r="N174" s="13">
        <v>0.55000000000000004</v>
      </c>
      <c r="O174" s="13">
        <f t="shared" si="139"/>
        <v>0.16940000000000002</v>
      </c>
      <c r="P174" s="13">
        <f t="shared" si="144"/>
        <v>0</v>
      </c>
      <c r="Q174" s="14">
        <f t="shared" si="140"/>
        <v>0</v>
      </c>
    </row>
    <row r="175" spans="1:17" x14ac:dyDescent="0.3">
      <c r="A175" s="250">
        <f>VLOOKUP($B175,Reporting!$AM:$BK,MATCH($A$168,Reporting!$AN$4:$BK$4,0)+1,FALSE)</f>
        <v>0</v>
      </c>
      <c r="B175" s="266" t="s">
        <v>390</v>
      </c>
      <c r="C175" s="97">
        <v>0.371</v>
      </c>
      <c r="D175" s="6">
        <v>0.61</v>
      </c>
      <c r="E175" s="7">
        <f t="shared" si="134"/>
        <v>0.22630999999999998</v>
      </c>
      <c r="F175" s="7">
        <f t="shared" si="141"/>
        <v>0</v>
      </c>
      <c r="G175" s="8">
        <f t="shared" si="135"/>
        <v>0</v>
      </c>
      <c r="H175" s="9">
        <f t="shared" si="142"/>
        <v>0.371</v>
      </c>
      <c r="I175" s="10">
        <v>0.61</v>
      </c>
      <c r="J175" s="10">
        <f t="shared" si="136"/>
        <v>0.22630999999999998</v>
      </c>
      <c r="K175" s="10">
        <f t="shared" si="143"/>
        <v>0</v>
      </c>
      <c r="L175" s="11">
        <f t="shared" si="137"/>
        <v>0</v>
      </c>
      <c r="M175" s="12">
        <f t="shared" si="138"/>
        <v>0.371</v>
      </c>
      <c r="N175" s="13">
        <v>0.55000000000000004</v>
      </c>
      <c r="O175" s="13">
        <f t="shared" si="139"/>
        <v>0.20405000000000001</v>
      </c>
      <c r="P175" s="13">
        <f t="shared" si="144"/>
        <v>0</v>
      </c>
      <c r="Q175" s="14">
        <f t="shared" si="140"/>
        <v>0</v>
      </c>
    </row>
    <row r="176" spans="1:17" x14ac:dyDescent="0.3">
      <c r="A176" s="250">
        <f>VLOOKUP($B176,Reporting!$AM:$BK,MATCH($A$168,Reporting!$AN$4:$BK$4,0)+1,FALSE)</f>
        <v>0</v>
      </c>
      <c r="B176" s="266" t="s">
        <v>376</v>
      </c>
      <c r="C176" s="97">
        <v>0.623</v>
      </c>
      <c r="D176" s="6">
        <v>0.61</v>
      </c>
      <c r="E176" s="7">
        <f t="shared" si="134"/>
        <v>0.38002999999999998</v>
      </c>
      <c r="F176" s="7">
        <f t="shared" si="141"/>
        <v>0</v>
      </c>
      <c r="G176" s="8">
        <f t="shared" si="135"/>
        <v>0</v>
      </c>
      <c r="H176" s="9">
        <f t="shared" si="142"/>
        <v>0.623</v>
      </c>
      <c r="I176" s="10">
        <v>0.61</v>
      </c>
      <c r="J176" s="10">
        <f t="shared" si="136"/>
        <v>0.38002999999999998</v>
      </c>
      <c r="K176" s="10">
        <f t="shared" si="143"/>
        <v>0</v>
      </c>
      <c r="L176" s="11">
        <f t="shared" si="137"/>
        <v>0</v>
      </c>
      <c r="M176" s="12">
        <f t="shared" si="138"/>
        <v>0.623</v>
      </c>
      <c r="N176" s="13">
        <v>0.55000000000000004</v>
      </c>
      <c r="O176" s="13">
        <f t="shared" si="139"/>
        <v>0.34265000000000001</v>
      </c>
      <c r="P176" s="13">
        <f t="shared" si="144"/>
        <v>0</v>
      </c>
      <c r="Q176" s="14">
        <f t="shared" si="140"/>
        <v>0</v>
      </c>
    </row>
    <row r="177" spans="1:17" x14ac:dyDescent="0.3">
      <c r="A177" s="250">
        <f>VLOOKUP($B177,Reporting!$AM:$BK,MATCH($A$168,Reporting!$AN$4:$BK$4,0)+1,FALSE)</f>
        <v>0</v>
      </c>
      <c r="B177" s="266" t="s">
        <v>391</v>
      </c>
      <c r="C177" s="97">
        <v>0.74199999999999999</v>
      </c>
      <c r="D177" s="6">
        <v>0.61</v>
      </c>
      <c r="E177" s="7">
        <f t="shared" si="134"/>
        <v>0.45261999999999997</v>
      </c>
      <c r="F177" s="7">
        <f t="shared" si="141"/>
        <v>0</v>
      </c>
      <c r="G177" s="8">
        <f t="shared" si="135"/>
        <v>0</v>
      </c>
      <c r="H177" s="9">
        <f t="shared" si="142"/>
        <v>0.74199999999999999</v>
      </c>
      <c r="I177" s="10">
        <v>0.61</v>
      </c>
      <c r="J177" s="10">
        <f t="shared" si="136"/>
        <v>0.45261999999999997</v>
      </c>
      <c r="K177" s="10">
        <f t="shared" si="143"/>
        <v>0</v>
      </c>
      <c r="L177" s="11">
        <f t="shared" si="137"/>
        <v>0</v>
      </c>
      <c r="M177" s="12">
        <f t="shared" si="138"/>
        <v>0.74199999999999999</v>
      </c>
      <c r="N177" s="13">
        <v>0.55000000000000004</v>
      </c>
      <c r="O177" s="13">
        <f t="shared" si="139"/>
        <v>0.40810000000000002</v>
      </c>
      <c r="P177" s="13">
        <f t="shared" si="144"/>
        <v>0</v>
      </c>
      <c r="Q177" s="14">
        <f t="shared" si="140"/>
        <v>0</v>
      </c>
    </row>
    <row r="178" spans="1:17" x14ac:dyDescent="0.3">
      <c r="A178" s="250">
        <f>VLOOKUP($B178,Reporting!$AM:$BK,MATCH($A$168,Reporting!$AN$4:$BK$4,0)+1,FALSE)</f>
        <v>0</v>
      </c>
      <c r="B178" s="266" t="s">
        <v>392</v>
      </c>
      <c r="C178" s="97">
        <v>0.99399999999999999</v>
      </c>
      <c r="D178" s="6">
        <v>0.61</v>
      </c>
      <c r="E178" s="7">
        <f t="shared" si="134"/>
        <v>0.60633999999999999</v>
      </c>
      <c r="F178" s="7">
        <f t="shared" si="141"/>
        <v>0</v>
      </c>
      <c r="G178" s="8">
        <f t="shared" si="135"/>
        <v>0</v>
      </c>
      <c r="H178" s="9">
        <f t="shared" si="142"/>
        <v>0.99399999999999999</v>
      </c>
      <c r="I178" s="10">
        <v>0.61</v>
      </c>
      <c r="J178" s="10">
        <f t="shared" si="136"/>
        <v>0.60633999999999999</v>
      </c>
      <c r="K178" s="10">
        <f t="shared" si="143"/>
        <v>0</v>
      </c>
      <c r="L178" s="11">
        <f t="shared" si="137"/>
        <v>0</v>
      </c>
      <c r="M178" s="12">
        <f t="shared" si="138"/>
        <v>0.99399999999999999</v>
      </c>
      <c r="N178" s="13">
        <v>0.55000000000000004</v>
      </c>
      <c r="O178" s="13">
        <f t="shared" si="139"/>
        <v>0.54670000000000007</v>
      </c>
      <c r="P178" s="13">
        <f t="shared" si="144"/>
        <v>0</v>
      </c>
      <c r="Q178" s="14">
        <f t="shared" si="140"/>
        <v>0</v>
      </c>
    </row>
    <row r="179" spans="1:17" ht="15" thickBot="1" x14ac:dyDescent="0.35">
      <c r="A179" s="3">
        <f>SUM(A170:A178)</f>
        <v>0</v>
      </c>
      <c r="B179" s="267"/>
      <c r="C179" s="4"/>
      <c r="D179" s="644" t="s">
        <v>9</v>
      </c>
      <c r="E179" s="645"/>
      <c r="F179" s="645"/>
      <c r="G179" s="16">
        <f>SUM(G170:G178)</f>
        <v>0</v>
      </c>
      <c r="H179" s="1"/>
      <c r="I179" s="646" t="s">
        <v>10</v>
      </c>
      <c r="J179" s="646"/>
      <c r="K179" s="646"/>
      <c r="L179" s="17">
        <f>SUM(L170:L178)</f>
        <v>0</v>
      </c>
      <c r="M179" s="15"/>
      <c r="N179" s="647" t="s">
        <v>11</v>
      </c>
      <c r="O179" s="647"/>
      <c r="P179" s="647"/>
      <c r="Q179" s="18">
        <f>SUM(Q170:Q178)</f>
        <v>0</v>
      </c>
    </row>
    <row r="180" spans="1:17" ht="15" thickBot="1" x14ac:dyDescent="0.35"/>
    <row r="181" spans="1:17" ht="15" customHeight="1" x14ac:dyDescent="0.3">
      <c r="A181" s="689" t="s">
        <v>177</v>
      </c>
      <c r="B181" s="689"/>
      <c r="C181" s="689"/>
      <c r="D181" s="689"/>
      <c r="E181" s="689"/>
      <c r="F181" s="689"/>
      <c r="G181" s="689"/>
      <c r="H181" s="689"/>
      <c r="I181" s="689"/>
      <c r="J181" s="689"/>
      <c r="K181" s="689"/>
      <c r="L181" s="689"/>
      <c r="M181" s="689"/>
      <c r="N181" s="730" t="s">
        <v>99</v>
      </c>
      <c r="O181" s="730"/>
      <c r="P181" s="730"/>
      <c r="Q181" s="5"/>
    </row>
    <row r="182" spans="1:17" ht="15" customHeight="1" x14ac:dyDescent="0.3">
      <c r="A182" s="690"/>
      <c r="B182" s="690"/>
      <c r="C182" s="690"/>
      <c r="D182" s="690"/>
      <c r="E182" s="690"/>
      <c r="F182" s="690"/>
      <c r="G182" s="690"/>
      <c r="H182" s="690"/>
      <c r="I182" s="690"/>
      <c r="J182" s="690"/>
      <c r="K182" s="690"/>
      <c r="L182" s="690"/>
      <c r="M182" s="690"/>
      <c r="N182" s="732"/>
      <c r="O182" s="732"/>
      <c r="P182" s="732"/>
      <c r="Q182" s="30"/>
    </row>
    <row r="183" spans="1:17" ht="15" customHeight="1" x14ac:dyDescent="0.3">
      <c r="A183" s="250">
        <f>VLOOKUP($B183,Reporting!$AM:$BK,MATCH(LEFT($A$181,FIND("(",$A$181)-2),Reporting!$AN$4:$BK$4,0)+1,FALSE)</f>
        <v>0</v>
      </c>
      <c r="B183" s="262" t="s">
        <v>374</v>
      </c>
      <c r="C183" s="96">
        <v>7.0000000000000007E-2</v>
      </c>
      <c r="D183" s="6">
        <v>0.61</v>
      </c>
      <c r="E183" s="7">
        <f>C183*D183</f>
        <v>4.2700000000000002E-2</v>
      </c>
      <c r="F183" s="7">
        <f>A183*E183</f>
        <v>0</v>
      </c>
      <c r="G183" s="8">
        <f>F183/8</f>
        <v>0</v>
      </c>
      <c r="H183" s="9">
        <f>C183</f>
        <v>7.0000000000000007E-2</v>
      </c>
      <c r="I183" s="10">
        <v>0.61</v>
      </c>
      <c r="J183" s="10">
        <f>H183*I183</f>
        <v>4.2700000000000002E-2</v>
      </c>
      <c r="K183" s="10">
        <f>A183*J183</f>
        <v>0</v>
      </c>
      <c r="L183" s="11">
        <f>K183/8</f>
        <v>0</v>
      </c>
      <c r="M183" s="12">
        <f>H183</f>
        <v>7.0000000000000007E-2</v>
      </c>
      <c r="N183" s="13">
        <v>0.55000000000000004</v>
      </c>
      <c r="O183" s="13">
        <f>M183*N183</f>
        <v>3.8500000000000006E-2</v>
      </c>
      <c r="P183" s="13">
        <f>A183*O183</f>
        <v>0</v>
      </c>
      <c r="Q183" s="14">
        <f>P183/8</f>
        <v>0</v>
      </c>
    </row>
    <row r="184" spans="1:17" ht="15.75" customHeight="1" x14ac:dyDescent="0.3">
      <c r="A184" s="250">
        <f>VLOOKUP($B184,Reporting!$AM:$BK,MATCH(LEFT($A$181,FIND("(",$A$181)-2),Reporting!$AN$4:$BK$4,0)+1,FALSE)</f>
        <v>0</v>
      </c>
      <c r="B184" s="266" t="s">
        <v>390</v>
      </c>
      <c r="C184" s="97">
        <v>7.0000000000000007E-2</v>
      </c>
      <c r="D184" s="6">
        <v>0.61</v>
      </c>
      <c r="E184" s="7">
        <f>C184*D184</f>
        <v>4.2700000000000002E-2</v>
      </c>
      <c r="F184" s="7">
        <f t="shared" ref="F184:F191" si="145">A184*E184</f>
        <v>0</v>
      </c>
      <c r="G184" s="8">
        <f>F184/8</f>
        <v>0</v>
      </c>
      <c r="H184" s="9">
        <f t="shared" ref="H184:H191" si="146">C184</f>
        <v>7.0000000000000007E-2</v>
      </c>
      <c r="I184" s="10">
        <v>0.61</v>
      </c>
      <c r="J184" s="10">
        <f>H184*I184</f>
        <v>4.2700000000000002E-2</v>
      </c>
      <c r="K184" s="10">
        <f t="shared" ref="K184:K191" si="147">A184*J184</f>
        <v>0</v>
      </c>
      <c r="L184" s="11">
        <f>K184/8</f>
        <v>0</v>
      </c>
      <c r="M184" s="12">
        <f>H184</f>
        <v>7.0000000000000007E-2</v>
      </c>
      <c r="N184" s="13">
        <v>0.55000000000000004</v>
      </c>
      <c r="O184" s="13">
        <f>M184*N184</f>
        <v>3.8500000000000006E-2</v>
      </c>
      <c r="P184" s="13">
        <f t="shared" ref="P184:P191" si="148">A184*O184</f>
        <v>0</v>
      </c>
      <c r="Q184" s="14">
        <f>P184/8</f>
        <v>0</v>
      </c>
    </row>
    <row r="185" spans="1:17" x14ac:dyDescent="0.3">
      <c r="A185" s="250">
        <f>VLOOKUP($B185,Reporting!$AM:$BK,MATCH(LEFT($A$181,FIND("(",$A$181)-2),Reporting!$AN$4:$BK$4,0)+1,FALSE)</f>
        <v>0</v>
      </c>
      <c r="B185" s="266" t="s">
        <v>376</v>
      </c>
      <c r="C185" s="97">
        <v>0.08</v>
      </c>
      <c r="D185" s="6">
        <v>0.61</v>
      </c>
      <c r="E185" s="7">
        <f t="shared" ref="E185:E191" si="149">C185*D185</f>
        <v>4.8800000000000003E-2</v>
      </c>
      <c r="F185" s="7">
        <f t="shared" si="145"/>
        <v>0</v>
      </c>
      <c r="G185" s="8">
        <f t="shared" ref="G185:G191" si="150">F185/8</f>
        <v>0</v>
      </c>
      <c r="H185" s="9">
        <f t="shared" si="146"/>
        <v>0.08</v>
      </c>
      <c r="I185" s="10">
        <v>0.61</v>
      </c>
      <c r="J185" s="10">
        <f t="shared" ref="J185:J191" si="151">H185*I185</f>
        <v>4.8800000000000003E-2</v>
      </c>
      <c r="K185" s="10">
        <f t="shared" si="147"/>
        <v>0</v>
      </c>
      <c r="L185" s="11">
        <f t="shared" ref="L185:L191" si="152">K185/8</f>
        <v>0</v>
      </c>
      <c r="M185" s="12">
        <f t="shared" ref="M185:M191" si="153">H185</f>
        <v>0.08</v>
      </c>
      <c r="N185" s="13">
        <v>0.55000000000000004</v>
      </c>
      <c r="O185" s="13">
        <f t="shared" ref="O185:O191" si="154">M185*N185</f>
        <v>4.4000000000000004E-2</v>
      </c>
      <c r="P185" s="13">
        <f t="shared" si="148"/>
        <v>0</v>
      </c>
      <c r="Q185" s="14">
        <f t="shared" ref="Q185:Q191" si="155">P185/8</f>
        <v>0</v>
      </c>
    </row>
    <row r="186" spans="1:17" x14ac:dyDescent="0.3">
      <c r="A186" s="250">
        <f>VLOOKUP($B186,Reporting!$AM:$BK,MATCH(LEFT($A$181,FIND("(",$A$181)-2),Reporting!$AN$4:$BK$4,0)+1,FALSE)</f>
        <v>0</v>
      </c>
      <c r="B186" s="266" t="s">
        <v>391</v>
      </c>
      <c r="C186" s="97">
        <v>0.09</v>
      </c>
      <c r="D186" s="6">
        <v>0.61</v>
      </c>
      <c r="E186" s="7">
        <f t="shared" si="149"/>
        <v>5.4899999999999997E-2</v>
      </c>
      <c r="F186" s="7">
        <f t="shared" si="145"/>
        <v>0</v>
      </c>
      <c r="G186" s="8">
        <f t="shared" si="150"/>
        <v>0</v>
      </c>
      <c r="H186" s="9">
        <f t="shared" si="146"/>
        <v>0.09</v>
      </c>
      <c r="I186" s="10">
        <v>0.61</v>
      </c>
      <c r="J186" s="10">
        <f t="shared" si="151"/>
        <v>5.4899999999999997E-2</v>
      </c>
      <c r="K186" s="10">
        <f t="shared" si="147"/>
        <v>0</v>
      </c>
      <c r="L186" s="11">
        <f t="shared" si="152"/>
        <v>0</v>
      </c>
      <c r="M186" s="12">
        <f t="shared" si="153"/>
        <v>0.09</v>
      </c>
      <c r="N186" s="13">
        <v>0.55000000000000004</v>
      </c>
      <c r="O186" s="13">
        <f t="shared" si="154"/>
        <v>4.9500000000000002E-2</v>
      </c>
      <c r="P186" s="13">
        <f t="shared" si="148"/>
        <v>0</v>
      </c>
      <c r="Q186" s="14">
        <f t="shared" si="155"/>
        <v>0</v>
      </c>
    </row>
    <row r="187" spans="1:17" x14ac:dyDescent="0.3">
      <c r="A187" s="250">
        <f>VLOOKUP($B187,Reporting!$AM:$BK,MATCH(LEFT($A$181,FIND("(",$A$181)-2),Reporting!$AN$4:$BK$4,0)+1,FALSE)</f>
        <v>0</v>
      </c>
      <c r="B187" s="266" t="s">
        <v>392</v>
      </c>
      <c r="C187" s="97">
        <v>0.12</v>
      </c>
      <c r="D187" s="6">
        <v>0.61</v>
      </c>
      <c r="E187" s="7">
        <f t="shared" si="149"/>
        <v>7.3200000000000001E-2</v>
      </c>
      <c r="F187" s="7">
        <f t="shared" si="145"/>
        <v>0</v>
      </c>
      <c r="G187" s="8">
        <f t="shared" si="150"/>
        <v>0</v>
      </c>
      <c r="H187" s="9">
        <f t="shared" si="146"/>
        <v>0.12</v>
      </c>
      <c r="I187" s="10">
        <v>0.61</v>
      </c>
      <c r="J187" s="10">
        <f t="shared" si="151"/>
        <v>7.3200000000000001E-2</v>
      </c>
      <c r="K187" s="10">
        <f t="shared" si="147"/>
        <v>0</v>
      </c>
      <c r="L187" s="11">
        <f t="shared" si="152"/>
        <v>0</v>
      </c>
      <c r="M187" s="12">
        <f t="shared" si="153"/>
        <v>0.12</v>
      </c>
      <c r="N187" s="13">
        <v>0.55000000000000004</v>
      </c>
      <c r="O187" s="13">
        <f t="shared" si="154"/>
        <v>6.6000000000000003E-2</v>
      </c>
      <c r="P187" s="13">
        <f t="shared" si="148"/>
        <v>0</v>
      </c>
      <c r="Q187" s="14">
        <f t="shared" si="155"/>
        <v>0</v>
      </c>
    </row>
    <row r="188" spans="1:17" x14ac:dyDescent="0.3">
      <c r="A188" s="250">
        <f>VLOOKUP($B188,Reporting!$AM:$BK,MATCH(LEFT($A$181,FIND("(",$A$181)-2),Reporting!$AN$4:$BK$4,0)+1,FALSE)</f>
        <v>0</v>
      </c>
      <c r="B188" s="266" t="s">
        <v>393</v>
      </c>
      <c r="C188" s="97">
        <v>0.16</v>
      </c>
      <c r="D188" s="6">
        <v>0.61</v>
      </c>
      <c r="E188" s="7">
        <f t="shared" si="149"/>
        <v>9.7600000000000006E-2</v>
      </c>
      <c r="F188" s="7">
        <f t="shared" si="145"/>
        <v>0</v>
      </c>
      <c r="G188" s="8">
        <f t="shared" si="150"/>
        <v>0</v>
      </c>
      <c r="H188" s="9">
        <f t="shared" si="146"/>
        <v>0.16</v>
      </c>
      <c r="I188" s="10">
        <v>0.61</v>
      </c>
      <c r="J188" s="10">
        <f t="shared" si="151"/>
        <v>9.7600000000000006E-2</v>
      </c>
      <c r="K188" s="10">
        <f t="shared" si="147"/>
        <v>0</v>
      </c>
      <c r="L188" s="11">
        <f t="shared" si="152"/>
        <v>0</v>
      </c>
      <c r="M188" s="12">
        <f t="shared" si="153"/>
        <v>0.16</v>
      </c>
      <c r="N188" s="13">
        <v>0.55000000000000004</v>
      </c>
      <c r="O188" s="13">
        <f t="shared" si="154"/>
        <v>8.8000000000000009E-2</v>
      </c>
      <c r="P188" s="13">
        <f t="shared" si="148"/>
        <v>0</v>
      </c>
      <c r="Q188" s="14">
        <f t="shared" si="155"/>
        <v>0</v>
      </c>
    </row>
    <row r="189" spans="1:17" x14ac:dyDescent="0.3">
      <c r="A189" s="250">
        <f>VLOOKUP($B189,Reporting!$AM:$BK,MATCH(LEFT($A$181,FIND("(",$A$181)-2),Reporting!$AN$4:$BK$4,0)+1,FALSE)</f>
        <v>0</v>
      </c>
      <c r="B189" s="266" t="s">
        <v>394</v>
      </c>
      <c r="C189" s="97">
        <v>0.18</v>
      </c>
      <c r="D189" s="6">
        <v>0.61</v>
      </c>
      <c r="E189" s="7">
        <f t="shared" si="149"/>
        <v>0.10979999999999999</v>
      </c>
      <c r="F189" s="7">
        <f t="shared" si="145"/>
        <v>0</v>
      </c>
      <c r="G189" s="8">
        <f t="shared" si="150"/>
        <v>0</v>
      </c>
      <c r="H189" s="9">
        <f t="shared" si="146"/>
        <v>0.18</v>
      </c>
      <c r="I189" s="10">
        <v>0.61</v>
      </c>
      <c r="J189" s="10">
        <f t="shared" si="151"/>
        <v>0.10979999999999999</v>
      </c>
      <c r="K189" s="10">
        <f t="shared" si="147"/>
        <v>0</v>
      </c>
      <c r="L189" s="11">
        <f t="shared" si="152"/>
        <v>0</v>
      </c>
      <c r="M189" s="12">
        <f t="shared" si="153"/>
        <v>0.18</v>
      </c>
      <c r="N189" s="13">
        <v>0.55000000000000004</v>
      </c>
      <c r="O189" s="13">
        <f t="shared" si="154"/>
        <v>9.9000000000000005E-2</v>
      </c>
      <c r="P189" s="13">
        <f t="shared" si="148"/>
        <v>0</v>
      </c>
      <c r="Q189" s="14">
        <f t="shared" si="155"/>
        <v>0</v>
      </c>
    </row>
    <row r="190" spans="1:17" x14ac:dyDescent="0.3">
      <c r="A190" s="250">
        <f>VLOOKUP($B190,Reporting!$AM:$BK,MATCH(LEFT($A$181,FIND("(",$A$181)-2),Reporting!$AN$4:$BK$4,0)+1,FALSE)</f>
        <v>0</v>
      </c>
      <c r="B190" s="266" t="s">
        <v>395</v>
      </c>
      <c r="C190" s="97">
        <v>0.28000000000000003</v>
      </c>
      <c r="D190" s="6">
        <v>0.61</v>
      </c>
      <c r="E190" s="7">
        <f t="shared" si="149"/>
        <v>0.17080000000000001</v>
      </c>
      <c r="F190" s="7">
        <f t="shared" si="145"/>
        <v>0</v>
      </c>
      <c r="G190" s="8">
        <f t="shared" si="150"/>
        <v>0</v>
      </c>
      <c r="H190" s="9">
        <f t="shared" si="146"/>
        <v>0.28000000000000003</v>
      </c>
      <c r="I190" s="10">
        <v>0.61</v>
      </c>
      <c r="J190" s="10">
        <f t="shared" si="151"/>
        <v>0.17080000000000001</v>
      </c>
      <c r="K190" s="10">
        <f t="shared" si="147"/>
        <v>0</v>
      </c>
      <c r="L190" s="11">
        <f t="shared" si="152"/>
        <v>0</v>
      </c>
      <c r="M190" s="12">
        <f t="shared" si="153"/>
        <v>0.28000000000000003</v>
      </c>
      <c r="N190" s="13">
        <v>0.55000000000000004</v>
      </c>
      <c r="O190" s="13">
        <f t="shared" si="154"/>
        <v>0.15400000000000003</v>
      </c>
      <c r="P190" s="13">
        <f t="shared" si="148"/>
        <v>0</v>
      </c>
      <c r="Q190" s="14">
        <f t="shared" si="155"/>
        <v>0</v>
      </c>
    </row>
    <row r="191" spans="1:17" x14ac:dyDescent="0.3">
      <c r="A191" s="250">
        <f>VLOOKUP($B191,Reporting!$AM:$BK,MATCH(LEFT($A$181,FIND("(",$A$181)-2),Reporting!$AN$4:$BK$4,0)+1,FALSE)</f>
        <v>0</v>
      </c>
      <c r="B191" s="266" t="s">
        <v>396</v>
      </c>
      <c r="C191" s="97">
        <v>0.43</v>
      </c>
      <c r="D191" s="6">
        <v>0.61</v>
      </c>
      <c r="E191" s="7">
        <f t="shared" si="149"/>
        <v>0.26229999999999998</v>
      </c>
      <c r="F191" s="7">
        <f t="shared" si="145"/>
        <v>0</v>
      </c>
      <c r="G191" s="8">
        <f t="shared" si="150"/>
        <v>0</v>
      </c>
      <c r="H191" s="9">
        <f t="shared" si="146"/>
        <v>0.43</v>
      </c>
      <c r="I191" s="10">
        <v>0.61</v>
      </c>
      <c r="J191" s="10">
        <f t="shared" si="151"/>
        <v>0.26229999999999998</v>
      </c>
      <c r="K191" s="10">
        <f t="shared" si="147"/>
        <v>0</v>
      </c>
      <c r="L191" s="11">
        <f t="shared" si="152"/>
        <v>0</v>
      </c>
      <c r="M191" s="12">
        <f t="shared" si="153"/>
        <v>0.43</v>
      </c>
      <c r="N191" s="13">
        <v>0.55000000000000004</v>
      </c>
      <c r="O191" s="13">
        <f t="shared" si="154"/>
        <v>0.23650000000000002</v>
      </c>
      <c r="P191" s="13">
        <f t="shared" si="148"/>
        <v>0</v>
      </c>
      <c r="Q191" s="14">
        <f t="shared" si="155"/>
        <v>0</v>
      </c>
    </row>
    <row r="192" spans="1:17" ht="15" thickBot="1" x14ac:dyDescent="0.35">
      <c r="A192" s="3">
        <f>SUM(A183:A191)</f>
        <v>0</v>
      </c>
      <c r="B192" s="267"/>
      <c r="C192" s="4"/>
      <c r="D192" s="644" t="s">
        <v>9</v>
      </c>
      <c r="E192" s="645"/>
      <c r="F192" s="645"/>
      <c r="G192" s="16">
        <f>SUM(G183:G191)</f>
        <v>0</v>
      </c>
      <c r="H192" s="1"/>
      <c r="I192" s="646" t="s">
        <v>10</v>
      </c>
      <c r="J192" s="646"/>
      <c r="K192" s="646"/>
      <c r="L192" s="17">
        <f>SUM(L183:L191)</f>
        <v>0</v>
      </c>
      <c r="M192" s="15"/>
      <c r="N192" s="647" t="s">
        <v>11</v>
      </c>
      <c r="O192" s="647"/>
      <c r="P192" s="647"/>
      <c r="Q192" s="18">
        <f>SUM(Q183:Q191)</f>
        <v>0</v>
      </c>
    </row>
    <row r="193" spans="1:25" ht="15" thickBot="1" x14ac:dyDescent="0.35">
      <c r="A193" s="42">
        <f>A208+A221+A237+A252+A264+A278+A291+A304</f>
        <v>66</v>
      </c>
    </row>
    <row r="194" spans="1:25" ht="15" customHeight="1" x14ac:dyDescent="0.3">
      <c r="A194" s="687" t="s">
        <v>180</v>
      </c>
      <c r="B194" s="687"/>
      <c r="C194" s="687"/>
      <c r="D194" s="687"/>
      <c r="E194" s="687"/>
      <c r="F194" s="687"/>
      <c r="G194" s="687"/>
      <c r="H194" s="640" t="s">
        <v>100</v>
      </c>
      <c r="I194" s="640"/>
      <c r="J194" s="640"/>
      <c r="K194" s="640"/>
      <c r="L194" s="23"/>
      <c r="M194" s="23"/>
      <c r="N194" s="23"/>
      <c r="O194" s="23"/>
      <c r="P194" s="23"/>
      <c r="Q194" s="24"/>
    </row>
    <row r="195" spans="1:25" ht="15" customHeight="1" x14ac:dyDescent="0.3">
      <c r="A195" s="688"/>
      <c r="B195" s="688"/>
      <c r="C195" s="688"/>
      <c r="D195" s="688"/>
      <c r="E195" s="688"/>
      <c r="F195" s="688"/>
      <c r="G195" s="688"/>
      <c r="H195" s="641"/>
      <c r="I195" s="641"/>
      <c r="J195" s="641"/>
      <c r="K195" s="641"/>
      <c r="L195" s="42"/>
      <c r="M195" s="42"/>
      <c r="N195" s="42"/>
      <c r="O195" s="42"/>
      <c r="P195" s="42"/>
      <c r="Q195" s="43"/>
    </row>
    <row r="196" spans="1:25" ht="15" customHeight="1" x14ac:dyDescent="0.3">
      <c r="A196" s="250">
        <f>VLOOKUP($B196,Reporting!$AM:$BK,MATCH($A$194,Reporting!$AN$4:$BK$4,0)+1,FALSE)</f>
        <v>0</v>
      </c>
      <c r="B196" s="263" t="s">
        <v>371</v>
      </c>
      <c r="C196" s="98">
        <v>0.23</v>
      </c>
      <c r="D196" s="6">
        <v>0.61</v>
      </c>
      <c r="E196" s="7">
        <f t="shared" ref="E196:E201" si="156">C196*D196</f>
        <v>0.14030000000000001</v>
      </c>
      <c r="F196" s="7">
        <f>A196*E196</f>
        <v>0</v>
      </c>
      <c r="G196" s="8">
        <f t="shared" ref="G196:G201" si="157">F196/8</f>
        <v>0</v>
      </c>
      <c r="H196" s="9">
        <f>C196</f>
        <v>0.23</v>
      </c>
      <c r="I196" s="10">
        <v>0.61</v>
      </c>
      <c r="J196" s="10">
        <f t="shared" ref="J196:J201" si="158">H196*I196</f>
        <v>0.14030000000000001</v>
      </c>
      <c r="K196" s="10">
        <f>A196*J196</f>
        <v>0</v>
      </c>
      <c r="L196" s="11">
        <f t="shared" ref="L196:L201" si="159">K196/8</f>
        <v>0</v>
      </c>
      <c r="M196" s="12">
        <f t="shared" ref="M196:M201" si="160">H196</f>
        <v>0.23</v>
      </c>
      <c r="N196" s="13">
        <v>0.55000000000000004</v>
      </c>
      <c r="O196" s="13">
        <f t="shared" ref="O196:O201" si="161">M196*N196</f>
        <v>0.12650000000000003</v>
      </c>
      <c r="P196" s="13">
        <f>A196*O196</f>
        <v>0</v>
      </c>
      <c r="Q196" s="14">
        <f t="shared" ref="Q196:Q201" si="162">P196/8</f>
        <v>0</v>
      </c>
    </row>
    <row r="197" spans="1:25" ht="15" customHeight="1" x14ac:dyDescent="0.3">
      <c r="A197" s="250">
        <f>VLOOKUP($B197,Reporting!$AM:$BK,MATCH($A$194,Reporting!$AN$4:$BK$4,0)+1,FALSE)</f>
        <v>12</v>
      </c>
      <c r="B197" s="263" t="s">
        <v>372</v>
      </c>
      <c r="C197" s="98">
        <v>0.28999999999999998</v>
      </c>
      <c r="D197" s="6">
        <v>0.61</v>
      </c>
      <c r="E197" s="7">
        <f t="shared" si="156"/>
        <v>0.17689999999999997</v>
      </c>
      <c r="F197" s="7">
        <f t="shared" ref="F197:F207" si="163">A197*E197</f>
        <v>2.1227999999999998</v>
      </c>
      <c r="G197" s="8">
        <f t="shared" si="157"/>
        <v>0.26534999999999997</v>
      </c>
      <c r="H197" s="9">
        <f t="shared" ref="H197:H207" si="164">C197</f>
        <v>0.28999999999999998</v>
      </c>
      <c r="I197" s="10">
        <v>0.61</v>
      </c>
      <c r="J197" s="10">
        <f t="shared" si="158"/>
        <v>0.17689999999999997</v>
      </c>
      <c r="K197" s="10">
        <f t="shared" ref="K197:K207" si="165">A197*J197</f>
        <v>2.1227999999999998</v>
      </c>
      <c r="L197" s="11">
        <f t="shared" si="159"/>
        <v>0.26534999999999997</v>
      </c>
      <c r="M197" s="12">
        <f t="shared" si="160"/>
        <v>0.28999999999999998</v>
      </c>
      <c r="N197" s="13">
        <v>0.55000000000000004</v>
      </c>
      <c r="O197" s="13">
        <f t="shared" si="161"/>
        <v>0.1595</v>
      </c>
      <c r="P197" s="13">
        <f t="shared" ref="P197:P207" si="166">A197*O197</f>
        <v>1.9140000000000001</v>
      </c>
      <c r="Q197" s="14">
        <f t="shared" si="162"/>
        <v>0.23925000000000002</v>
      </c>
    </row>
    <row r="198" spans="1:25" ht="15" customHeight="1" x14ac:dyDescent="0.3">
      <c r="A198" s="250">
        <f>VLOOKUP($B198,Reporting!$AM:$BK,MATCH($A$194,Reporting!$AN$4:$BK$4,0)+1,FALSE)</f>
        <v>0</v>
      </c>
      <c r="B198" s="20" t="s">
        <v>389</v>
      </c>
      <c r="C198" s="98">
        <v>0.33</v>
      </c>
      <c r="D198" s="6">
        <v>0.61</v>
      </c>
      <c r="E198" s="7">
        <f t="shared" si="156"/>
        <v>0.20130000000000001</v>
      </c>
      <c r="F198" s="7">
        <f t="shared" si="163"/>
        <v>0</v>
      </c>
      <c r="G198" s="8">
        <f t="shared" si="157"/>
        <v>0</v>
      </c>
      <c r="H198" s="9">
        <f t="shared" si="164"/>
        <v>0.33</v>
      </c>
      <c r="I198" s="10">
        <v>0.61</v>
      </c>
      <c r="J198" s="10">
        <f t="shared" si="158"/>
        <v>0.20130000000000001</v>
      </c>
      <c r="K198" s="10">
        <f t="shared" si="165"/>
        <v>0</v>
      </c>
      <c r="L198" s="11">
        <f t="shared" si="159"/>
        <v>0</v>
      </c>
      <c r="M198" s="12">
        <f t="shared" si="160"/>
        <v>0.33</v>
      </c>
      <c r="N198" s="13">
        <v>0.55000000000000004</v>
      </c>
      <c r="O198" s="13">
        <f t="shared" si="161"/>
        <v>0.18150000000000002</v>
      </c>
      <c r="P198" s="13">
        <f t="shared" si="166"/>
        <v>0</v>
      </c>
      <c r="Q198" s="14">
        <f t="shared" si="162"/>
        <v>0</v>
      </c>
    </row>
    <row r="199" spans="1:25" ht="15" customHeight="1" x14ac:dyDescent="0.3">
      <c r="A199" s="250">
        <f>VLOOKUP($B199,Reporting!$AM:$BK,MATCH($A$194,Reporting!$AN$4:$BK$4,0)+1,FALSE)</f>
        <v>15</v>
      </c>
      <c r="B199" s="263" t="s">
        <v>373</v>
      </c>
      <c r="C199" s="98">
        <v>0.36</v>
      </c>
      <c r="D199" s="6">
        <v>0.61</v>
      </c>
      <c r="E199" s="7">
        <f t="shared" si="156"/>
        <v>0.21959999999999999</v>
      </c>
      <c r="F199" s="7">
        <f t="shared" si="163"/>
        <v>3.294</v>
      </c>
      <c r="G199" s="8">
        <f t="shared" si="157"/>
        <v>0.41175</v>
      </c>
      <c r="H199" s="9">
        <f t="shared" si="164"/>
        <v>0.36</v>
      </c>
      <c r="I199" s="10">
        <v>0.61</v>
      </c>
      <c r="J199" s="10">
        <f t="shared" si="158"/>
        <v>0.21959999999999999</v>
      </c>
      <c r="K199" s="10">
        <f t="shared" si="165"/>
        <v>3.294</v>
      </c>
      <c r="L199" s="11">
        <f t="shared" si="159"/>
        <v>0.41175</v>
      </c>
      <c r="M199" s="12">
        <f t="shared" si="160"/>
        <v>0.36</v>
      </c>
      <c r="N199" s="13">
        <v>0.55000000000000004</v>
      </c>
      <c r="O199" s="13">
        <f t="shared" si="161"/>
        <v>0.19800000000000001</v>
      </c>
      <c r="P199" s="13">
        <f t="shared" si="166"/>
        <v>2.97</v>
      </c>
      <c r="Q199" s="14">
        <f t="shared" si="162"/>
        <v>0.37125000000000002</v>
      </c>
    </row>
    <row r="200" spans="1:25" ht="15" customHeight="1" x14ac:dyDescent="0.3">
      <c r="A200" s="250">
        <f>VLOOKUP($B200,Reporting!$AM:$BK,MATCH($A$194,Reporting!$AN$4:$BK$4,0)+1,FALSE)</f>
        <v>38</v>
      </c>
      <c r="B200" s="263" t="s">
        <v>374</v>
      </c>
      <c r="C200" s="110">
        <v>0.41</v>
      </c>
      <c r="D200" s="6">
        <v>0.61</v>
      </c>
      <c r="E200" s="7">
        <f t="shared" si="156"/>
        <v>0.25009999999999999</v>
      </c>
      <c r="F200" s="7">
        <f t="shared" si="163"/>
        <v>9.5038</v>
      </c>
      <c r="G200" s="8">
        <f t="shared" si="157"/>
        <v>1.187975</v>
      </c>
      <c r="H200" s="9">
        <f t="shared" si="164"/>
        <v>0.41</v>
      </c>
      <c r="I200" s="10">
        <v>0.61</v>
      </c>
      <c r="J200" s="10">
        <f t="shared" si="158"/>
        <v>0.25009999999999999</v>
      </c>
      <c r="K200" s="10">
        <f t="shared" si="165"/>
        <v>9.5038</v>
      </c>
      <c r="L200" s="11">
        <f t="shared" si="159"/>
        <v>1.187975</v>
      </c>
      <c r="M200" s="12">
        <f t="shared" si="160"/>
        <v>0.41</v>
      </c>
      <c r="N200" s="13">
        <v>0.55000000000000004</v>
      </c>
      <c r="O200" s="13">
        <f t="shared" si="161"/>
        <v>0.22550000000000001</v>
      </c>
      <c r="P200" s="13">
        <f t="shared" si="166"/>
        <v>8.5690000000000008</v>
      </c>
      <c r="Q200" s="14">
        <f t="shared" si="162"/>
        <v>1.0711250000000001</v>
      </c>
    </row>
    <row r="201" spans="1:25" ht="15.75" customHeight="1" x14ac:dyDescent="0.3">
      <c r="A201" s="250">
        <f>VLOOKUP($B201,Reporting!$AM:$BK,MATCH($A$194,Reporting!$AN$4:$BK$4,0)+1,FALSE)</f>
        <v>0</v>
      </c>
      <c r="B201" s="148" t="s">
        <v>390</v>
      </c>
      <c r="C201" s="99">
        <v>0.45</v>
      </c>
      <c r="D201" s="6">
        <v>0.61</v>
      </c>
      <c r="E201" s="7">
        <f t="shared" si="156"/>
        <v>0.27450000000000002</v>
      </c>
      <c r="F201" s="7">
        <f t="shared" si="163"/>
        <v>0</v>
      </c>
      <c r="G201" s="8">
        <f t="shared" si="157"/>
        <v>0</v>
      </c>
      <c r="H201" s="9">
        <f t="shared" si="164"/>
        <v>0.45</v>
      </c>
      <c r="I201" s="10">
        <v>0.61</v>
      </c>
      <c r="J201" s="10">
        <f t="shared" si="158"/>
        <v>0.27450000000000002</v>
      </c>
      <c r="K201" s="10">
        <f t="shared" si="165"/>
        <v>0</v>
      </c>
      <c r="L201" s="11">
        <f t="shared" si="159"/>
        <v>0</v>
      </c>
      <c r="M201" s="12">
        <f t="shared" si="160"/>
        <v>0.45</v>
      </c>
      <c r="N201" s="13">
        <v>0.55000000000000004</v>
      </c>
      <c r="O201" s="13">
        <f t="shared" si="161"/>
        <v>0.24750000000000003</v>
      </c>
      <c r="P201" s="13">
        <f t="shared" si="166"/>
        <v>0</v>
      </c>
      <c r="Q201" s="14">
        <f t="shared" si="162"/>
        <v>0</v>
      </c>
    </row>
    <row r="202" spans="1:25" x14ac:dyDescent="0.3">
      <c r="A202" s="250">
        <f>VLOOKUP($B202,Reporting!$AM:$BK,MATCH($A$194,Reporting!$AN$4:$BK$4,0)+1,FALSE)</f>
        <v>0</v>
      </c>
      <c r="B202" s="268" t="s">
        <v>376</v>
      </c>
      <c r="C202" s="99">
        <v>0.71</v>
      </c>
      <c r="D202" s="6">
        <v>0.61</v>
      </c>
      <c r="E202" s="7">
        <f t="shared" ref="E202:E207" si="167">C202*D202</f>
        <v>0.43309999999999998</v>
      </c>
      <c r="F202" s="7">
        <f t="shared" si="163"/>
        <v>0</v>
      </c>
      <c r="G202" s="8">
        <f t="shared" ref="G202:G207" si="168">F202/8</f>
        <v>0</v>
      </c>
      <c r="H202" s="9">
        <f t="shared" si="164"/>
        <v>0.71</v>
      </c>
      <c r="I202" s="10">
        <v>0.61</v>
      </c>
      <c r="J202" s="10">
        <f t="shared" ref="J202:J207" si="169">H202*I202</f>
        <v>0.43309999999999998</v>
      </c>
      <c r="K202" s="10">
        <f t="shared" si="165"/>
        <v>0</v>
      </c>
      <c r="L202" s="11">
        <f t="shared" ref="L202:L207" si="170">K202/8</f>
        <v>0</v>
      </c>
      <c r="M202" s="12">
        <f t="shared" ref="M202:M207" si="171">H202</f>
        <v>0.71</v>
      </c>
      <c r="N202" s="13">
        <v>0.55000000000000004</v>
      </c>
      <c r="O202" s="13">
        <f t="shared" ref="O202:O207" si="172">M202*N202</f>
        <v>0.39050000000000001</v>
      </c>
      <c r="P202" s="13">
        <f t="shared" si="166"/>
        <v>0</v>
      </c>
      <c r="Q202" s="14">
        <f t="shared" ref="Q202:Q207" si="173">P202/8</f>
        <v>0</v>
      </c>
    </row>
    <row r="203" spans="1:25" x14ac:dyDescent="0.3">
      <c r="A203" s="250">
        <f>VLOOKUP($B203,Reporting!$AM:$BK,MATCH($A$194,Reporting!$AN$4:$BK$4,0)+1,FALSE)</f>
        <v>0</v>
      </c>
      <c r="B203" s="148" t="s">
        <v>391</v>
      </c>
      <c r="C203" s="99">
        <v>0.84</v>
      </c>
      <c r="D203" s="6">
        <v>0.61</v>
      </c>
      <c r="E203" s="7">
        <f t="shared" si="167"/>
        <v>0.51239999999999997</v>
      </c>
      <c r="F203" s="7">
        <f t="shared" si="163"/>
        <v>0</v>
      </c>
      <c r="G203" s="8">
        <f t="shared" si="168"/>
        <v>0</v>
      </c>
      <c r="H203" s="9">
        <f t="shared" si="164"/>
        <v>0.84</v>
      </c>
      <c r="I203" s="10">
        <v>0.61</v>
      </c>
      <c r="J203" s="10">
        <f t="shared" si="169"/>
        <v>0.51239999999999997</v>
      </c>
      <c r="K203" s="10">
        <f t="shared" si="165"/>
        <v>0</v>
      </c>
      <c r="L203" s="11">
        <f t="shared" si="170"/>
        <v>0</v>
      </c>
      <c r="M203" s="12">
        <f t="shared" si="171"/>
        <v>0.84</v>
      </c>
      <c r="N203" s="13">
        <v>0.55000000000000004</v>
      </c>
      <c r="O203" s="13">
        <f t="shared" si="172"/>
        <v>0.46200000000000002</v>
      </c>
      <c r="P203" s="13">
        <f t="shared" si="166"/>
        <v>0</v>
      </c>
      <c r="Q203" s="14">
        <f t="shared" si="173"/>
        <v>0</v>
      </c>
    </row>
    <row r="204" spans="1:25" x14ac:dyDescent="0.3">
      <c r="A204" s="250">
        <f>VLOOKUP($B204,Reporting!$AM:$BK,MATCH($A$194,Reporting!$AN$4:$BK$4,0)+1,FALSE)</f>
        <v>0</v>
      </c>
      <c r="B204" s="148" t="s">
        <v>392</v>
      </c>
      <c r="C204" s="99">
        <v>1.1000000000000001</v>
      </c>
      <c r="D204" s="6">
        <v>0.61</v>
      </c>
      <c r="E204" s="7">
        <f t="shared" si="167"/>
        <v>0.67100000000000004</v>
      </c>
      <c r="F204" s="7">
        <f t="shared" si="163"/>
        <v>0</v>
      </c>
      <c r="G204" s="8">
        <f t="shared" si="168"/>
        <v>0</v>
      </c>
      <c r="H204" s="9">
        <f t="shared" si="164"/>
        <v>1.1000000000000001</v>
      </c>
      <c r="I204" s="10">
        <v>0.61</v>
      </c>
      <c r="J204" s="10">
        <f t="shared" si="169"/>
        <v>0.67100000000000004</v>
      </c>
      <c r="K204" s="10">
        <f t="shared" si="165"/>
        <v>0</v>
      </c>
      <c r="L204" s="11">
        <f t="shared" si="170"/>
        <v>0</v>
      </c>
      <c r="M204" s="12">
        <f t="shared" si="171"/>
        <v>1.1000000000000001</v>
      </c>
      <c r="N204" s="13">
        <v>0.55000000000000004</v>
      </c>
      <c r="O204" s="13">
        <f t="shared" si="172"/>
        <v>0.60500000000000009</v>
      </c>
      <c r="P204" s="13">
        <f t="shared" si="166"/>
        <v>0</v>
      </c>
      <c r="Q204" s="14">
        <f t="shared" si="173"/>
        <v>0</v>
      </c>
    </row>
    <row r="205" spans="1:25" x14ac:dyDescent="0.3">
      <c r="A205" s="250">
        <f>VLOOKUP($B205,Reporting!$AM:$BK,MATCH($A$194,Reporting!$AN$4:$BK$4,0)+1,FALSE)</f>
        <v>0</v>
      </c>
      <c r="B205" s="148" t="s">
        <v>393</v>
      </c>
      <c r="C205" s="99">
        <v>1.25</v>
      </c>
      <c r="D205" s="6">
        <v>0.61</v>
      </c>
      <c r="E205" s="7">
        <f t="shared" si="167"/>
        <v>0.76249999999999996</v>
      </c>
      <c r="F205" s="7">
        <f t="shared" si="163"/>
        <v>0</v>
      </c>
      <c r="G205" s="8">
        <f t="shared" si="168"/>
        <v>0</v>
      </c>
      <c r="H205" s="9">
        <f t="shared" si="164"/>
        <v>1.25</v>
      </c>
      <c r="I205" s="10">
        <v>0.61</v>
      </c>
      <c r="J205" s="10">
        <f t="shared" si="169"/>
        <v>0.76249999999999996</v>
      </c>
      <c r="K205" s="10">
        <f t="shared" si="165"/>
        <v>0</v>
      </c>
      <c r="L205" s="11">
        <f t="shared" si="170"/>
        <v>0</v>
      </c>
      <c r="M205" s="12">
        <f t="shared" si="171"/>
        <v>1.25</v>
      </c>
      <c r="N205" s="13">
        <v>0.55000000000000004</v>
      </c>
      <c r="O205" s="13">
        <f t="shared" si="172"/>
        <v>0.6875</v>
      </c>
      <c r="P205" s="13">
        <f t="shared" si="166"/>
        <v>0</v>
      </c>
      <c r="Q205" s="14">
        <f t="shared" si="173"/>
        <v>0</v>
      </c>
    </row>
    <row r="206" spans="1:25" x14ac:dyDescent="0.3">
      <c r="A206" s="250">
        <f>VLOOKUP($B206,Reporting!$AM:$BK,MATCH($A$194,Reporting!$AN$4:$BK$4,0)+1,FALSE)</f>
        <v>0</v>
      </c>
      <c r="B206" s="148" t="s">
        <v>394</v>
      </c>
      <c r="C206" s="99">
        <v>1.5</v>
      </c>
      <c r="D206" s="6">
        <v>0.61</v>
      </c>
      <c r="E206" s="7">
        <f t="shared" si="167"/>
        <v>0.91500000000000004</v>
      </c>
      <c r="F206" s="7">
        <f t="shared" si="163"/>
        <v>0</v>
      </c>
      <c r="G206" s="8">
        <f t="shared" si="168"/>
        <v>0</v>
      </c>
      <c r="H206" s="9">
        <f t="shared" si="164"/>
        <v>1.5</v>
      </c>
      <c r="I206" s="10">
        <v>0.61</v>
      </c>
      <c r="J206" s="10">
        <f t="shared" si="169"/>
        <v>0.91500000000000004</v>
      </c>
      <c r="K206" s="10">
        <f t="shared" si="165"/>
        <v>0</v>
      </c>
      <c r="L206" s="11">
        <f t="shared" si="170"/>
        <v>0</v>
      </c>
      <c r="M206" s="12">
        <f t="shared" si="171"/>
        <v>1.5</v>
      </c>
      <c r="N206" s="13">
        <v>0.55000000000000004</v>
      </c>
      <c r="O206" s="13">
        <f t="shared" si="172"/>
        <v>0.82500000000000007</v>
      </c>
      <c r="P206" s="13">
        <f t="shared" si="166"/>
        <v>0</v>
      </c>
      <c r="Q206" s="14">
        <f t="shared" si="173"/>
        <v>0</v>
      </c>
    </row>
    <row r="207" spans="1:25" x14ac:dyDescent="0.3">
      <c r="A207" s="250">
        <f>VLOOKUP($B207,Reporting!$AM:$BK,MATCH($A$194,Reporting!$AN$4:$BK$4,0)+1,FALSE)</f>
        <v>0</v>
      </c>
      <c r="B207" s="148" t="s">
        <v>395</v>
      </c>
      <c r="C207" s="99">
        <v>1.9</v>
      </c>
      <c r="D207" s="6">
        <v>0.61</v>
      </c>
      <c r="E207" s="7">
        <f t="shared" si="167"/>
        <v>1.159</v>
      </c>
      <c r="F207" s="7">
        <f t="shared" si="163"/>
        <v>0</v>
      </c>
      <c r="G207" s="8">
        <f t="shared" si="168"/>
        <v>0</v>
      </c>
      <c r="H207" s="9">
        <f t="shared" si="164"/>
        <v>1.9</v>
      </c>
      <c r="I207" s="10">
        <v>0.61</v>
      </c>
      <c r="J207" s="10">
        <f t="shared" si="169"/>
        <v>1.159</v>
      </c>
      <c r="K207" s="10">
        <f t="shared" si="165"/>
        <v>0</v>
      </c>
      <c r="L207" s="11">
        <f t="shared" si="170"/>
        <v>0</v>
      </c>
      <c r="M207" s="12">
        <f t="shared" si="171"/>
        <v>1.9</v>
      </c>
      <c r="N207" s="13">
        <v>0.55000000000000004</v>
      </c>
      <c r="O207" s="13">
        <f t="shared" si="172"/>
        <v>1.0449999999999999</v>
      </c>
      <c r="P207" s="13">
        <f t="shared" si="166"/>
        <v>0</v>
      </c>
      <c r="Q207" s="14">
        <f t="shared" si="173"/>
        <v>0</v>
      </c>
      <c r="S207" s="598" t="s">
        <v>179</v>
      </c>
      <c r="T207" s="598"/>
      <c r="U207" s="598"/>
      <c r="W207" s="681" t="s">
        <v>179</v>
      </c>
      <c r="X207" s="681"/>
      <c r="Y207" s="681"/>
    </row>
    <row r="208" spans="1:25" ht="15.75" customHeight="1" thickBot="1" x14ac:dyDescent="0.35">
      <c r="A208" s="21">
        <f>SUM(A196:A207)</f>
        <v>65</v>
      </c>
      <c r="B208" s="269"/>
      <c r="C208" s="22"/>
      <c r="D208" s="714" t="s">
        <v>9</v>
      </c>
      <c r="E208" s="715"/>
      <c r="F208" s="715"/>
      <c r="G208" s="16">
        <f>SUM(G196:G207)</f>
        <v>1.865075</v>
      </c>
      <c r="H208" s="1"/>
      <c r="I208" s="716" t="s">
        <v>10</v>
      </c>
      <c r="J208" s="716"/>
      <c r="K208" s="716"/>
      <c r="L208" s="17">
        <f>SUM(L196:L207)</f>
        <v>1.865075</v>
      </c>
      <c r="M208" s="15"/>
      <c r="N208" s="717" t="s">
        <v>11</v>
      </c>
      <c r="O208" s="717"/>
      <c r="P208" s="717"/>
      <c r="Q208" s="18">
        <f>SUM(Q196:Q207)</f>
        <v>1.6816250000000001</v>
      </c>
      <c r="S208" s="664">
        <f>Q208+Q221+Q237+Q252+Q264</f>
        <v>1.7008750000000001</v>
      </c>
      <c r="T208" s="665"/>
      <c r="U208" s="665"/>
      <c r="W208" s="682">
        <f>L208+L221+L237+L252+L264</f>
        <v>1.886425</v>
      </c>
      <c r="X208" s="683"/>
      <c r="Y208" s="683"/>
    </row>
    <row r="209" spans="1:25" ht="15.75" customHeight="1" thickBot="1" x14ac:dyDescent="0.35">
      <c r="S209" s="665"/>
      <c r="T209" s="665"/>
      <c r="U209" s="665"/>
      <c r="W209" s="683"/>
      <c r="X209" s="683"/>
      <c r="Y209" s="683"/>
    </row>
    <row r="210" spans="1:25" ht="15" customHeight="1" x14ac:dyDescent="0.3">
      <c r="A210" s="687" t="s">
        <v>181</v>
      </c>
      <c r="B210" s="687"/>
      <c r="C210" s="687"/>
      <c r="D210" s="687"/>
      <c r="E210" s="687"/>
      <c r="F210" s="687"/>
      <c r="G210" s="135"/>
      <c r="H210" s="135"/>
      <c r="I210" s="726" t="s">
        <v>109</v>
      </c>
      <c r="J210" s="726"/>
      <c r="K210" s="726"/>
      <c r="L210" s="23"/>
      <c r="M210" s="23"/>
      <c r="N210" s="23"/>
      <c r="O210" s="23"/>
      <c r="P210" s="23"/>
      <c r="Q210" s="24"/>
      <c r="S210" s="665"/>
      <c r="T210" s="665"/>
      <c r="U210" s="665"/>
      <c r="W210" s="683"/>
      <c r="X210" s="683"/>
      <c r="Y210" s="683"/>
    </row>
    <row r="211" spans="1:25" ht="15" customHeight="1" x14ac:dyDescent="0.3">
      <c r="A211" s="688"/>
      <c r="B211" s="688"/>
      <c r="C211" s="688"/>
      <c r="D211" s="688"/>
      <c r="E211" s="688"/>
      <c r="F211" s="688"/>
      <c r="G211" s="136"/>
      <c r="H211" s="136"/>
      <c r="I211" s="728"/>
      <c r="J211" s="728"/>
      <c r="K211" s="728"/>
      <c r="L211" s="42"/>
      <c r="M211" s="42"/>
      <c r="N211" s="42"/>
      <c r="O211" s="42"/>
      <c r="P211" s="42"/>
      <c r="Q211" s="43"/>
    </row>
    <row r="212" spans="1:25" ht="15" customHeight="1" x14ac:dyDescent="0.3">
      <c r="A212" s="250">
        <f>VLOOKUP($B212,Reporting!$AM:$BK,MATCH($A$210,Reporting!$AN$4:$BK$4,0)+1,FALSE)</f>
        <v>0</v>
      </c>
      <c r="B212" s="263" t="s">
        <v>371</v>
      </c>
      <c r="C212" s="98">
        <v>0.08</v>
      </c>
      <c r="D212" s="6">
        <v>0.61</v>
      </c>
      <c r="E212" s="7">
        <f t="shared" ref="E212:E220" si="174">C212*D212</f>
        <v>4.8800000000000003E-2</v>
      </c>
      <c r="F212" s="7">
        <f>A212*E212</f>
        <v>0</v>
      </c>
      <c r="G212" s="8">
        <f t="shared" ref="G212:G220" si="175">F212/8</f>
        <v>0</v>
      </c>
      <c r="H212" s="9">
        <f>C212</f>
        <v>0.08</v>
      </c>
      <c r="I212" s="10">
        <v>0.61</v>
      </c>
      <c r="J212" s="10">
        <f t="shared" ref="J212:J220" si="176">H212*I212</f>
        <v>4.8800000000000003E-2</v>
      </c>
      <c r="K212" s="10">
        <f>A212*J212</f>
        <v>0</v>
      </c>
      <c r="L212" s="11">
        <f t="shared" ref="L212:L220" si="177">K212/8</f>
        <v>0</v>
      </c>
      <c r="M212" s="12">
        <f t="shared" ref="M212:M220" si="178">H212</f>
        <v>0.08</v>
      </c>
      <c r="N212" s="13">
        <v>0.55000000000000004</v>
      </c>
      <c r="O212" s="13">
        <f t="shared" ref="O212:O220" si="179">M212*N212</f>
        <v>4.4000000000000004E-2</v>
      </c>
      <c r="P212" s="13">
        <f>A212*O212</f>
        <v>0</v>
      </c>
      <c r="Q212" s="14">
        <f t="shared" ref="Q212:Q220" si="180">P212/8</f>
        <v>0</v>
      </c>
    </row>
    <row r="213" spans="1:25" ht="15" customHeight="1" x14ac:dyDescent="0.3">
      <c r="A213" s="250">
        <f>VLOOKUP($B213,Reporting!$AM:$BK,MATCH($A$210,Reporting!$AN$4:$BK$4,0)+1,FALSE)</f>
        <v>0</v>
      </c>
      <c r="B213" s="263" t="s">
        <v>372</v>
      </c>
      <c r="C213" s="98">
        <v>0.1</v>
      </c>
      <c r="D213" s="6">
        <v>0.61</v>
      </c>
      <c r="E213" s="7">
        <f t="shared" si="174"/>
        <v>6.0999999999999999E-2</v>
      </c>
      <c r="F213" s="7">
        <f t="shared" ref="F213:F220" si="181">A213*E213</f>
        <v>0</v>
      </c>
      <c r="G213" s="8">
        <f t="shared" si="175"/>
        <v>0</v>
      </c>
      <c r="H213" s="9">
        <f t="shared" ref="H213:H220" si="182">C213</f>
        <v>0.1</v>
      </c>
      <c r="I213" s="10">
        <v>0.61</v>
      </c>
      <c r="J213" s="10">
        <f t="shared" si="176"/>
        <v>6.0999999999999999E-2</v>
      </c>
      <c r="K213" s="10">
        <f t="shared" ref="K213:K220" si="183">A213*J213</f>
        <v>0</v>
      </c>
      <c r="L213" s="11">
        <f t="shared" si="177"/>
        <v>0</v>
      </c>
      <c r="M213" s="12">
        <f t="shared" si="178"/>
        <v>0.1</v>
      </c>
      <c r="N213" s="13">
        <v>0.55000000000000004</v>
      </c>
      <c r="O213" s="13">
        <f t="shared" si="179"/>
        <v>5.5000000000000007E-2</v>
      </c>
      <c r="P213" s="13">
        <f t="shared" ref="P213:P220" si="184">A213*O213</f>
        <v>0</v>
      </c>
      <c r="Q213" s="14">
        <f t="shared" si="180"/>
        <v>0</v>
      </c>
    </row>
    <row r="214" spans="1:25" ht="15" customHeight="1" x14ac:dyDescent="0.3">
      <c r="A214" s="250">
        <f>VLOOKUP($B214,Reporting!$AM:$BK,MATCH($A$210,Reporting!$AN$4:$BK$4,0)+1,FALSE)</f>
        <v>0</v>
      </c>
      <c r="B214" s="20" t="s">
        <v>389</v>
      </c>
      <c r="C214" s="98">
        <v>0.11</v>
      </c>
      <c r="D214" s="6">
        <v>0.61</v>
      </c>
      <c r="E214" s="7">
        <f t="shared" si="174"/>
        <v>6.7099999999999993E-2</v>
      </c>
      <c r="F214" s="7">
        <f t="shared" si="181"/>
        <v>0</v>
      </c>
      <c r="G214" s="8">
        <f t="shared" si="175"/>
        <v>0</v>
      </c>
      <c r="H214" s="9">
        <f t="shared" si="182"/>
        <v>0.11</v>
      </c>
      <c r="I214" s="10">
        <v>0.61</v>
      </c>
      <c r="J214" s="10">
        <f t="shared" si="176"/>
        <v>6.7099999999999993E-2</v>
      </c>
      <c r="K214" s="10">
        <f t="shared" si="183"/>
        <v>0</v>
      </c>
      <c r="L214" s="11">
        <f t="shared" si="177"/>
        <v>0</v>
      </c>
      <c r="M214" s="12">
        <f t="shared" si="178"/>
        <v>0.11</v>
      </c>
      <c r="N214" s="13">
        <v>0.55000000000000004</v>
      </c>
      <c r="O214" s="13">
        <f t="shared" si="179"/>
        <v>6.0500000000000005E-2</v>
      </c>
      <c r="P214" s="13">
        <f t="shared" si="184"/>
        <v>0</v>
      </c>
      <c r="Q214" s="14">
        <f t="shared" si="180"/>
        <v>0</v>
      </c>
    </row>
    <row r="215" spans="1:25" ht="15" customHeight="1" x14ac:dyDescent="0.3">
      <c r="A215" s="250">
        <f>VLOOKUP($B215,Reporting!$AM:$BK,MATCH($A$210,Reporting!$AN$4:$BK$4,0)+1,FALSE)</f>
        <v>0</v>
      </c>
      <c r="B215" s="263" t="s">
        <v>373</v>
      </c>
      <c r="C215" s="98">
        <v>0.12</v>
      </c>
      <c r="D215" s="6">
        <v>0.61</v>
      </c>
      <c r="E215" s="7">
        <f t="shared" si="174"/>
        <v>7.3200000000000001E-2</v>
      </c>
      <c r="F215" s="7">
        <f t="shared" si="181"/>
        <v>0</v>
      </c>
      <c r="G215" s="8">
        <f t="shared" si="175"/>
        <v>0</v>
      </c>
      <c r="H215" s="9">
        <f t="shared" si="182"/>
        <v>0.12</v>
      </c>
      <c r="I215" s="10">
        <v>0.61</v>
      </c>
      <c r="J215" s="10">
        <f t="shared" si="176"/>
        <v>7.3200000000000001E-2</v>
      </c>
      <c r="K215" s="10">
        <f t="shared" si="183"/>
        <v>0</v>
      </c>
      <c r="L215" s="11">
        <f t="shared" si="177"/>
        <v>0</v>
      </c>
      <c r="M215" s="12">
        <f t="shared" si="178"/>
        <v>0.12</v>
      </c>
      <c r="N215" s="13">
        <v>0.55000000000000004</v>
      </c>
      <c r="O215" s="13">
        <f t="shared" si="179"/>
        <v>6.6000000000000003E-2</v>
      </c>
      <c r="P215" s="13">
        <f t="shared" si="184"/>
        <v>0</v>
      </c>
      <c r="Q215" s="14">
        <f t="shared" si="180"/>
        <v>0</v>
      </c>
    </row>
    <row r="216" spans="1:25" ht="15" customHeight="1" x14ac:dyDescent="0.3">
      <c r="A216" s="250">
        <f>VLOOKUP($B216,Reporting!$AM:$BK,MATCH($A$210,Reporting!$AN$4:$BK$4,0)+1,FALSE)</f>
        <v>0</v>
      </c>
      <c r="B216" s="263" t="s">
        <v>374</v>
      </c>
      <c r="C216" s="110">
        <v>0.14000000000000001</v>
      </c>
      <c r="D216" s="6">
        <v>0.61</v>
      </c>
      <c r="E216" s="7">
        <f t="shared" si="174"/>
        <v>8.5400000000000004E-2</v>
      </c>
      <c r="F216" s="7">
        <f t="shared" si="181"/>
        <v>0</v>
      </c>
      <c r="G216" s="8">
        <f t="shared" si="175"/>
        <v>0</v>
      </c>
      <c r="H216" s="9">
        <f t="shared" si="182"/>
        <v>0.14000000000000001</v>
      </c>
      <c r="I216" s="10">
        <v>0.61</v>
      </c>
      <c r="J216" s="10">
        <f t="shared" si="176"/>
        <v>8.5400000000000004E-2</v>
      </c>
      <c r="K216" s="10">
        <f t="shared" si="183"/>
        <v>0</v>
      </c>
      <c r="L216" s="11">
        <f t="shared" si="177"/>
        <v>0</v>
      </c>
      <c r="M216" s="12">
        <f t="shared" si="178"/>
        <v>0.14000000000000001</v>
      </c>
      <c r="N216" s="13">
        <v>0.55000000000000004</v>
      </c>
      <c r="O216" s="13">
        <f t="shared" si="179"/>
        <v>7.7000000000000013E-2</v>
      </c>
      <c r="P216" s="13">
        <f t="shared" si="184"/>
        <v>0</v>
      </c>
      <c r="Q216" s="14">
        <f t="shared" si="180"/>
        <v>0</v>
      </c>
    </row>
    <row r="217" spans="1:25" ht="15.75" customHeight="1" x14ac:dyDescent="0.3">
      <c r="A217" s="250">
        <f>VLOOKUP($B217,Reporting!$AM:$BK,MATCH($A$210,Reporting!$AN$4:$BK$4,0)+1,FALSE)</f>
        <v>0</v>
      </c>
      <c r="B217" s="148" t="s">
        <v>390</v>
      </c>
      <c r="C217" s="99">
        <v>0.16</v>
      </c>
      <c r="D217" s="6">
        <v>0.61</v>
      </c>
      <c r="E217" s="7">
        <f t="shared" si="174"/>
        <v>9.7600000000000006E-2</v>
      </c>
      <c r="F217" s="7">
        <f t="shared" si="181"/>
        <v>0</v>
      </c>
      <c r="G217" s="8">
        <f t="shared" si="175"/>
        <v>0</v>
      </c>
      <c r="H217" s="9">
        <f t="shared" si="182"/>
        <v>0.16</v>
      </c>
      <c r="I217" s="10">
        <v>0.61</v>
      </c>
      <c r="J217" s="10">
        <f t="shared" si="176"/>
        <v>9.7600000000000006E-2</v>
      </c>
      <c r="K217" s="10">
        <f t="shared" si="183"/>
        <v>0</v>
      </c>
      <c r="L217" s="11">
        <f t="shared" si="177"/>
        <v>0</v>
      </c>
      <c r="M217" s="12">
        <f t="shared" si="178"/>
        <v>0.16</v>
      </c>
      <c r="N217" s="13">
        <v>0.55000000000000004</v>
      </c>
      <c r="O217" s="13">
        <f t="shared" si="179"/>
        <v>8.8000000000000009E-2</v>
      </c>
      <c r="P217" s="13">
        <f t="shared" si="184"/>
        <v>0</v>
      </c>
      <c r="Q217" s="14">
        <f t="shared" si="180"/>
        <v>0</v>
      </c>
    </row>
    <row r="218" spans="1:25" x14ac:dyDescent="0.3">
      <c r="A218" s="250">
        <f>VLOOKUP($B218,Reporting!$AM:$BK,MATCH($A$210,Reporting!$AN$4:$BK$4,0)+1,FALSE)</f>
        <v>0</v>
      </c>
      <c r="B218" s="268" t="s">
        <v>376</v>
      </c>
      <c r="C218" s="99">
        <v>0.19</v>
      </c>
      <c r="D218" s="6">
        <v>0.61</v>
      </c>
      <c r="E218" s="7">
        <f t="shared" si="174"/>
        <v>0.1159</v>
      </c>
      <c r="F218" s="7">
        <f t="shared" si="181"/>
        <v>0</v>
      </c>
      <c r="G218" s="8">
        <f t="shared" si="175"/>
        <v>0</v>
      </c>
      <c r="H218" s="9">
        <f t="shared" si="182"/>
        <v>0.19</v>
      </c>
      <c r="I218" s="10">
        <v>0.61</v>
      </c>
      <c r="J218" s="10">
        <f t="shared" si="176"/>
        <v>0.1159</v>
      </c>
      <c r="K218" s="10">
        <f t="shared" si="183"/>
        <v>0</v>
      </c>
      <c r="L218" s="11">
        <f t="shared" si="177"/>
        <v>0</v>
      </c>
      <c r="M218" s="12">
        <f t="shared" si="178"/>
        <v>0.19</v>
      </c>
      <c r="N218" s="13">
        <v>0.55000000000000004</v>
      </c>
      <c r="O218" s="13">
        <f t="shared" si="179"/>
        <v>0.10450000000000001</v>
      </c>
      <c r="P218" s="13">
        <f t="shared" si="184"/>
        <v>0</v>
      </c>
      <c r="Q218" s="14">
        <f t="shared" si="180"/>
        <v>0</v>
      </c>
    </row>
    <row r="219" spans="1:25" x14ac:dyDescent="0.3">
      <c r="A219" s="250">
        <f>VLOOKUP($B219,Reporting!$AM:$BK,MATCH($A$210,Reporting!$AN$4:$BK$4,0)+1,FALSE)</f>
        <v>0</v>
      </c>
      <c r="B219" s="148" t="s">
        <v>391</v>
      </c>
      <c r="C219" s="99">
        <v>0.22</v>
      </c>
      <c r="D219" s="6">
        <v>0.61</v>
      </c>
      <c r="E219" s="7">
        <f t="shared" si="174"/>
        <v>0.13419999999999999</v>
      </c>
      <c r="F219" s="7">
        <f t="shared" si="181"/>
        <v>0</v>
      </c>
      <c r="G219" s="8">
        <f t="shared" si="175"/>
        <v>0</v>
      </c>
      <c r="H219" s="9">
        <f t="shared" si="182"/>
        <v>0.22</v>
      </c>
      <c r="I219" s="10">
        <v>0.61</v>
      </c>
      <c r="J219" s="10">
        <f t="shared" si="176"/>
        <v>0.13419999999999999</v>
      </c>
      <c r="K219" s="10">
        <f t="shared" si="183"/>
        <v>0</v>
      </c>
      <c r="L219" s="11">
        <f t="shared" si="177"/>
        <v>0</v>
      </c>
      <c r="M219" s="12">
        <f t="shared" si="178"/>
        <v>0.22</v>
      </c>
      <c r="N219" s="13">
        <v>0.55000000000000004</v>
      </c>
      <c r="O219" s="13">
        <f t="shared" si="179"/>
        <v>0.12100000000000001</v>
      </c>
      <c r="P219" s="13">
        <f t="shared" si="184"/>
        <v>0</v>
      </c>
      <c r="Q219" s="14">
        <f t="shared" si="180"/>
        <v>0</v>
      </c>
    </row>
    <row r="220" spans="1:25" x14ac:dyDescent="0.3">
      <c r="A220" s="250">
        <f>VLOOKUP($B220,Reporting!$AM:$BK,MATCH($A$210,Reporting!$AN$4:$BK$4,0)+1,FALSE)</f>
        <v>0</v>
      </c>
      <c r="B220" s="148" t="s">
        <v>392</v>
      </c>
      <c r="C220" s="99">
        <v>0.28999999999999998</v>
      </c>
      <c r="D220" s="6">
        <v>0.61</v>
      </c>
      <c r="E220" s="7">
        <f t="shared" si="174"/>
        <v>0.17689999999999997</v>
      </c>
      <c r="F220" s="7">
        <f t="shared" si="181"/>
        <v>0</v>
      </c>
      <c r="G220" s="8">
        <f t="shared" si="175"/>
        <v>0</v>
      </c>
      <c r="H220" s="9">
        <f t="shared" si="182"/>
        <v>0.28999999999999998</v>
      </c>
      <c r="I220" s="10">
        <v>0.61</v>
      </c>
      <c r="J220" s="10">
        <f t="shared" si="176"/>
        <v>0.17689999999999997</v>
      </c>
      <c r="K220" s="10">
        <f t="shared" si="183"/>
        <v>0</v>
      </c>
      <c r="L220" s="11">
        <f t="shared" si="177"/>
        <v>0</v>
      </c>
      <c r="M220" s="12">
        <f t="shared" si="178"/>
        <v>0.28999999999999998</v>
      </c>
      <c r="N220" s="13">
        <v>0.55000000000000004</v>
      </c>
      <c r="O220" s="13">
        <f t="shared" si="179"/>
        <v>0.1595</v>
      </c>
      <c r="P220" s="13">
        <f t="shared" si="184"/>
        <v>0</v>
      </c>
      <c r="Q220" s="14">
        <f t="shared" si="180"/>
        <v>0</v>
      </c>
    </row>
    <row r="221" spans="1:25" ht="15" thickBot="1" x14ac:dyDescent="0.35">
      <c r="A221" s="21">
        <f>SUM(A212:A220)</f>
        <v>0</v>
      </c>
      <c r="B221" s="269"/>
      <c r="C221" s="22"/>
      <c r="D221" s="714" t="s">
        <v>9</v>
      </c>
      <c r="E221" s="715"/>
      <c r="F221" s="715"/>
      <c r="G221" s="16">
        <f>SUM(G212:G220)</f>
        <v>0</v>
      </c>
      <c r="H221" s="1"/>
      <c r="I221" s="716" t="s">
        <v>10</v>
      </c>
      <c r="J221" s="716"/>
      <c r="K221" s="716"/>
      <c r="L221" s="17">
        <f>SUM(L212:L220)</f>
        <v>0</v>
      </c>
      <c r="M221" s="15"/>
      <c r="N221" s="717" t="s">
        <v>11</v>
      </c>
      <c r="O221" s="717"/>
      <c r="P221" s="717"/>
      <c r="Q221" s="18">
        <f>SUM(Q212:Q220)</f>
        <v>0</v>
      </c>
    </row>
    <row r="222" spans="1:25" ht="15" thickBot="1" x14ac:dyDescent="0.35">
      <c r="D222" s="131"/>
      <c r="E222" s="131"/>
      <c r="F222" s="131"/>
      <c r="G222" s="132"/>
      <c r="I222" s="131"/>
      <c r="J222" s="131"/>
      <c r="K222" s="131"/>
      <c r="L222" s="132"/>
      <c r="N222" s="131"/>
      <c r="O222" s="131"/>
      <c r="P222" s="131"/>
      <c r="Q222" s="132"/>
    </row>
    <row r="223" spans="1:25" ht="15" customHeight="1" x14ac:dyDescent="0.3">
      <c r="A223" s="687" t="s">
        <v>182</v>
      </c>
      <c r="B223" s="687"/>
      <c r="C223" s="687"/>
      <c r="D223" s="687"/>
      <c r="E223" s="687"/>
      <c r="F223" s="687"/>
      <c r="G223" s="687"/>
      <c r="H223" s="687"/>
      <c r="I223" s="687"/>
      <c r="J223" s="687"/>
      <c r="K223" s="687"/>
      <c r="L223" s="687"/>
      <c r="M223" s="687"/>
      <c r="N223" s="726" t="s">
        <v>129</v>
      </c>
      <c r="O223" s="726"/>
      <c r="P223" s="726"/>
      <c r="Q223" s="727"/>
    </row>
    <row r="224" spans="1:25" ht="15" customHeight="1" x14ac:dyDescent="0.3">
      <c r="A224" s="688"/>
      <c r="B224" s="688"/>
      <c r="C224" s="688"/>
      <c r="D224" s="688"/>
      <c r="E224" s="688"/>
      <c r="F224" s="688"/>
      <c r="G224" s="688"/>
      <c r="H224" s="688"/>
      <c r="I224" s="688"/>
      <c r="J224" s="688"/>
      <c r="K224" s="688"/>
      <c r="L224" s="688"/>
      <c r="M224" s="688"/>
      <c r="N224" s="728"/>
      <c r="O224" s="728"/>
      <c r="P224" s="728"/>
      <c r="Q224" s="729"/>
    </row>
    <row r="225" spans="1:17" x14ac:dyDescent="0.3">
      <c r="A225" s="250">
        <f>VLOOKUP($B225,Reporting!$AM:$BK,MATCH(LEFT($A$223,FIND("(I",$A$223)-2),Reporting!$AN$4:$BK$4,0)+1,FALSE)</f>
        <v>0</v>
      </c>
      <c r="B225" s="263" t="s">
        <v>371</v>
      </c>
      <c r="C225" s="98">
        <v>0.24</v>
      </c>
      <c r="D225" s="6">
        <v>0.61</v>
      </c>
      <c r="E225" s="7">
        <f t="shared" ref="E225:E230" si="185">C225*D225</f>
        <v>0.1464</v>
      </c>
      <c r="F225" s="7">
        <f>A225*E225</f>
        <v>0</v>
      </c>
      <c r="G225" s="8">
        <f t="shared" ref="G225:G230" si="186">F225/8</f>
        <v>0</v>
      </c>
      <c r="H225" s="9">
        <f>C225</f>
        <v>0.24</v>
      </c>
      <c r="I225" s="10">
        <v>0.61</v>
      </c>
      <c r="J225" s="10">
        <f t="shared" ref="J225:J230" si="187">H225*I225</f>
        <v>0.1464</v>
      </c>
      <c r="K225" s="10">
        <f>A225*J225</f>
        <v>0</v>
      </c>
      <c r="L225" s="11">
        <f t="shared" ref="L225:L230" si="188">K225/8</f>
        <v>0</v>
      </c>
      <c r="M225" s="12">
        <f t="shared" ref="M225:M230" si="189">H225</f>
        <v>0.24</v>
      </c>
      <c r="N225" s="13">
        <v>0.55000000000000004</v>
      </c>
      <c r="O225" s="13">
        <f t="shared" ref="O225:O230" si="190">M225*N225</f>
        <v>0.13200000000000001</v>
      </c>
      <c r="P225" s="13">
        <f>A225*O225</f>
        <v>0</v>
      </c>
      <c r="Q225" s="14">
        <f t="shared" ref="Q225:Q230" si="191">P225/8</f>
        <v>0</v>
      </c>
    </row>
    <row r="226" spans="1:17" x14ac:dyDescent="0.3">
      <c r="A226" s="250">
        <f>VLOOKUP($B226,Reporting!$AM:$BK,MATCH(LEFT($A$223,FIND("(I",$A$223)-2),Reporting!$AN$4:$BK$4,0)+1,FALSE)</f>
        <v>0</v>
      </c>
      <c r="B226" s="263" t="s">
        <v>372</v>
      </c>
      <c r="C226" s="98">
        <v>0.36</v>
      </c>
      <c r="D226" s="6">
        <v>0.61</v>
      </c>
      <c r="E226" s="7">
        <f t="shared" si="185"/>
        <v>0.21959999999999999</v>
      </c>
      <c r="F226" s="7">
        <f t="shared" ref="F226:F236" si="192">A226*E226</f>
        <v>0</v>
      </c>
      <c r="G226" s="8">
        <f t="shared" si="186"/>
        <v>0</v>
      </c>
      <c r="H226" s="9">
        <f t="shared" ref="H226:H236" si="193">C226</f>
        <v>0.36</v>
      </c>
      <c r="I226" s="10">
        <v>0.61</v>
      </c>
      <c r="J226" s="10">
        <f t="shared" si="187"/>
        <v>0.21959999999999999</v>
      </c>
      <c r="K226" s="10">
        <f t="shared" ref="K226:K236" si="194">A226*J226</f>
        <v>0</v>
      </c>
      <c r="L226" s="11">
        <f t="shared" si="188"/>
        <v>0</v>
      </c>
      <c r="M226" s="12">
        <f t="shared" si="189"/>
        <v>0.36</v>
      </c>
      <c r="N226" s="13">
        <v>0.55000000000000004</v>
      </c>
      <c r="O226" s="13">
        <f t="shared" si="190"/>
        <v>0.19800000000000001</v>
      </c>
      <c r="P226" s="13">
        <f t="shared" ref="P226:P236" si="195">A226*O226</f>
        <v>0</v>
      </c>
      <c r="Q226" s="14">
        <f t="shared" si="191"/>
        <v>0</v>
      </c>
    </row>
    <row r="227" spans="1:17" x14ac:dyDescent="0.3">
      <c r="A227" s="250">
        <f>VLOOKUP($B227,Reporting!$AM:$BK,MATCH(LEFT($A$223,FIND("(I",$A$223)-2),Reporting!$AN$4:$BK$4,0)+1,FALSE)</f>
        <v>0</v>
      </c>
      <c r="B227" s="20" t="s">
        <v>389</v>
      </c>
      <c r="C227" s="98">
        <v>0.36</v>
      </c>
      <c r="D227" s="6">
        <v>0.61</v>
      </c>
      <c r="E227" s="7">
        <f t="shared" si="185"/>
        <v>0.21959999999999999</v>
      </c>
      <c r="F227" s="7">
        <f t="shared" si="192"/>
        <v>0</v>
      </c>
      <c r="G227" s="8">
        <f t="shared" si="186"/>
        <v>0</v>
      </c>
      <c r="H227" s="9">
        <f t="shared" si="193"/>
        <v>0.36</v>
      </c>
      <c r="I227" s="10">
        <v>0.61</v>
      </c>
      <c r="J227" s="10">
        <f t="shared" si="187"/>
        <v>0.21959999999999999</v>
      </c>
      <c r="K227" s="10">
        <f t="shared" si="194"/>
        <v>0</v>
      </c>
      <c r="L227" s="11">
        <f t="shared" si="188"/>
        <v>0</v>
      </c>
      <c r="M227" s="12">
        <f t="shared" si="189"/>
        <v>0.36</v>
      </c>
      <c r="N227" s="13">
        <v>0.55000000000000004</v>
      </c>
      <c r="O227" s="13">
        <f t="shared" si="190"/>
        <v>0.19800000000000001</v>
      </c>
      <c r="P227" s="13">
        <f t="shared" si="195"/>
        <v>0</v>
      </c>
      <c r="Q227" s="14">
        <f t="shared" si="191"/>
        <v>0</v>
      </c>
    </row>
    <row r="228" spans="1:17" x14ac:dyDescent="0.3">
      <c r="A228" s="250">
        <f>VLOOKUP($B228,Reporting!$AM:$BK,MATCH(LEFT($A$223,FIND("(I",$A$223)-2),Reporting!$AN$4:$BK$4,0)+1,FALSE)</f>
        <v>0</v>
      </c>
      <c r="B228" s="263" t="s">
        <v>373</v>
      </c>
      <c r="C228" s="98">
        <v>0.36</v>
      </c>
      <c r="D228" s="6">
        <v>0.61</v>
      </c>
      <c r="E228" s="7">
        <f t="shared" si="185"/>
        <v>0.21959999999999999</v>
      </c>
      <c r="F228" s="7">
        <f t="shared" si="192"/>
        <v>0</v>
      </c>
      <c r="G228" s="8">
        <f t="shared" si="186"/>
        <v>0</v>
      </c>
      <c r="H228" s="9">
        <f t="shared" si="193"/>
        <v>0.36</v>
      </c>
      <c r="I228" s="10">
        <v>0.61</v>
      </c>
      <c r="J228" s="10">
        <f t="shared" si="187"/>
        <v>0.21959999999999999</v>
      </c>
      <c r="K228" s="10">
        <f t="shared" si="194"/>
        <v>0</v>
      </c>
      <c r="L228" s="11">
        <f t="shared" si="188"/>
        <v>0</v>
      </c>
      <c r="M228" s="12">
        <f t="shared" si="189"/>
        <v>0.36</v>
      </c>
      <c r="N228" s="13">
        <v>0.55000000000000004</v>
      </c>
      <c r="O228" s="13">
        <f t="shared" si="190"/>
        <v>0.19800000000000001</v>
      </c>
      <c r="P228" s="13">
        <f t="shared" si="195"/>
        <v>0</v>
      </c>
      <c r="Q228" s="14">
        <f t="shared" si="191"/>
        <v>0</v>
      </c>
    </row>
    <row r="229" spans="1:17" x14ac:dyDescent="0.3">
      <c r="A229" s="250">
        <f>VLOOKUP($B229,Reporting!$AM:$BK,MATCH(LEFT($A$223,FIND("(I",$A$223)-2),Reporting!$AN$4:$BK$4,0)+1,FALSE)</f>
        <v>0</v>
      </c>
      <c r="B229" s="263" t="s">
        <v>374</v>
      </c>
      <c r="C229" s="98">
        <v>0.36</v>
      </c>
      <c r="D229" s="6">
        <v>0.61</v>
      </c>
      <c r="E229" s="7">
        <f t="shared" si="185"/>
        <v>0.21959999999999999</v>
      </c>
      <c r="F229" s="7">
        <f t="shared" si="192"/>
        <v>0</v>
      </c>
      <c r="G229" s="8">
        <f t="shared" si="186"/>
        <v>0</v>
      </c>
      <c r="H229" s="9">
        <f t="shared" si="193"/>
        <v>0.36</v>
      </c>
      <c r="I229" s="10">
        <v>0.61</v>
      </c>
      <c r="J229" s="10">
        <f t="shared" si="187"/>
        <v>0.21959999999999999</v>
      </c>
      <c r="K229" s="10">
        <f t="shared" si="194"/>
        <v>0</v>
      </c>
      <c r="L229" s="11">
        <f t="shared" si="188"/>
        <v>0</v>
      </c>
      <c r="M229" s="12">
        <f t="shared" si="189"/>
        <v>0.36</v>
      </c>
      <c r="N229" s="13">
        <v>0.55000000000000004</v>
      </c>
      <c r="O229" s="13">
        <f t="shared" si="190"/>
        <v>0.19800000000000001</v>
      </c>
      <c r="P229" s="13">
        <f t="shared" si="195"/>
        <v>0</v>
      </c>
      <c r="Q229" s="14">
        <f t="shared" si="191"/>
        <v>0</v>
      </c>
    </row>
    <row r="230" spans="1:17" x14ac:dyDescent="0.3">
      <c r="A230" s="250">
        <f>VLOOKUP($B230,Reporting!$AM:$BK,MATCH(LEFT($A$223,FIND("(I",$A$223)-2),Reporting!$AN$4:$BK$4,0)+1,FALSE)</f>
        <v>0</v>
      </c>
      <c r="B230" s="148" t="s">
        <v>390</v>
      </c>
      <c r="C230" s="99">
        <v>0.39</v>
      </c>
      <c r="D230" s="6">
        <v>0.61</v>
      </c>
      <c r="E230" s="7">
        <f t="shared" si="185"/>
        <v>0.2379</v>
      </c>
      <c r="F230" s="7">
        <f t="shared" si="192"/>
        <v>0</v>
      </c>
      <c r="G230" s="8">
        <f t="shared" si="186"/>
        <v>0</v>
      </c>
      <c r="H230" s="9">
        <f t="shared" si="193"/>
        <v>0.39</v>
      </c>
      <c r="I230" s="10">
        <v>0.61</v>
      </c>
      <c r="J230" s="10">
        <f t="shared" si="187"/>
        <v>0.2379</v>
      </c>
      <c r="K230" s="10">
        <f t="shared" si="194"/>
        <v>0</v>
      </c>
      <c r="L230" s="11">
        <f t="shared" si="188"/>
        <v>0</v>
      </c>
      <c r="M230" s="12">
        <f t="shared" si="189"/>
        <v>0.39</v>
      </c>
      <c r="N230" s="13">
        <v>0.55000000000000004</v>
      </c>
      <c r="O230" s="13">
        <f t="shared" si="190"/>
        <v>0.21450000000000002</v>
      </c>
      <c r="P230" s="13">
        <f t="shared" si="195"/>
        <v>0</v>
      </c>
      <c r="Q230" s="14">
        <f t="shared" si="191"/>
        <v>0</v>
      </c>
    </row>
    <row r="231" spans="1:17" x14ac:dyDescent="0.3">
      <c r="A231" s="250">
        <f>VLOOKUP($B231,Reporting!$AM:$BK,MATCH(LEFT($A$223,FIND("(I",$A$223)-2),Reporting!$AN$4:$BK$4,0)+1,FALSE)</f>
        <v>0</v>
      </c>
      <c r="B231" s="268" t="s">
        <v>376</v>
      </c>
      <c r="C231" s="99">
        <v>0.39</v>
      </c>
      <c r="D231" s="6">
        <v>0.61</v>
      </c>
      <c r="E231" s="7">
        <f t="shared" ref="E231:E236" si="196">C231*D231</f>
        <v>0.2379</v>
      </c>
      <c r="F231" s="7">
        <f t="shared" si="192"/>
        <v>0</v>
      </c>
      <c r="G231" s="8">
        <f t="shared" ref="G231:G236" si="197">F231/8</f>
        <v>0</v>
      </c>
      <c r="H231" s="9">
        <f t="shared" si="193"/>
        <v>0.39</v>
      </c>
      <c r="I231" s="10">
        <v>0.61</v>
      </c>
      <c r="J231" s="10">
        <f t="shared" ref="J231:J236" si="198">H231*I231</f>
        <v>0.2379</v>
      </c>
      <c r="K231" s="10">
        <f t="shared" si="194"/>
        <v>0</v>
      </c>
      <c r="L231" s="11">
        <f t="shared" ref="L231:L236" si="199">K231/8</f>
        <v>0</v>
      </c>
      <c r="M231" s="12">
        <f t="shared" ref="M231:M236" si="200">H231</f>
        <v>0.39</v>
      </c>
      <c r="N231" s="13">
        <v>0.55000000000000004</v>
      </c>
      <c r="O231" s="13">
        <f t="shared" ref="O231:O236" si="201">M231*N231</f>
        <v>0.21450000000000002</v>
      </c>
      <c r="P231" s="13">
        <f t="shared" si="195"/>
        <v>0</v>
      </c>
      <c r="Q231" s="14">
        <f t="shared" ref="Q231:Q236" si="202">P231/8</f>
        <v>0</v>
      </c>
    </row>
    <row r="232" spans="1:17" x14ac:dyDescent="0.3">
      <c r="A232" s="250">
        <f>VLOOKUP($B232,Reporting!$AM:$BK,MATCH(LEFT($A$223,FIND("(I",$A$223)-2),Reporting!$AN$4:$BK$4,0)+1,FALSE)</f>
        <v>0</v>
      </c>
      <c r="B232" s="148" t="s">
        <v>391</v>
      </c>
      <c r="C232" s="99">
        <v>0.38</v>
      </c>
      <c r="D232" s="6">
        <v>0.61</v>
      </c>
      <c r="E232" s="7">
        <f t="shared" si="196"/>
        <v>0.23180000000000001</v>
      </c>
      <c r="F232" s="7">
        <f t="shared" si="192"/>
        <v>0</v>
      </c>
      <c r="G232" s="8">
        <f t="shared" si="197"/>
        <v>0</v>
      </c>
      <c r="H232" s="9">
        <f t="shared" si="193"/>
        <v>0.38</v>
      </c>
      <c r="I232" s="10">
        <v>0.61</v>
      </c>
      <c r="J232" s="10">
        <f t="shared" si="198"/>
        <v>0.23180000000000001</v>
      </c>
      <c r="K232" s="10">
        <f t="shared" si="194"/>
        <v>0</v>
      </c>
      <c r="L232" s="11">
        <f t="shared" si="199"/>
        <v>0</v>
      </c>
      <c r="M232" s="12">
        <f t="shared" si="200"/>
        <v>0.38</v>
      </c>
      <c r="N232" s="13">
        <v>0.55000000000000004</v>
      </c>
      <c r="O232" s="13">
        <f t="shared" si="201"/>
        <v>0.20900000000000002</v>
      </c>
      <c r="P232" s="13">
        <f t="shared" si="195"/>
        <v>0</v>
      </c>
      <c r="Q232" s="14">
        <f t="shared" si="202"/>
        <v>0</v>
      </c>
    </row>
    <row r="233" spans="1:17" x14ac:dyDescent="0.3">
      <c r="A233" s="250">
        <f>VLOOKUP($B233,Reporting!$AM:$BK,MATCH(LEFT($A$223,FIND("(I",$A$223)-2),Reporting!$AN$4:$BK$4,0)+1,FALSE)</f>
        <v>0</v>
      </c>
      <c r="B233" s="148" t="s">
        <v>392</v>
      </c>
      <c r="C233" s="99">
        <v>0.78</v>
      </c>
      <c r="D233" s="6">
        <v>0.61</v>
      </c>
      <c r="E233" s="7">
        <f t="shared" si="196"/>
        <v>0.4758</v>
      </c>
      <c r="F233" s="7">
        <f t="shared" si="192"/>
        <v>0</v>
      </c>
      <c r="G233" s="8">
        <f t="shared" si="197"/>
        <v>0</v>
      </c>
      <c r="H233" s="9">
        <f t="shared" si="193"/>
        <v>0.78</v>
      </c>
      <c r="I233" s="10">
        <v>0.61</v>
      </c>
      <c r="J233" s="10">
        <f t="shared" si="198"/>
        <v>0.4758</v>
      </c>
      <c r="K233" s="10">
        <f t="shared" si="194"/>
        <v>0</v>
      </c>
      <c r="L233" s="11">
        <f t="shared" si="199"/>
        <v>0</v>
      </c>
      <c r="M233" s="12">
        <f t="shared" si="200"/>
        <v>0.78</v>
      </c>
      <c r="N233" s="13">
        <v>0.55000000000000004</v>
      </c>
      <c r="O233" s="13">
        <f t="shared" si="201"/>
        <v>0.42900000000000005</v>
      </c>
      <c r="P233" s="13">
        <f t="shared" si="195"/>
        <v>0</v>
      </c>
      <c r="Q233" s="14">
        <f t="shared" si="202"/>
        <v>0</v>
      </c>
    </row>
    <row r="234" spans="1:17" x14ac:dyDescent="0.3">
      <c r="A234" s="250">
        <f>VLOOKUP($B234,Reporting!$AM:$BK,MATCH(LEFT($A$223,FIND("(I",$A$223)-2),Reporting!$AN$4:$BK$4,0)+1,FALSE)</f>
        <v>0</v>
      </c>
      <c r="B234" s="148" t="s">
        <v>393</v>
      </c>
      <c r="C234" s="99">
        <v>0.9</v>
      </c>
      <c r="D234" s="6">
        <v>0.61</v>
      </c>
      <c r="E234" s="7">
        <f t="shared" si="196"/>
        <v>0.54900000000000004</v>
      </c>
      <c r="F234" s="7">
        <f t="shared" si="192"/>
        <v>0</v>
      </c>
      <c r="G234" s="8">
        <f t="shared" si="197"/>
        <v>0</v>
      </c>
      <c r="H234" s="9">
        <f t="shared" si="193"/>
        <v>0.9</v>
      </c>
      <c r="I234" s="10">
        <v>0.61</v>
      </c>
      <c r="J234" s="10">
        <f t="shared" si="198"/>
        <v>0.54900000000000004</v>
      </c>
      <c r="K234" s="10">
        <f t="shared" si="194"/>
        <v>0</v>
      </c>
      <c r="L234" s="11">
        <f t="shared" si="199"/>
        <v>0</v>
      </c>
      <c r="M234" s="12">
        <f t="shared" si="200"/>
        <v>0.9</v>
      </c>
      <c r="N234" s="13">
        <v>0.55000000000000004</v>
      </c>
      <c r="O234" s="13">
        <f t="shared" si="201"/>
        <v>0.49500000000000005</v>
      </c>
      <c r="P234" s="13">
        <f t="shared" si="195"/>
        <v>0</v>
      </c>
      <c r="Q234" s="14">
        <f t="shared" si="202"/>
        <v>0</v>
      </c>
    </row>
    <row r="235" spans="1:17" x14ac:dyDescent="0.3">
      <c r="A235" s="250">
        <f>VLOOKUP($B235,Reporting!$AM:$BK,MATCH(LEFT($A$223,FIND("(I",$A$223)-2),Reporting!$AN$4:$BK$4,0)+1,FALSE)</f>
        <v>0</v>
      </c>
      <c r="B235" s="148" t="s">
        <v>394</v>
      </c>
      <c r="C235" s="99">
        <v>0.86</v>
      </c>
      <c r="D235" s="6">
        <v>0.61</v>
      </c>
      <c r="E235" s="7">
        <f t="shared" si="196"/>
        <v>0.52459999999999996</v>
      </c>
      <c r="F235" s="7">
        <f t="shared" si="192"/>
        <v>0</v>
      </c>
      <c r="G235" s="8">
        <f t="shared" si="197"/>
        <v>0</v>
      </c>
      <c r="H235" s="9">
        <f t="shared" si="193"/>
        <v>0.86</v>
      </c>
      <c r="I235" s="10">
        <v>0.61</v>
      </c>
      <c r="J235" s="10">
        <f t="shared" si="198"/>
        <v>0.52459999999999996</v>
      </c>
      <c r="K235" s="10">
        <f t="shared" si="194"/>
        <v>0</v>
      </c>
      <c r="L235" s="11">
        <f t="shared" si="199"/>
        <v>0</v>
      </c>
      <c r="M235" s="12">
        <f t="shared" si="200"/>
        <v>0.86</v>
      </c>
      <c r="N235" s="13">
        <v>0.55000000000000004</v>
      </c>
      <c r="O235" s="13">
        <f t="shared" si="201"/>
        <v>0.47300000000000003</v>
      </c>
      <c r="P235" s="13">
        <f t="shared" si="195"/>
        <v>0</v>
      </c>
      <c r="Q235" s="14">
        <f t="shared" si="202"/>
        <v>0</v>
      </c>
    </row>
    <row r="236" spans="1:17" x14ac:dyDescent="0.3">
      <c r="A236" s="250">
        <f>VLOOKUP($B236,Reporting!$AM:$BK,MATCH(LEFT($A$223,FIND("(I",$A$223)-2),Reporting!$AN$4:$BK$4,0)+1,FALSE)</f>
        <v>0</v>
      </c>
      <c r="B236" s="148" t="s">
        <v>395</v>
      </c>
      <c r="C236" s="99">
        <v>0.84</v>
      </c>
      <c r="D236" s="6">
        <v>0.61</v>
      </c>
      <c r="E236" s="7">
        <f t="shared" si="196"/>
        <v>0.51239999999999997</v>
      </c>
      <c r="F236" s="7">
        <f t="shared" si="192"/>
        <v>0</v>
      </c>
      <c r="G236" s="8">
        <f t="shared" si="197"/>
        <v>0</v>
      </c>
      <c r="H236" s="9">
        <f t="shared" si="193"/>
        <v>0.84</v>
      </c>
      <c r="I236" s="10">
        <v>0.61</v>
      </c>
      <c r="J236" s="10">
        <f t="shared" si="198"/>
        <v>0.51239999999999997</v>
      </c>
      <c r="K236" s="10">
        <f t="shared" si="194"/>
        <v>0</v>
      </c>
      <c r="L236" s="11">
        <f t="shared" si="199"/>
        <v>0</v>
      </c>
      <c r="M236" s="12">
        <f t="shared" si="200"/>
        <v>0.84</v>
      </c>
      <c r="N236" s="13">
        <v>0.55000000000000004</v>
      </c>
      <c r="O236" s="13">
        <f t="shared" si="201"/>
        <v>0.46200000000000002</v>
      </c>
      <c r="P236" s="13">
        <f t="shared" si="195"/>
        <v>0</v>
      </c>
      <c r="Q236" s="14">
        <f t="shared" si="202"/>
        <v>0</v>
      </c>
    </row>
    <row r="237" spans="1:17" ht="15" thickBot="1" x14ac:dyDescent="0.35">
      <c r="A237" s="21">
        <f>SUM(A225:A236)</f>
        <v>0</v>
      </c>
      <c r="B237" s="269"/>
      <c r="C237" s="22"/>
      <c r="D237" s="644" t="s">
        <v>9</v>
      </c>
      <c r="E237" s="645"/>
      <c r="F237" s="645"/>
      <c r="G237" s="16">
        <f>SUM(G225:G236)</f>
        <v>0</v>
      </c>
      <c r="H237" s="1"/>
      <c r="I237" s="646" t="s">
        <v>10</v>
      </c>
      <c r="J237" s="646"/>
      <c r="K237" s="646"/>
      <c r="L237" s="17">
        <f>SUM(L225:L236)</f>
        <v>0</v>
      </c>
      <c r="M237" s="15"/>
      <c r="N237" s="647" t="s">
        <v>11</v>
      </c>
      <c r="O237" s="647"/>
      <c r="P237" s="647"/>
      <c r="Q237" s="18">
        <f>SUM(Q225:Q236)</f>
        <v>0</v>
      </c>
    </row>
    <row r="238" spans="1:17" ht="15" thickBot="1" x14ac:dyDescent="0.35">
      <c r="D238" s="131"/>
      <c r="E238" s="131"/>
      <c r="F238" s="131"/>
      <c r="G238" s="132"/>
      <c r="I238" s="131"/>
      <c r="J238" s="131"/>
      <c r="K238" s="131"/>
      <c r="L238" s="132"/>
      <c r="N238" s="131"/>
      <c r="O238" s="131"/>
      <c r="P238" s="131"/>
      <c r="Q238" s="132"/>
    </row>
    <row r="239" spans="1:17" ht="15" customHeight="1" x14ac:dyDescent="0.3">
      <c r="A239" s="687" t="s">
        <v>183</v>
      </c>
      <c r="B239" s="687"/>
      <c r="C239" s="687"/>
      <c r="D239" s="687"/>
      <c r="E239" s="687"/>
      <c r="F239" s="687"/>
      <c r="G239" s="687"/>
      <c r="H239" s="135"/>
      <c r="I239" s="135"/>
      <c r="J239" s="726" t="s">
        <v>130</v>
      </c>
      <c r="K239" s="726"/>
      <c r="L239" s="726"/>
      <c r="M239" s="726"/>
      <c r="N239" s="23"/>
      <c r="O239" s="23"/>
      <c r="P239" s="23"/>
      <c r="Q239" s="24"/>
    </row>
    <row r="240" spans="1:17" ht="15" customHeight="1" x14ac:dyDescent="0.3">
      <c r="A240" s="688"/>
      <c r="B240" s="688"/>
      <c r="C240" s="688"/>
      <c r="D240" s="688"/>
      <c r="E240" s="688"/>
      <c r="F240" s="688"/>
      <c r="G240" s="688"/>
      <c r="H240" s="136"/>
      <c r="I240" s="136"/>
      <c r="J240" s="728"/>
      <c r="K240" s="728"/>
      <c r="L240" s="728"/>
      <c r="M240" s="728"/>
      <c r="N240" s="42"/>
      <c r="O240" s="42"/>
      <c r="P240" s="42"/>
      <c r="Q240" s="43"/>
    </row>
    <row r="241" spans="1:17" x14ac:dyDescent="0.3">
      <c r="A241" s="250">
        <f>VLOOKUP($B241,Reporting!$AM:$BK,MATCH($A$239,Reporting!$AN$4:$BK$4,0)+1,FALSE)</f>
        <v>0</v>
      </c>
      <c r="B241" s="263" t="s">
        <v>371</v>
      </c>
      <c r="C241" s="110">
        <v>0.2</v>
      </c>
      <c r="D241" s="6">
        <v>0.61</v>
      </c>
      <c r="E241" s="7">
        <f t="shared" ref="E241:E251" si="203">C241*D241</f>
        <v>0.122</v>
      </c>
      <c r="F241" s="7">
        <f>A241*E241</f>
        <v>0</v>
      </c>
      <c r="G241" s="8">
        <f t="shared" ref="G241:G251" si="204">F241/8</f>
        <v>0</v>
      </c>
      <c r="H241" s="9">
        <f>C241</f>
        <v>0.2</v>
      </c>
      <c r="I241" s="10">
        <v>0.61</v>
      </c>
      <c r="J241" s="10">
        <f t="shared" ref="J241:J251" si="205">H241*I241</f>
        <v>0.122</v>
      </c>
      <c r="K241" s="10">
        <f>A241*J241</f>
        <v>0</v>
      </c>
      <c r="L241" s="11">
        <f t="shared" ref="L241:L251" si="206">K241/8</f>
        <v>0</v>
      </c>
      <c r="M241" s="12">
        <f t="shared" ref="M241:M251" si="207">H241</f>
        <v>0.2</v>
      </c>
      <c r="N241" s="13">
        <v>0.55000000000000004</v>
      </c>
      <c r="O241" s="13">
        <f t="shared" ref="O241:O251" si="208">M241*N241</f>
        <v>0.11000000000000001</v>
      </c>
      <c r="P241" s="13">
        <f>A241*O241</f>
        <v>0</v>
      </c>
      <c r="Q241" s="14">
        <f t="shared" ref="Q241:Q251" si="209">P241/8</f>
        <v>0</v>
      </c>
    </row>
    <row r="242" spans="1:17" x14ac:dyDescent="0.3">
      <c r="A242" s="250">
        <f>VLOOKUP($B242,Reporting!$AM:$BK,MATCH($A$239,Reporting!$AN$4:$BK$4,0)+1,FALSE)</f>
        <v>1</v>
      </c>
      <c r="B242" s="263" t="s">
        <v>372</v>
      </c>
      <c r="C242" s="110">
        <v>0.28000000000000003</v>
      </c>
      <c r="D242" s="6">
        <v>0.61</v>
      </c>
      <c r="E242" s="7">
        <f t="shared" si="203"/>
        <v>0.17080000000000001</v>
      </c>
      <c r="F242" s="7">
        <f t="shared" ref="F242:F251" si="210">A242*E242</f>
        <v>0.17080000000000001</v>
      </c>
      <c r="G242" s="8">
        <f t="shared" si="204"/>
        <v>2.1350000000000001E-2</v>
      </c>
      <c r="H242" s="9">
        <f t="shared" ref="H242:H251" si="211">C242</f>
        <v>0.28000000000000003</v>
      </c>
      <c r="I242" s="10">
        <v>0.61</v>
      </c>
      <c r="J242" s="10">
        <f t="shared" si="205"/>
        <v>0.17080000000000001</v>
      </c>
      <c r="K242" s="10">
        <f t="shared" ref="K242:K251" si="212">A242*J242</f>
        <v>0.17080000000000001</v>
      </c>
      <c r="L242" s="11">
        <f t="shared" si="206"/>
        <v>2.1350000000000001E-2</v>
      </c>
      <c r="M242" s="12">
        <f t="shared" si="207"/>
        <v>0.28000000000000003</v>
      </c>
      <c r="N242" s="13">
        <v>0.55000000000000004</v>
      </c>
      <c r="O242" s="13">
        <f t="shared" si="208"/>
        <v>0.15400000000000003</v>
      </c>
      <c r="P242" s="13">
        <f t="shared" ref="P242:P251" si="213">A242*O242</f>
        <v>0.15400000000000003</v>
      </c>
      <c r="Q242" s="14">
        <f t="shared" si="209"/>
        <v>1.9250000000000003E-2</v>
      </c>
    </row>
    <row r="243" spans="1:17" x14ac:dyDescent="0.3">
      <c r="A243" s="250">
        <f>VLOOKUP($B243,Reporting!$AM:$BK,MATCH($A$239,Reporting!$AN$4:$BK$4,0)+1,FALSE)</f>
        <v>0</v>
      </c>
      <c r="B243" s="20" t="s">
        <v>389</v>
      </c>
      <c r="C243" s="110">
        <v>0.34</v>
      </c>
      <c r="D243" s="6">
        <v>0.61</v>
      </c>
      <c r="E243" s="7">
        <f t="shared" si="203"/>
        <v>0.2074</v>
      </c>
      <c r="F243" s="7">
        <f t="shared" si="210"/>
        <v>0</v>
      </c>
      <c r="G243" s="8">
        <f t="shared" si="204"/>
        <v>0</v>
      </c>
      <c r="H243" s="9">
        <f t="shared" si="211"/>
        <v>0.34</v>
      </c>
      <c r="I243" s="10">
        <v>0.61</v>
      </c>
      <c r="J243" s="10">
        <f t="shared" si="205"/>
        <v>0.2074</v>
      </c>
      <c r="K243" s="10">
        <f t="shared" si="212"/>
        <v>0</v>
      </c>
      <c r="L243" s="11">
        <f t="shared" si="206"/>
        <v>0</v>
      </c>
      <c r="M243" s="12">
        <f t="shared" si="207"/>
        <v>0.34</v>
      </c>
      <c r="N243" s="13">
        <v>0.55000000000000004</v>
      </c>
      <c r="O243" s="13">
        <f t="shared" si="208"/>
        <v>0.18700000000000003</v>
      </c>
      <c r="P243" s="13">
        <f t="shared" si="213"/>
        <v>0</v>
      </c>
      <c r="Q243" s="14">
        <f t="shared" si="209"/>
        <v>0</v>
      </c>
    </row>
    <row r="244" spans="1:17" x14ac:dyDescent="0.3">
      <c r="A244" s="250">
        <f>VLOOKUP($B244,Reporting!$AM:$BK,MATCH($A$239,Reporting!$AN$4:$BK$4,0)+1,FALSE)</f>
        <v>0</v>
      </c>
      <c r="B244" s="263" t="s">
        <v>373</v>
      </c>
      <c r="C244" s="110">
        <v>0.4</v>
      </c>
      <c r="D244" s="6">
        <v>0.61</v>
      </c>
      <c r="E244" s="7">
        <f t="shared" si="203"/>
        <v>0.24399999999999999</v>
      </c>
      <c r="F244" s="7">
        <f t="shared" si="210"/>
        <v>0</v>
      </c>
      <c r="G244" s="8">
        <f t="shared" si="204"/>
        <v>0</v>
      </c>
      <c r="H244" s="9">
        <f t="shared" si="211"/>
        <v>0.4</v>
      </c>
      <c r="I244" s="10">
        <v>0.61</v>
      </c>
      <c r="J244" s="10">
        <f t="shared" si="205"/>
        <v>0.24399999999999999</v>
      </c>
      <c r="K244" s="10">
        <f t="shared" si="212"/>
        <v>0</v>
      </c>
      <c r="L244" s="11">
        <f t="shared" si="206"/>
        <v>0</v>
      </c>
      <c r="M244" s="12">
        <f t="shared" si="207"/>
        <v>0.4</v>
      </c>
      <c r="N244" s="13">
        <v>0.55000000000000004</v>
      </c>
      <c r="O244" s="13">
        <f t="shared" si="208"/>
        <v>0.22000000000000003</v>
      </c>
      <c r="P244" s="13">
        <f t="shared" si="213"/>
        <v>0</v>
      </c>
      <c r="Q244" s="14">
        <f t="shared" si="209"/>
        <v>0</v>
      </c>
    </row>
    <row r="245" spans="1:17" x14ac:dyDescent="0.3">
      <c r="A245" s="250">
        <f>VLOOKUP($B245,Reporting!$AM:$BK,MATCH($A$239,Reporting!$AN$4:$BK$4,0)+1,FALSE)</f>
        <v>0</v>
      </c>
      <c r="B245" s="263" t="s">
        <v>374</v>
      </c>
      <c r="C245" s="110">
        <v>0.44</v>
      </c>
      <c r="D245" s="6">
        <v>0.61</v>
      </c>
      <c r="E245" s="7">
        <f t="shared" si="203"/>
        <v>0.26839999999999997</v>
      </c>
      <c r="F245" s="7">
        <f t="shared" si="210"/>
        <v>0</v>
      </c>
      <c r="G245" s="8">
        <f t="shared" si="204"/>
        <v>0</v>
      </c>
      <c r="H245" s="9">
        <f t="shared" si="211"/>
        <v>0.44</v>
      </c>
      <c r="I245" s="10">
        <v>0.61</v>
      </c>
      <c r="J245" s="10">
        <f t="shared" si="205"/>
        <v>0.26839999999999997</v>
      </c>
      <c r="K245" s="10">
        <f t="shared" si="212"/>
        <v>0</v>
      </c>
      <c r="L245" s="11">
        <f t="shared" si="206"/>
        <v>0</v>
      </c>
      <c r="M245" s="12">
        <f t="shared" si="207"/>
        <v>0.44</v>
      </c>
      <c r="N245" s="13">
        <v>0.55000000000000004</v>
      </c>
      <c r="O245" s="13">
        <f t="shared" si="208"/>
        <v>0.24200000000000002</v>
      </c>
      <c r="P245" s="13">
        <f t="shared" si="213"/>
        <v>0</v>
      </c>
      <c r="Q245" s="14">
        <f t="shared" si="209"/>
        <v>0</v>
      </c>
    </row>
    <row r="246" spans="1:17" x14ac:dyDescent="0.3">
      <c r="A246" s="250">
        <f>VLOOKUP($B246,Reporting!$AM:$BK,MATCH($A$239,Reporting!$AN$4:$BK$4,0)+1,FALSE)</f>
        <v>0</v>
      </c>
      <c r="B246" s="148" t="s">
        <v>390</v>
      </c>
      <c r="C246" s="99">
        <v>0.53</v>
      </c>
      <c r="D246" s="6">
        <v>0.61</v>
      </c>
      <c r="E246" s="7">
        <f t="shared" si="203"/>
        <v>0.32330000000000003</v>
      </c>
      <c r="F246" s="7">
        <f t="shared" si="210"/>
        <v>0</v>
      </c>
      <c r="G246" s="8">
        <f t="shared" si="204"/>
        <v>0</v>
      </c>
      <c r="H246" s="9">
        <f t="shared" si="211"/>
        <v>0.53</v>
      </c>
      <c r="I246" s="10">
        <v>0.61</v>
      </c>
      <c r="J246" s="10">
        <f t="shared" si="205"/>
        <v>0.32330000000000003</v>
      </c>
      <c r="K246" s="10">
        <f t="shared" si="212"/>
        <v>0</v>
      </c>
      <c r="L246" s="11">
        <f t="shared" si="206"/>
        <v>0</v>
      </c>
      <c r="M246" s="12">
        <f t="shared" si="207"/>
        <v>0.53</v>
      </c>
      <c r="N246" s="13">
        <v>0.55000000000000004</v>
      </c>
      <c r="O246" s="13">
        <f t="shared" si="208"/>
        <v>0.29150000000000004</v>
      </c>
      <c r="P246" s="13">
        <f t="shared" si="213"/>
        <v>0</v>
      </c>
      <c r="Q246" s="14">
        <f t="shared" si="209"/>
        <v>0</v>
      </c>
    </row>
    <row r="247" spans="1:17" x14ac:dyDescent="0.3">
      <c r="A247" s="250">
        <f>VLOOKUP($B247,Reporting!$AM:$BK,MATCH($A$239,Reporting!$AN$4:$BK$4,0)+1,FALSE)</f>
        <v>0</v>
      </c>
      <c r="B247" s="268" t="s">
        <v>376</v>
      </c>
      <c r="C247" s="99">
        <v>0.89</v>
      </c>
      <c r="D247" s="6">
        <v>0.61</v>
      </c>
      <c r="E247" s="7">
        <f t="shared" si="203"/>
        <v>0.54290000000000005</v>
      </c>
      <c r="F247" s="7">
        <f t="shared" si="210"/>
        <v>0</v>
      </c>
      <c r="G247" s="8">
        <f t="shared" si="204"/>
        <v>0</v>
      </c>
      <c r="H247" s="9">
        <f t="shared" si="211"/>
        <v>0.89</v>
      </c>
      <c r="I247" s="10">
        <v>0.61</v>
      </c>
      <c r="J247" s="10">
        <f t="shared" si="205"/>
        <v>0.54290000000000005</v>
      </c>
      <c r="K247" s="10">
        <f t="shared" si="212"/>
        <v>0</v>
      </c>
      <c r="L247" s="11">
        <f t="shared" si="206"/>
        <v>0</v>
      </c>
      <c r="M247" s="12">
        <f t="shared" si="207"/>
        <v>0.89</v>
      </c>
      <c r="N247" s="13">
        <v>0.55000000000000004</v>
      </c>
      <c r="O247" s="13">
        <f t="shared" si="208"/>
        <v>0.48950000000000005</v>
      </c>
      <c r="P247" s="13">
        <f t="shared" si="213"/>
        <v>0</v>
      </c>
      <c r="Q247" s="14">
        <f t="shared" si="209"/>
        <v>0</v>
      </c>
    </row>
    <row r="248" spans="1:17" x14ac:dyDescent="0.3">
      <c r="A248" s="250">
        <f>VLOOKUP($B248,Reporting!$AM:$BK,MATCH($A$239,Reporting!$AN$4:$BK$4,0)+1,FALSE)</f>
        <v>0</v>
      </c>
      <c r="B248" s="148" t="s">
        <v>391</v>
      </c>
      <c r="C248" s="99">
        <v>1.06</v>
      </c>
      <c r="D248" s="6">
        <v>0.61</v>
      </c>
      <c r="E248" s="7">
        <f t="shared" si="203"/>
        <v>0.64660000000000006</v>
      </c>
      <c r="F248" s="7">
        <f t="shared" si="210"/>
        <v>0</v>
      </c>
      <c r="G248" s="8">
        <f t="shared" si="204"/>
        <v>0</v>
      </c>
      <c r="H248" s="9">
        <f t="shared" si="211"/>
        <v>1.06</v>
      </c>
      <c r="I248" s="10">
        <v>0.61</v>
      </c>
      <c r="J248" s="10">
        <f t="shared" si="205"/>
        <v>0.64660000000000006</v>
      </c>
      <c r="K248" s="10">
        <f t="shared" si="212"/>
        <v>0</v>
      </c>
      <c r="L248" s="11">
        <f t="shared" si="206"/>
        <v>0</v>
      </c>
      <c r="M248" s="12">
        <f t="shared" si="207"/>
        <v>1.06</v>
      </c>
      <c r="N248" s="13">
        <v>0.55000000000000004</v>
      </c>
      <c r="O248" s="13">
        <f t="shared" si="208"/>
        <v>0.58300000000000007</v>
      </c>
      <c r="P248" s="13">
        <f t="shared" si="213"/>
        <v>0</v>
      </c>
      <c r="Q248" s="14">
        <f t="shared" si="209"/>
        <v>0</v>
      </c>
    </row>
    <row r="249" spans="1:17" x14ac:dyDescent="0.3">
      <c r="A249" s="250">
        <f>VLOOKUP($B249,Reporting!$AM:$BK,MATCH($A$239,Reporting!$AN$4:$BK$4,0)+1,FALSE)</f>
        <v>0</v>
      </c>
      <c r="B249" s="148" t="s">
        <v>392</v>
      </c>
      <c r="C249" s="99">
        <v>1.42</v>
      </c>
      <c r="D249" s="6">
        <v>0.61</v>
      </c>
      <c r="E249" s="7">
        <f t="shared" si="203"/>
        <v>0.86619999999999997</v>
      </c>
      <c r="F249" s="7">
        <f t="shared" si="210"/>
        <v>0</v>
      </c>
      <c r="G249" s="8">
        <f t="shared" si="204"/>
        <v>0</v>
      </c>
      <c r="H249" s="9">
        <f t="shared" si="211"/>
        <v>1.42</v>
      </c>
      <c r="I249" s="10">
        <v>0.61</v>
      </c>
      <c r="J249" s="10">
        <f t="shared" si="205"/>
        <v>0.86619999999999997</v>
      </c>
      <c r="K249" s="10">
        <f t="shared" si="212"/>
        <v>0</v>
      </c>
      <c r="L249" s="11">
        <f t="shared" si="206"/>
        <v>0</v>
      </c>
      <c r="M249" s="12">
        <f t="shared" si="207"/>
        <v>1.42</v>
      </c>
      <c r="N249" s="13">
        <v>0.55000000000000004</v>
      </c>
      <c r="O249" s="13">
        <f t="shared" si="208"/>
        <v>0.78100000000000003</v>
      </c>
      <c r="P249" s="13">
        <f t="shared" si="213"/>
        <v>0</v>
      </c>
      <c r="Q249" s="14">
        <f t="shared" si="209"/>
        <v>0</v>
      </c>
    </row>
    <row r="250" spans="1:17" x14ac:dyDescent="0.3">
      <c r="A250" s="250">
        <f>VLOOKUP($B250,Reporting!$AM:$BK,MATCH($A$239,Reporting!$AN$4:$BK$4,0)+1,FALSE)</f>
        <v>0</v>
      </c>
      <c r="B250" s="148" t="s">
        <v>393</v>
      </c>
      <c r="C250" s="99">
        <v>2.3199999999999998</v>
      </c>
      <c r="D250" s="6">
        <v>0.61</v>
      </c>
      <c r="E250" s="7">
        <f t="shared" si="203"/>
        <v>1.4151999999999998</v>
      </c>
      <c r="F250" s="7">
        <f t="shared" si="210"/>
        <v>0</v>
      </c>
      <c r="G250" s="8">
        <f t="shared" si="204"/>
        <v>0</v>
      </c>
      <c r="H250" s="9">
        <f t="shared" si="211"/>
        <v>2.3199999999999998</v>
      </c>
      <c r="I250" s="10">
        <v>0.61</v>
      </c>
      <c r="J250" s="10">
        <f t="shared" si="205"/>
        <v>1.4151999999999998</v>
      </c>
      <c r="K250" s="10">
        <f t="shared" si="212"/>
        <v>0</v>
      </c>
      <c r="L250" s="11">
        <f t="shared" si="206"/>
        <v>0</v>
      </c>
      <c r="M250" s="12">
        <f t="shared" si="207"/>
        <v>2.3199999999999998</v>
      </c>
      <c r="N250" s="13">
        <v>0.55000000000000004</v>
      </c>
      <c r="O250" s="13">
        <f t="shared" si="208"/>
        <v>1.276</v>
      </c>
      <c r="P250" s="13">
        <f t="shared" si="213"/>
        <v>0</v>
      </c>
      <c r="Q250" s="14">
        <f t="shared" si="209"/>
        <v>0</v>
      </c>
    </row>
    <row r="251" spans="1:17" x14ac:dyDescent="0.3">
      <c r="A251" s="250">
        <f>VLOOKUP($B251,Reporting!$AM:$BK,MATCH($A$239,Reporting!$AN$4:$BK$4,0)+1,FALSE)</f>
        <v>0</v>
      </c>
      <c r="B251" s="148" t="s">
        <v>394</v>
      </c>
      <c r="C251" s="99">
        <v>2.78</v>
      </c>
      <c r="D251" s="6">
        <v>0.61</v>
      </c>
      <c r="E251" s="7">
        <f t="shared" si="203"/>
        <v>1.6957999999999998</v>
      </c>
      <c r="F251" s="7">
        <f t="shared" si="210"/>
        <v>0</v>
      </c>
      <c r="G251" s="8">
        <f t="shared" si="204"/>
        <v>0</v>
      </c>
      <c r="H251" s="9">
        <f t="shared" si="211"/>
        <v>2.78</v>
      </c>
      <c r="I251" s="10">
        <v>0.61</v>
      </c>
      <c r="J251" s="10">
        <f t="shared" si="205"/>
        <v>1.6957999999999998</v>
      </c>
      <c r="K251" s="10">
        <f t="shared" si="212"/>
        <v>0</v>
      </c>
      <c r="L251" s="11">
        <f t="shared" si="206"/>
        <v>0</v>
      </c>
      <c r="M251" s="12">
        <f t="shared" si="207"/>
        <v>2.78</v>
      </c>
      <c r="N251" s="13">
        <v>0.55000000000000004</v>
      </c>
      <c r="O251" s="13">
        <f t="shared" si="208"/>
        <v>1.5289999999999999</v>
      </c>
      <c r="P251" s="13">
        <f t="shared" si="213"/>
        <v>0</v>
      </c>
      <c r="Q251" s="14">
        <f t="shared" si="209"/>
        <v>0</v>
      </c>
    </row>
    <row r="252" spans="1:17" ht="15" thickBot="1" x14ac:dyDescent="0.35">
      <c r="A252" s="21">
        <f>SUM(A241:A251)</f>
        <v>1</v>
      </c>
      <c r="B252" s="269"/>
      <c r="C252" s="22"/>
      <c r="D252" s="644" t="s">
        <v>9</v>
      </c>
      <c r="E252" s="645"/>
      <c r="F252" s="645"/>
      <c r="G252" s="16">
        <f>SUM(G241:G251)</f>
        <v>2.1350000000000001E-2</v>
      </c>
      <c r="H252" s="1"/>
      <c r="I252" s="646" t="s">
        <v>10</v>
      </c>
      <c r="J252" s="646"/>
      <c r="K252" s="646"/>
      <c r="L252" s="17">
        <f>SUM(L241:L251)</f>
        <v>2.1350000000000001E-2</v>
      </c>
      <c r="M252" s="15"/>
      <c r="N252" s="647" t="s">
        <v>11</v>
      </c>
      <c r="O252" s="647"/>
      <c r="P252" s="647"/>
      <c r="Q252" s="18">
        <f>SUM(Q241:Q251)</f>
        <v>1.9250000000000003E-2</v>
      </c>
    </row>
    <row r="253" spans="1:17" ht="15" thickBot="1" x14ac:dyDescent="0.35"/>
    <row r="254" spans="1:17" ht="15" customHeight="1" x14ac:dyDescent="0.3">
      <c r="A254" s="687" t="s">
        <v>184</v>
      </c>
      <c r="B254" s="687"/>
      <c r="C254" s="687"/>
      <c r="D254" s="687"/>
      <c r="E254" s="687"/>
      <c r="F254" s="687"/>
      <c r="G254" s="687"/>
      <c r="H254" s="687"/>
      <c r="I254" s="687"/>
      <c r="J254" s="687"/>
      <c r="K254" s="687"/>
      <c r="L254" s="687"/>
      <c r="M254" s="687"/>
      <c r="N254" s="135"/>
      <c r="O254" s="726" t="s">
        <v>131</v>
      </c>
      <c r="P254" s="726"/>
      <c r="Q254" s="727"/>
    </row>
    <row r="255" spans="1:17" ht="15" customHeight="1" x14ac:dyDescent="0.3">
      <c r="A255" s="688"/>
      <c r="B255" s="688"/>
      <c r="C255" s="688"/>
      <c r="D255" s="688"/>
      <c r="E255" s="688"/>
      <c r="F255" s="688"/>
      <c r="G255" s="688"/>
      <c r="H255" s="688"/>
      <c r="I255" s="688"/>
      <c r="J255" s="688"/>
      <c r="K255" s="688"/>
      <c r="L255" s="688"/>
      <c r="M255" s="688"/>
      <c r="N255" s="136"/>
      <c r="O255" s="728"/>
      <c r="P255" s="728"/>
      <c r="Q255" s="729"/>
    </row>
    <row r="256" spans="1:17" x14ac:dyDescent="0.3">
      <c r="A256" s="250">
        <f>VLOOKUP($B256,Reporting!$AM:$BK,MATCH(LEFT($A$254,FIND("(I",$A$254)-2),Reporting!$AN$4:$BK$4,0)+1,FALSE)</f>
        <v>0</v>
      </c>
      <c r="B256" s="263" t="s">
        <v>374</v>
      </c>
      <c r="C256" s="98">
        <v>7.0000000000000007E-2</v>
      </c>
      <c r="D256" s="6">
        <v>0.61</v>
      </c>
      <c r="E256" s="7">
        <f>C256*D256</f>
        <v>4.2700000000000002E-2</v>
      </c>
      <c r="F256" s="7">
        <f>A256*E256</f>
        <v>0</v>
      </c>
      <c r="G256" s="8">
        <f>F256/8</f>
        <v>0</v>
      </c>
      <c r="H256" s="9">
        <f>C256</f>
        <v>7.0000000000000007E-2</v>
      </c>
      <c r="I256" s="10">
        <v>0.61</v>
      </c>
      <c r="J256" s="10">
        <f>H256*I256</f>
        <v>4.2700000000000002E-2</v>
      </c>
      <c r="K256" s="10">
        <f>A256*J256</f>
        <v>0</v>
      </c>
      <c r="L256" s="11">
        <f>K256/8</f>
        <v>0</v>
      </c>
      <c r="M256" s="12">
        <f>H256</f>
        <v>7.0000000000000007E-2</v>
      </c>
      <c r="N256" s="13">
        <v>0.55000000000000004</v>
      </c>
      <c r="O256" s="13">
        <f>M256*N256</f>
        <v>3.8500000000000006E-2</v>
      </c>
      <c r="P256" s="13">
        <f>A256*O256</f>
        <v>0</v>
      </c>
      <c r="Q256" s="14">
        <f>P256/8</f>
        <v>0</v>
      </c>
    </row>
    <row r="257" spans="1:17" x14ac:dyDescent="0.3">
      <c r="A257" s="250">
        <f>VLOOKUP($B257,Reporting!$AM:$BK,MATCH(LEFT($A$254,FIND("(I",$A$254)-2),Reporting!$AN$4:$BK$4,0)+1,FALSE)</f>
        <v>0</v>
      </c>
      <c r="B257" s="148" t="s">
        <v>390</v>
      </c>
      <c r="C257" s="99">
        <v>7.0000000000000007E-2</v>
      </c>
      <c r="D257" s="6">
        <v>0.61</v>
      </c>
      <c r="E257" s="7">
        <f>C257*D257</f>
        <v>4.2700000000000002E-2</v>
      </c>
      <c r="F257" s="7">
        <f t="shared" ref="F257:F263" si="214">A257*E257</f>
        <v>0</v>
      </c>
      <c r="G257" s="8">
        <f>F257/8</f>
        <v>0</v>
      </c>
      <c r="H257" s="9">
        <f t="shared" ref="H257:H263" si="215">C257</f>
        <v>7.0000000000000007E-2</v>
      </c>
      <c r="I257" s="10">
        <v>0.61</v>
      </c>
      <c r="J257" s="10">
        <f>H257*I257</f>
        <v>4.2700000000000002E-2</v>
      </c>
      <c r="K257" s="10">
        <f t="shared" ref="K257:K263" si="216">A257*J257</f>
        <v>0</v>
      </c>
      <c r="L257" s="11">
        <f>K257/8</f>
        <v>0</v>
      </c>
      <c r="M257" s="12">
        <f>H257</f>
        <v>7.0000000000000007E-2</v>
      </c>
      <c r="N257" s="13">
        <v>0.55000000000000004</v>
      </c>
      <c r="O257" s="13">
        <f>M257*N257</f>
        <v>3.8500000000000006E-2</v>
      </c>
      <c r="P257" s="13">
        <f t="shared" ref="P257:P263" si="217">A257*O257</f>
        <v>0</v>
      </c>
      <c r="Q257" s="14">
        <f>P257/8</f>
        <v>0</v>
      </c>
    </row>
    <row r="258" spans="1:17" x14ac:dyDescent="0.3">
      <c r="A258" s="250">
        <f>VLOOKUP($B258,Reporting!$AM:$BK,MATCH(LEFT($A$254,FIND("(I",$A$254)-2),Reporting!$AN$4:$BK$4,0)+1,FALSE)</f>
        <v>0</v>
      </c>
      <c r="B258" s="268" t="s">
        <v>376</v>
      </c>
      <c r="C258" s="99">
        <v>0.08</v>
      </c>
      <c r="D258" s="6">
        <v>0.61</v>
      </c>
      <c r="E258" s="7">
        <f t="shared" ref="E258:E263" si="218">C258*D258</f>
        <v>4.8800000000000003E-2</v>
      </c>
      <c r="F258" s="7">
        <f t="shared" si="214"/>
        <v>0</v>
      </c>
      <c r="G258" s="8">
        <f t="shared" ref="G258:G263" si="219">F258/8</f>
        <v>0</v>
      </c>
      <c r="H258" s="9">
        <f t="shared" si="215"/>
        <v>0.08</v>
      </c>
      <c r="I258" s="10">
        <v>0.61</v>
      </c>
      <c r="J258" s="10">
        <f t="shared" ref="J258:J263" si="220">H258*I258</f>
        <v>4.8800000000000003E-2</v>
      </c>
      <c r="K258" s="10">
        <f t="shared" si="216"/>
        <v>0</v>
      </c>
      <c r="L258" s="11">
        <f t="shared" ref="L258:L263" si="221">K258/8</f>
        <v>0</v>
      </c>
      <c r="M258" s="12">
        <f t="shared" ref="M258:M263" si="222">H258</f>
        <v>0.08</v>
      </c>
      <c r="N258" s="13">
        <v>0.55000000000000004</v>
      </c>
      <c r="O258" s="13">
        <f t="shared" ref="O258:O263" si="223">M258*N258</f>
        <v>4.4000000000000004E-2</v>
      </c>
      <c r="P258" s="13">
        <f t="shared" si="217"/>
        <v>0</v>
      </c>
      <c r="Q258" s="14">
        <f t="shared" ref="Q258:Q263" si="224">P258/8</f>
        <v>0</v>
      </c>
    </row>
    <row r="259" spans="1:17" x14ac:dyDescent="0.3">
      <c r="A259" s="250">
        <f>VLOOKUP($B259,Reporting!$AM:$BK,MATCH(LEFT($A$254,FIND("(I",$A$254)-2),Reporting!$AN$4:$BK$4,0)+1,FALSE)</f>
        <v>0</v>
      </c>
      <c r="B259" s="148" t="s">
        <v>391</v>
      </c>
      <c r="C259" s="99">
        <v>0.09</v>
      </c>
      <c r="D259" s="6">
        <v>0.61</v>
      </c>
      <c r="E259" s="7">
        <f t="shared" si="218"/>
        <v>5.4899999999999997E-2</v>
      </c>
      <c r="F259" s="7">
        <f t="shared" si="214"/>
        <v>0</v>
      </c>
      <c r="G259" s="8">
        <f t="shared" si="219"/>
        <v>0</v>
      </c>
      <c r="H259" s="9">
        <f t="shared" si="215"/>
        <v>0.09</v>
      </c>
      <c r="I259" s="10">
        <v>0.61</v>
      </c>
      <c r="J259" s="10">
        <f t="shared" si="220"/>
        <v>5.4899999999999997E-2</v>
      </c>
      <c r="K259" s="10">
        <f t="shared" si="216"/>
        <v>0</v>
      </c>
      <c r="L259" s="11">
        <f t="shared" si="221"/>
        <v>0</v>
      </c>
      <c r="M259" s="12">
        <f t="shared" si="222"/>
        <v>0.09</v>
      </c>
      <c r="N259" s="13">
        <v>0.55000000000000004</v>
      </c>
      <c r="O259" s="13">
        <f t="shared" si="223"/>
        <v>4.9500000000000002E-2</v>
      </c>
      <c r="P259" s="13">
        <f t="shared" si="217"/>
        <v>0</v>
      </c>
      <c r="Q259" s="14">
        <f t="shared" si="224"/>
        <v>0</v>
      </c>
    </row>
    <row r="260" spans="1:17" x14ac:dyDescent="0.3">
      <c r="A260" s="250">
        <f>VLOOKUP($B260,Reporting!$AM:$BK,MATCH(LEFT($A$254,FIND("(I",$A$254)-2),Reporting!$AN$4:$BK$4,0)+1,FALSE)</f>
        <v>0</v>
      </c>
      <c r="B260" s="148" t="s">
        <v>392</v>
      </c>
      <c r="C260" s="99">
        <v>0.12</v>
      </c>
      <c r="D260" s="6">
        <v>0.61</v>
      </c>
      <c r="E260" s="7">
        <f t="shared" si="218"/>
        <v>7.3200000000000001E-2</v>
      </c>
      <c r="F260" s="7">
        <f t="shared" si="214"/>
        <v>0</v>
      </c>
      <c r="G260" s="8">
        <f t="shared" si="219"/>
        <v>0</v>
      </c>
      <c r="H260" s="9">
        <f t="shared" si="215"/>
        <v>0.12</v>
      </c>
      <c r="I260" s="10">
        <v>0.61</v>
      </c>
      <c r="J260" s="10">
        <f t="shared" si="220"/>
        <v>7.3200000000000001E-2</v>
      </c>
      <c r="K260" s="10">
        <f t="shared" si="216"/>
        <v>0</v>
      </c>
      <c r="L260" s="11">
        <f t="shared" si="221"/>
        <v>0</v>
      </c>
      <c r="M260" s="12">
        <f t="shared" si="222"/>
        <v>0.12</v>
      </c>
      <c r="N260" s="13">
        <v>0.55000000000000004</v>
      </c>
      <c r="O260" s="13">
        <f t="shared" si="223"/>
        <v>6.6000000000000003E-2</v>
      </c>
      <c r="P260" s="13">
        <f t="shared" si="217"/>
        <v>0</v>
      </c>
      <c r="Q260" s="14">
        <f t="shared" si="224"/>
        <v>0</v>
      </c>
    </row>
    <row r="261" spans="1:17" x14ac:dyDescent="0.3">
      <c r="A261" s="250">
        <f>VLOOKUP($B261,Reporting!$AM:$BK,MATCH(LEFT($A$254,FIND("(I",$A$254)-2),Reporting!$AN$4:$BK$4,0)+1,FALSE)</f>
        <v>0</v>
      </c>
      <c r="B261" s="148" t="s">
        <v>393</v>
      </c>
      <c r="C261" s="99">
        <v>0.16</v>
      </c>
      <c r="D261" s="6">
        <v>0.61</v>
      </c>
      <c r="E261" s="7">
        <f t="shared" si="218"/>
        <v>9.7600000000000006E-2</v>
      </c>
      <c r="F261" s="7">
        <f t="shared" si="214"/>
        <v>0</v>
      </c>
      <c r="G261" s="8">
        <f t="shared" si="219"/>
        <v>0</v>
      </c>
      <c r="H261" s="9">
        <f t="shared" si="215"/>
        <v>0.16</v>
      </c>
      <c r="I261" s="10">
        <v>0.61</v>
      </c>
      <c r="J261" s="10">
        <f t="shared" si="220"/>
        <v>9.7600000000000006E-2</v>
      </c>
      <c r="K261" s="10">
        <f t="shared" si="216"/>
        <v>0</v>
      </c>
      <c r="L261" s="11">
        <f t="shared" si="221"/>
        <v>0</v>
      </c>
      <c r="M261" s="12">
        <f t="shared" si="222"/>
        <v>0.16</v>
      </c>
      <c r="N261" s="13">
        <v>0.55000000000000004</v>
      </c>
      <c r="O261" s="13">
        <f t="shared" si="223"/>
        <v>8.8000000000000009E-2</v>
      </c>
      <c r="P261" s="13">
        <f t="shared" si="217"/>
        <v>0</v>
      </c>
      <c r="Q261" s="14">
        <f t="shared" si="224"/>
        <v>0</v>
      </c>
    </row>
    <row r="262" spans="1:17" x14ac:dyDescent="0.3">
      <c r="A262" s="250">
        <f>VLOOKUP($B262,Reporting!$AM:$BK,MATCH(LEFT($A$254,FIND("(I",$A$254)-2),Reporting!$AN$4:$BK$4,0)+1,FALSE)</f>
        <v>0</v>
      </c>
      <c r="B262" s="148" t="s">
        <v>394</v>
      </c>
      <c r="C262" s="99">
        <v>0.18</v>
      </c>
      <c r="D262" s="6">
        <v>0.61</v>
      </c>
      <c r="E262" s="7">
        <f t="shared" si="218"/>
        <v>0.10979999999999999</v>
      </c>
      <c r="F262" s="7">
        <f t="shared" si="214"/>
        <v>0</v>
      </c>
      <c r="G262" s="8">
        <f t="shared" si="219"/>
        <v>0</v>
      </c>
      <c r="H262" s="9">
        <f t="shared" si="215"/>
        <v>0.18</v>
      </c>
      <c r="I262" s="10">
        <v>0.61</v>
      </c>
      <c r="J262" s="10">
        <f t="shared" si="220"/>
        <v>0.10979999999999999</v>
      </c>
      <c r="K262" s="10">
        <f t="shared" si="216"/>
        <v>0</v>
      </c>
      <c r="L262" s="11">
        <f t="shared" si="221"/>
        <v>0</v>
      </c>
      <c r="M262" s="12">
        <f t="shared" si="222"/>
        <v>0.18</v>
      </c>
      <c r="N262" s="13">
        <v>0.55000000000000004</v>
      </c>
      <c r="O262" s="13">
        <f t="shared" si="223"/>
        <v>9.9000000000000005E-2</v>
      </c>
      <c r="P262" s="13">
        <f t="shared" si="217"/>
        <v>0</v>
      </c>
      <c r="Q262" s="14">
        <f t="shared" si="224"/>
        <v>0</v>
      </c>
    </row>
    <row r="263" spans="1:17" x14ac:dyDescent="0.3">
      <c r="A263" s="250">
        <f>VLOOKUP($B263,Reporting!$AM:$BK,MATCH(LEFT($A$254,FIND("(I",$A$254)-2),Reporting!$AN$4:$BK$4,0)+1,FALSE)</f>
        <v>0</v>
      </c>
      <c r="B263" s="148" t="s">
        <v>395</v>
      </c>
      <c r="C263" s="99">
        <v>0.28000000000000003</v>
      </c>
      <c r="D263" s="6">
        <v>0.61</v>
      </c>
      <c r="E263" s="7">
        <f t="shared" si="218"/>
        <v>0.17080000000000001</v>
      </c>
      <c r="F263" s="7">
        <f t="shared" si="214"/>
        <v>0</v>
      </c>
      <c r="G263" s="8">
        <f t="shared" si="219"/>
        <v>0</v>
      </c>
      <c r="H263" s="9">
        <f t="shared" si="215"/>
        <v>0.28000000000000003</v>
      </c>
      <c r="I263" s="10">
        <v>0.61</v>
      </c>
      <c r="J263" s="10">
        <f t="shared" si="220"/>
        <v>0.17080000000000001</v>
      </c>
      <c r="K263" s="10">
        <f t="shared" si="216"/>
        <v>0</v>
      </c>
      <c r="L263" s="11">
        <f t="shared" si="221"/>
        <v>0</v>
      </c>
      <c r="M263" s="12">
        <f t="shared" si="222"/>
        <v>0.28000000000000003</v>
      </c>
      <c r="N263" s="13">
        <v>0.55000000000000004</v>
      </c>
      <c r="O263" s="13">
        <f t="shared" si="223"/>
        <v>0.15400000000000003</v>
      </c>
      <c r="P263" s="13">
        <f t="shared" si="217"/>
        <v>0</v>
      </c>
      <c r="Q263" s="14">
        <f t="shared" si="224"/>
        <v>0</v>
      </c>
    </row>
    <row r="264" spans="1:17" ht="15" thickBot="1" x14ac:dyDescent="0.35">
      <c r="A264" s="21">
        <f>SUM(A256:A263)</f>
        <v>0</v>
      </c>
      <c r="B264" s="269"/>
      <c r="C264" s="22"/>
      <c r="D264" s="644" t="s">
        <v>9</v>
      </c>
      <c r="E264" s="645"/>
      <c r="F264" s="645"/>
      <c r="G264" s="16">
        <f>SUM(G256:G263)</f>
        <v>0</v>
      </c>
      <c r="H264" s="1"/>
      <c r="I264" s="646" t="s">
        <v>10</v>
      </c>
      <c r="J264" s="646"/>
      <c r="K264" s="646"/>
      <c r="L264" s="17">
        <f>SUM(L256:L263)</f>
        <v>0</v>
      </c>
      <c r="M264" s="15"/>
      <c r="N264" s="647" t="s">
        <v>11</v>
      </c>
      <c r="O264" s="647"/>
      <c r="P264" s="647"/>
      <c r="Q264" s="18">
        <f>SUM(Q256:Q263)</f>
        <v>0</v>
      </c>
    </row>
    <row r="265" spans="1:17" ht="15" thickBot="1" x14ac:dyDescent="0.35">
      <c r="D265" s="131"/>
      <c r="E265" s="131"/>
      <c r="F265" s="131"/>
      <c r="G265" s="132"/>
      <c r="I265" s="131"/>
      <c r="J265" s="131"/>
      <c r="K265" s="131"/>
      <c r="L265" s="132"/>
      <c r="N265" s="131"/>
      <c r="O265" s="131"/>
      <c r="P265" s="131"/>
      <c r="Q265" s="132"/>
    </row>
    <row r="266" spans="1:17" ht="15" customHeight="1" x14ac:dyDescent="0.3">
      <c r="A266" s="687" t="s">
        <v>186</v>
      </c>
      <c r="B266" s="687"/>
      <c r="C266" s="687"/>
      <c r="D266" s="687"/>
      <c r="E266" s="687"/>
      <c r="F266" s="687"/>
      <c r="G266" s="687"/>
      <c r="H266" s="640" t="s">
        <v>256</v>
      </c>
      <c r="I266" s="640"/>
      <c r="J266" s="640"/>
      <c r="K266" s="640"/>
      <c r="L266" s="23"/>
      <c r="M266" s="23"/>
      <c r="N266" s="23"/>
      <c r="O266" s="23"/>
      <c r="P266" s="23"/>
      <c r="Q266" s="24"/>
    </row>
    <row r="267" spans="1:17" ht="15" customHeight="1" x14ac:dyDescent="0.3">
      <c r="A267" s="688"/>
      <c r="B267" s="688"/>
      <c r="C267" s="688"/>
      <c r="D267" s="688"/>
      <c r="E267" s="688"/>
      <c r="F267" s="688"/>
      <c r="G267" s="688"/>
      <c r="H267" s="641"/>
      <c r="I267" s="641"/>
      <c r="J267" s="641"/>
      <c r="K267" s="641"/>
      <c r="L267" s="42"/>
      <c r="M267" s="42"/>
      <c r="N267" s="42"/>
      <c r="O267" s="42"/>
      <c r="P267" s="42"/>
      <c r="Q267" s="43"/>
    </row>
    <row r="268" spans="1:17" ht="15" customHeight="1" x14ac:dyDescent="0.3">
      <c r="A268" s="250">
        <f>VLOOKUP($B268,Reporting!$AM:$BK,MATCH($A$266,Reporting!$AN$4:$BK$4,0)+1,FALSE)</f>
        <v>0</v>
      </c>
      <c r="B268" s="263" t="s">
        <v>371</v>
      </c>
      <c r="C268" s="98">
        <v>0.26</v>
      </c>
      <c r="D268" s="6">
        <v>0.61</v>
      </c>
      <c r="E268" s="7">
        <f t="shared" ref="E268:E276" si="225">C268*D268</f>
        <v>0.15859999999999999</v>
      </c>
      <c r="F268" s="7">
        <f>A268*E268</f>
        <v>0</v>
      </c>
      <c r="G268" s="8">
        <f t="shared" ref="G268:G276" si="226">F268/8</f>
        <v>0</v>
      </c>
      <c r="H268" s="9">
        <f>C268</f>
        <v>0.26</v>
      </c>
      <c r="I268" s="10">
        <v>0.61</v>
      </c>
      <c r="J268" s="10">
        <f t="shared" ref="J268:J276" si="227">H268*I268</f>
        <v>0.15859999999999999</v>
      </c>
      <c r="K268" s="10">
        <f>A268*J268</f>
        <v>0</v>
      </c>
      <c r="L268" s="11">
        <f t="shared" ref="L268:L276" si="228">K268/8</f>
        <v>0</v>
      </c>
      <c r="M268" s="12">
        <f t="shared" ref="M268:M276" si="229">H268</f>
        <v>0.26</v>
      </c>
      <c r="N268" s="13">
        <v>0.55000000000000004</v>
      </c>
      <c r="O268" s="13">
        <f t="shared" ref="O268:O276" si="230">M268*N268</f>
        <v>0.14300000000000002</v>
      </c>
      <c r="P268" s="13">
        <f>A268*O268</f>
        <v>0</v>
      </c>
      <c r="Q268" s="14">
        <f t="shared" ref="Q268:Q276" si="231">P268/8</f>
        <v>0</v>
      </c>
    </row>
    <row r="269" spans="1:17" ht="15" customHeight="1" x14ac:dyDescent="0.3">
      <c r="A269" s="250">
        <f>VLOOKUP($B269,Reporting!$AM:$BK,MATCH($A$266,Reporting!$AN$4:$BK$4,0)+1,FALSE)</f>
        <v>0</v>
      </c>
      <c r="B269" s="263" t="s">
        <v>372</v>
      </c>
      <c r="C269" s="98">
        <v>0.33</v>
      </c>
      <c r="D269" s="6">
        <v>0.61</v>
      </c>
      <c r="E269" s="7">
        <f t="shared" si="225"/>
        <v>0.20130000000000001</v>
      </c>
      <c r="F269" s="7">
        <f t="shared" ref="F269:F276" si="232">A269*E269</f>
        <v>0</v>
      </c>
      <c r="G269" s="8">
        <f t="shared" si="226"/>
        <v>0</v>
      </c>
      <c r="H269" s="9">
        <f t="shared" ref="H269:H276" si="233">C269</f>
        <v>0.33</v>
      </c>
      <c r="I269" s="10">
        <v>0.61</v>
      </c>
      <c r="J269" s="10">
        <f t="shared" si="227"/>
        <v>0.20130000000000001</v>
      </c>
      <c r="K269" s="10">
        <f t="shared" ref="K269:K276" si="234">A269*J269</f>
        <v>0</v>
      </c>
      <c r="L269" s="11">
        <f t="shared" si="228"/>
        <v>0</v>
      </c>
      <c r="M269" s="12">
        <f t="shared" si="229"/>
        <v>0.33</v>
      </c>
      <c r="N269" s="13">
        <v>0.55000000000000004</v>
      </c>
      <c r="O269" s="13">
        <f t="shared" si="230"/>
        <v>0.18150000000000002</v>
      </c>
      <c r="P269" s="13">
        <f t="shared" ref="P269:P276" si="235">A269*O269</f>
        <v>0</v>
      </c>
      <c r="Q269" s="14">
        <f t="shared" si="231"/>
        <v>0</v>
      </c>
    </row>
    <row r="270" spans="1:17" ht="15" customHeight="1" x14ac:dyDescent="0.3">
      <c r="A270" s="250">
        <f>VLOOKUP($B270,Reporting!$AM:$BK,MATCH($A$266,Reporting!$AN$4:$BK$4,0)+1,FALSE)</f>
        <v>0</v>
      </c>
      <c r="B270" s="20" t="s">
        <v>389</v>
      </c>
      <c r="C270" s="98">
        <v>0.41</v>
      </c>
      <c r="D270" s="6">
        <v>0.61</v>
      </c>
      <c r="E270" s="7">
        <f t="shared" si="225"/>
        <v>0.25009999999999999</v>
      </c>
      <c r="F270" s="7">
        <f t="shared" si="232"/>
        <v>0</v>
      </c>
      <c r="G270" s="8">
        <f t="shared" si="226"/>
        <v>0</v>
      </c>
      <c r="H270" s="9">
        <f t="shared" si="233"/>
        <v>0.41</v>
      </c>
      <c r="I270" s="10">
        <v>0.61</v>
      </c>
      <c r="J270" s="10">
        <f t="shared" si="227"/>
        <v>0.25009999999999999</v>
      </c>
      <c r="K270" s="10">
        <f t="shared" si="234"/>
        <v>0</v>
      </c>
      <c r="L270" s="11">
        <f t="shared" si="228"/>
        <v>0</v>
      </c>
      <c r="M270" s="12">
        <f t="shared" si="229"/>
        <v>0.41</v>
      </c>
      <c r="N270" s="13">
        <v>0.55000000000000004</v>
      </c>
      <c r="O270" s="13">
        <f t="shared" si="230"/>
        <v>0.22550000000000001</v>
      </c>
      <c r="P270" s="13">
        <f t="shared" si="235"/>
        <v>0</v>
      </c>
      <c r="Q270" s="14">
        <f t="shared" si="231"/>
        <v>0</v>
      </c>
    </row>
    <row r="271" spans="1:17" ht="15" customHeight="1" x14ac:dyDescent="0.3">
      <c r="A271" s="250">
        <f>VLOOKUP($B271,Reporting!$AM:$BK,MATCH($A$266,Reporting!$AN$4:$BK$4,0)+1,FALSE)</f>
        <v>0</v>
      </c>
      <c r="B271" s="263" t="s">
        <v>373</v>
      </c>
      <c r="C271" s="98">
        <v>0.44</v>
      </c>
      <c r="D271" s="6">
        <v>0.61</v>
      </c>
      <c r="E271" s="7">
        <f t="shared" si="225"/>
        <v>0.26839999999999997</v>
      </c>
      <c r="F271" s="7">
        <f t="shared" si="232"/>
        <v>0</v>
      </c>
      <c r="G271" s="8">
        <f t="shared" si="226"/>
        <v>0</v>
      </c>
      <c r="H271" s="9">
        <f t="shared" si="233"/>
        <v>0.44</v>
      </c>
      <c r="I271" s="10">
        <v>0.61</v>
      </c>
      <c r="J271" s="10">
        <f t="shared" si="227"/>
        <v>0.26839999999999997</v>
      </c>
      <c r="K271" s="10">
        <f t="shared" si="234"/>
        <v>0</v>
      </c>
      <c r="L271" s="11">
        <f t="shared" si="228"/>
        <v>0</v>
      </c>
      <c r="M271" s="12">
        <f t="shared" si="229"/>
        <v>0.44</v>
      </c>
      <c r="N271" s="13">
        <v>0.55000000000000004</v>
      </c>
      <c r="O271" s="13">
        <f t="shared" si="230"/>
        <v>0.24200000000000002</v>
      </c>
      <c r="P271" s="13">
        <f t="shared" si="235"/>
        <v>0</v>
      </c>
      <c r="Q271" s="14">
        <f t="shared" si="231"/>
        <v>0</v>
      </c>
    </row>
    <row r="272" spans="1:17" ht="15" customHeight="1" x14ac:dyDescent="0.3">
      <c r="A272" s="250">
        <f>VLOOKUP($B272,Reporting!$AM:$BK,MATCH($A$266,Reporting!$AN$4:$BK$4,0)+1,FALSE)</f>
        <v>0</v>
      </c>
      <c r="B272" s="263" t="s">
        <v>374</v>
      </c>
      <c r="C272" s="110">
        <v>0.47</v>
      </c>
      <c r="D272" s="6">
        <v>0.61</v>
      </c>
      <c r="E272" s="7">
        <f t="shared" si="225"/>
        <v>0.28669999999999995</v>
      </c>
      <c r="F272" s="7">
        <f t="shared" si="232"/>
        <v>0</v>
      </c>
      <c r="G272" s="8">
        <f t="shared" si="226"/>
        <v>0</v>
      </c>
      <c r="H272" s="9">
        <f t="shared" si="233"/>
        <v>0.47</v>
      </c>
      <c r="I272" s="10">
        <v>0.61</v>
      </c>
      <c r="J272" s="10">
        <f t="shared" si="227"/>
        <v>0.28669999999999995</v>
      </c>
      <c r="K272" s="10">
        <f t="shared" si="234"/>
        <v>0</v>
      </c>
      <c r="L272" s="11">
        <f t="shared" si="228"/>
        <v>0</v>
      </c>
      <c r="M272" s="12">
        <f t="shared" si="229"/>
        <v>0.47</v>
      </c>
      <c r="N272" s="13">
        <v>0.55000000000000004</v>
      </c>
      <c r="O272" s="13">
        <f t="shared" si="230"/>
        <v>0.25850000000000001</v>
      </c>
      <c r="P272" s="13">
        <f t="shared" si="235"/>
        <v>0</v>
      </c>
      <c r="Q272" s="14">
        <f t="shared" si="231"/>
        <v>0</v>
      </c>
    </row>
    <row r="273" spans="1:25" ht="15.75" customHeight="1" x14ac:dyDescent="0.3">
      <c r="A273" s="250">
        <f>VLOOKUP($B273,Reporting!$AM:$BK,MATCH($A$266,Reporting!$AN$4:$BK$4,0)+1,FALSE)</f>
        <v>0</v>
      </c>
      <c r="B273" s="148" t="s">
        <v>390</v>
      </c>
      <c r="C273" s="99">
        <v>0.51</v>
      </c>
      <c r="D273" s="6">
        <v>0.61</v>
      </c>
      <c r="E273" s="7">
        <f t="shared" si="225"/>
        <v>0.31109999999999999</v>
      </c>
      <c r="F273" s="7">
        <f t="shared" si="232"/>
        <v>0</v>
      </c>
      <c r="G273" s="8">
        <f t="shared" si="226"/>
        <v>0</v>
      </c>
      <c r="H273" s="9">
        <f t="shared" si="233"/>
        <v>0.51</v>
      </c>
      <c r="I273" s="10">
        <v>0.61</v>
      </c>
      <c r="J273" s="10">
        <f t="shared" si="227"/>
        <v>0.31109999999999999</v>
      </c>
      <c r="K273" s="10">
        <f t="shared" si="234"/>
        <v>0</v>
      </c>
      <c r="L273" s="11">
        <f t="shared" si="228"/>
        <v>0</v>
      </c>
      <c r="M273" s="12">
        <f t="shared" si="229"/>
        <v>0.51</v>
      </c>
      <c r="N273" s="13">
        <v>0.55000000000000004</v>
      </c>
      <c r="O273" s="13">
        <f t="shared" si="230"/>
        <v>0.28050000000000003</v>
      </c>
      <c r="P273" s="13">
        <f t="shared" si="235"/>
        <v>0</v>
      </c>
      <c r="Q273" s="14">
        <f t="shared" si="231"/>
        <v>0</v>
      </c>
    </row>
    <row r="274" spans="1:25" x14ac:dyDescent="0.3">
      <c r="A274" s="250">
        <f>VLOOKUP($B274,Reporting!$AM:$BK,MATCH($A$266,Reporting!$AN$4:$BK$4,0)+1,FALSE)</f>
        <v>0</v>
      </c>
      <c r="B274" s="268" t="s">
        <v>376</v>
      </c>
      <c r="C274" s="99">
        <v>0.81</v>
      </c>
      <c r="D274" s="6">
        <v>0.61</v>
      </c>
      <c r="E274" s="7">
        <f t="shared" si="225"/>
        <v>0.49410000000000004</v>
      </c>
      <c r="F274" s="7">
        <f t="shared" si="232"/>
        <v>0</v>
      </c>
      <c r="G274" s="8">
        <f t="shared" si="226"/>
        <v>0</v>
      </c>
      <c r="H274" s="9">
        <f t="shared" si="233"/>
        <v>0.81</v>
      </c>
      <c r="I274" s="10">
        <v>0.61</v>
      </c>
      <c r="J274" s="10">
        <f t="shared" si="227"/>
        <v>0.49410000000000004</v>
      </c>
      <c r="K274" s="10">
        <f t="shared" si="234"/>
        <v>0</v>
      </c>
      <c r="L274" s="11">
        <f t="shared" si="228"/>
        <v>0</v>
      </c>
      <c r="M274" s="12">
        <f t="shared" si="229"/>
        <v>0.81</v>
      </c>
      <c r="N274" s="13">
        <v>0.55000000000000004</v>
      </c>
      <c r="O274" s="13">
        <f t="shared" si="230"/>
        <v>0.44550000000000006</v>
      </c>
      <c r="P274" s="13">
        <f t="shared" si="235"/>
        <v>0</v>
      </c>
      <c r="Q274" s="14">
        <f t="shared" si="231"/>
        <v>0</v>
      </c>
    </row>
    <row r="275" spans="1:25" x14ac:dyDescent="0.3">
      <c r="A275" s="250">
        <f>VLOOKUP($B275,Reporting!$AM:$BK,MATCH($A$266,Reporting!$AN$4:$BK$4,0)+1,FALSE)</f>
        <v>0</v>
      </c>
      <c r="B275" s="148" t="s">
        <v>391</v>
      </c>
      <c r="C275" s="99">
        <v>0.98</v>
      </c>
      <c r="D275" s="6">
        <v>0.61</v>
      </c>
      <c r="E275" s="7">
        <f t="shared" si="225"/>
        <v>0.5978</v>
      </c>
      <c r="F275" s="7">
        <f t="shared" si="232"/>
        <v>0</v>
      </c>
      <c r="G275" s="8">
        <f t="shared" si="226"/>
        <v>0</v>
      </c>
      <c r="H275" s="9">
        <f t="shared" si="233"/>
        <v>0.98</v>
      </c>
      <c r="I275" s="10">
        <v>0.61</v>
      </c>
      <c r="J275" s="10">
        <f t="shared" si="227"/>
        <v>0.5978</v>
      </c>
      <c r="K275" s="10">
        <f t="shared" si="234"/>
        <v>0</v>
      </c>
      <c r="L275" s="11">
        <f t="shared" si="228"/>
        <v>0</v>
      </c>
      <c r="M275" s="12">
        <f t="shared" si="229"/>
        <v>0.98</v>
      </c>
      <c r="N275" s="13">
        <v>0.55000000000000004</v>
      </c>
      <c r="O275" s="13">
        <f t="shared" si="230"/>
        <v>0.53900000000000003</v>
      </c>
      <c r="P275" s="13">
        <f t="shared" si="235"/>
        <v>0</v>
      </c>
      <c r="Q275" s="14">
        <f t="shared" si="231"/>
        <v>0</v>
      </c>
    </row>
    <row r="276" spans="1:25" x14ac:dyDescent="0.3">
      <c r="A276" s="250">
        <f>VLOOKUP($B276,Reporting!$AM:$BK,MATCH($A$266,Reporting!$AN$4:$BK$4,0)+1,FALSE)</f>
        <v>0</v>
      </c>
      <c r="B276" s="148" t="s">
        <v>392</v>
      </c>
      <c r="C276" s="99">
        <v>1.29</v>
      </c>
      <c r="D276" s="6">
        <v>0.61</v>
      </c>
      <c r="E276" s="7">
        <f t="shared" si="225"/>
        <v>0.78690000000000004</v>
      </c>
      <c r="F276" s="7">
        <f t="shared" si="232"/>
        <v>0</v>
      </c>
      <c r="G276" s="8">
        <f t="shared" si="226"/>
        <v>0</v>
      </c>
      <c r="H276" s="9">
        <f t="shared" si="233"/>
        <v>1.29</v>
      </c>
      <c r="I276" s="10">
        <v>0.61</v>
      </c>
      <c r="J276" s="10">
        <f t="shared" si="227"/>
        <v>0.78690000000000004</v>
      </c>
      <c r="K276" s="10">
        <f t="shared" si="234"/>
        <v>0</v>
      </c>
      <c r="L276" s="11">
        <f t="shared" si="228"/>
        <v>0</v>
      </c>
      <c r="M276" s="12">
        <f t="shared" si="229"/>
        <v>1.29</v>
      </c>
      <c r="N276" s="13">
        <v>0.55000000000000004</v>
      </c>
      <c r="O276" s="13">
        <f t="shared" si="230"/>
        <v>0.70950000000000013</v>
      </c>
      <c r="P276" s="13">
        <f t="shared" si="235"/>
        <v>0</v>
      </c>
      <c r="Q276" s="14">
        <f t="shared" si="231"/>
        <v>0</v>
      </c>
    </row>
    <row r="277" spans="1:25" x14ac:dyDescent="0.3">
      <c r="A277" s="250">
        <f>VLOOKUP($B277,Reporting!$AM:$BK,MATCH($A$266,Reporting!$AN$4:$BK$4,0)+1,FALSE)</f>
        <v>0</v>
      </c>
      <c r="B277" s="268" t="s">
        <v>394</v>
      </c>
      <c r="C277" s="99"/>
      <c r="D277" s="6"/>
      <c r="E277" s="7"/>
      <c r="F277" s="7"/>
      <c r="G277" s="8"/>
      <c r="H277" s="9"/>
      <c r="I277" s="10"/>
      <c r="J277" s="10"/>
      <c r="K277" s="10"/>
      <c r="L277" s="11"/>
      <c r="M277" s="12"/>
      <c r="N277" s="13"/>
      <c r="O277" s="13"/>
      <c r="P277" s="13"/>
      <c r="Q277" s="14"/>
      <c r="S277" s="598" t="s">
        <v>185</v>
      </c>
      <c r="T277" s="598"/>
      <c r="U277" s="598"/>
      <c r="W277" s="681" t="s">
        <v>185</v>
      </c>
      <c r="X277" s="681"/>
      <c r="Y277" s="681"/>
    </row>
    <row r="278" spans="1:25" ht="15.75" customHeight="1" thickBot="1" x14ac:dyDescent="0.35">
      <c r="A278" s="21">
        <f>SUM(A268:A277)</f>
        <v>0</v>
      </c>
      <c r="B278" s="269"/>
      <c r="C278" s="22"/>
      <c r="D278" s="714" t="s">
        <v>9</v>
      </c>
      <c r="E278" s="715"/>
      <c r="F278" s="715"/>
      <c r="G278" s="16">
        <f>SUM(G268:G277)</f>
        <v>0</v>
      </c>
      <c r="H278" s="1"/>
      <c r="I278" s="716" t="s">
        <v>10</v>
      </c>
      <c r="J278" s="716"/>
      <c r="K278" s="716"/>
      <c r="L278" s="17">
        <f>SUM(L268:L277)</f>
        <v>0</v>
      </c>
      <c r="M278" s="15"/>
      <c r="N278" s="717" t="s">
        <v>11</v>
      </c>
      <c r="O278" s="717"/>
      <c r="P278" s="717"/>
      <c r="Q278" s="18">
        <f>SUM(Q268:Q277)</f>
        <v>0</v>
      </c>
      <c r="S278" s="664">
        <f>Q278+Q291+Q304</f>
        <v>0</v>
      </c>
      <c r="T278" s="665"/>
      <c r="U278" s="665"/>
      <c r="W278" s="682">
        <f>L278+L291+L304</f>
        <v>0</v>
      </c>
      <c r="X278" s="683"/>
      <c r="Y278" s="683"/>
    </row>
    <row r="279" spans="1:25" ht="15.75" customHeight="1" thickBot="1" x14ac:dyDescent="0.35">
      <c r="S279" s="665"/>
      <c r="T279" s="665"/>
      <c r="U279" s="665"/>
      <c r="W279" s="683"/>
      <c r="X279" s="683"/>
      <c r="Y279" s="683"/>
    </row>
    <row r="280" spans="1:25" ht="15" customHeight="1" x14ac:dyDescent="0.3">
      <c r="A280" s="687" t="s">
        <v>187</v>
      </c>
      <c r="B280" s="687"/>
      <c r="C280" s="687"/>
      <c r="D280" s="687"/>
      <c r="E280" s="687"/>
      <c r="F280" s="687"/>
      <c r="G280" s="687"/>
      <c r="H280" s="687"/>
      <c r="I280" s="687"/>
      <c r="J280" s="687"/>
      <c r="K280" s="687"/>
      <c r="L280" s="687"/>
      <c r="M280" s="687"/>
      <c r="N280" s="726" t="s">
        <v>129</v>
      </c>
      <c r="O280" s="726"/>
      <c r="P280" s="726"/>
      <c r="Q280" s="727"/>
    </row>
    <row r="281" spans="1:25" ht="15" customHeight="1" x14ac:dyDescent="0.3">
      <c r="A281" s="688"/>
      <c r="B281" s="688"/>
      <c r="C281" s="688"/>
      <c r="D281" s="688"/>
      <c r="E281" s="688"/>
      <c r="F281" s="688"/>
      <c r="G281" s="688"/>
      <c r="H281" s="688"/>
      <c r="I281" s="688"/>
      <c r="J281" s="688"/>
      <c r="K281" s="688"/>
      <c r="L281" s="688"/>
      <c r="M281" s="688"/>
      <c r="N281" s="728"/>
      <c r="O281" s="728"/>
      <c r="P281" s="728"/>
      <c r="Q281" s="729"/>
    </row>
    <row r="282" spans="1:25" x14ac:dyDescent="0.3">
      <c r="A282" s="250">
        <f>VLOOKUP($B282,Reporting!$AM:$BK,MATCH(LEFT($A$280,FIND("(I",$A$280)-2),Reporting!$AN$4:$BK$4,0)+1,FALSE)</f>
        <v>0</v>
      </c>
      <c r="B282" s="263" t="s">
        <v>371</v>
      </c>
      <c r="C282" s="98">
        <v>0.24</v>
      </c>
      <c r="D282" s="6">
        <v>0.61</v>
      </c>
      <c r="E282" s="7">
        <f t="shared" ref="E282:E290" si="236">C282*D282</f>
        <v>0.1464</v>
      </c>
      <c r="F282" s="7">
        <f>A282*E282</f>
        <v>0</v>
      </c>
      <c r="G282" s="8">
        <f t="shared" ref="G282:G290" si="237">F282/8</f>
        <v>0</v>
      </c>
      <c r="H282" s="9">
        <f>C282</f>
        <v>0.24</v>
      </c>
      <c r="I282" s="10">
        <v>0.61</v>
      </c>
      <c r="J282" s="10">
        <f t="shared" ref="J282:J290" si="238">H282*I282</f>
        <v>0.1464</v>
      </c>
      <c r="K282" s="10">
        <f>A282*J282</f>
        <v>0</v>
      </c>
      <c r="L282" s="11">
        <f t="shared" ref="L282:L290" si="239">K282/8</f>
        <v>0</v>
      </c>
      <c r="M282" s="12">
        <f t="shared" ref="M282:M290" si="240">H282</f>
        <v>0.24</v>
      </c>
      <c r="N282" s="13">
        <v>0.55000000000000004</v>
      </c>
      <c r="O282" s="13">
        <f t="shared" ref="O282:O290" si="241">M282*N282</f>
        <v>0.13200000000000001</v>
      </c>
      <c r="P282" s="13">
        <f>A282*O282</f>
        <v>0</v>
      </c>
      <c r="Q282" s="14">
        <f t="shared" ref="Q282:Q290" si="242">P282/8</f>
        <v>0</v>
      </c>
    </row>
    <row r="283" spans="1:25" x14ac:dyDescent="0.3">
      <c r="A283" s="250">
        <f>VLOOKUP($B283,Reporting!$AM:$BK,MATCH(LEFT($A$280,FIND("(I",$A$280)-2),Reporting!$AN$4:$BK$4,0)+1,FALSE)</f>
        <v>0</v>
      </c>
      <c r="B283" s="263" t="s">
        <v>372</v>
      </c>
      <c r="C283" s="98">
        <v>0.36</v>
      </c>
      <c r="D283" s="6">
        <v>0.61</v>
      </c>
      <c r="E283" s="7">
        <f t="shared" si="236"/>
        <v>0.21959999999999999</v>
      </c>
      <c r="F283" s="7">
        <f t="shared" ref="F283:F290" si="243">A283*E283</f>
        <v>0</v>
      </c>
      <c r="G283" s="8">
        <f t="shared" si="237"/>
        <v>0</v>
      </c>
      <c r="H283" s="9">
        <f t="shared" ref="H283:H290" si="244">C283</f>
        <v>0.36</v>
      </c>
      <c r="I283" s="10">
        <v>0.61</v>
      </c>
      <c r="J283" s="10">
        <f t="shared" si="238"/>
        <v>0.21959999999999999</v>
      </c>
      <c r="K283" s="10">
        <f t="shared" ref="K283:K290" si="245">A283*J283</f>
        <v>0</v>
      </c>
      <c r="L283" s="11">
        <f t="shared" si="239"/>
        <v>0</v>
      </c>
      <c r="M283" s="12">
        <f t="shared" si="240"/>
        <v>0.36</v>
      </c>
      <c r="N283" s="13">
        <v>0.55000000000000004</v>
      </c>
      <c r="O283" s="13">
        <f t="shared" si="241"/>
        <v>0.19800000000000001</v>
      </c>
      <c r="P283" s="13">
        <f t="shared" ref="P283:P290" si="246">A283*O283</f>
        <v>0</v>
      </c>
      <c r="Q283" s="14">
        <f t="shared" si="242"/>
        <v>0</v>
      </c>
    </row>
    <row r="284" spans="1:25" x14ac:dyDescent="0.3">
      <c r="A284" s="250">
        <f>VLOOKUP($B284,Reporting!$AM:$BK,MATCH(LEFT($A$280,FIND("(I",$A$280)-2),Reporting!$AN$4:$BK$4,0)+1,FALSE)</f>
        <v>0</v>
      </c>
      <c r="B284" s="20" t="s">
        <v>389</v>
      </c>
      <c r="C284" s="98">
        <v>0.36</v>
      </c>
      <c r="D284" s="6">
        <v>0.61</v>
      </c>
      <c r="E284" s="7">
        <f t="shared" si="236"/>
        <v>0.21959999999999999</v>
      </c>
      <c r="F284" s="7">
        <f t="shared" si="243"/>
        <v>0</v>
      </c>
      <c r="G284" s="8">
        <f t="shared" si="237"/>
        <v>0</v>
      </c>
      <c r="H284" s="9">
        <f t="shared" si="244"/>
        <v>0.36</v>
      </c>
      <c r="I284" s="10">
        <v>0.61</v>
      </c>
      <c r="J284" s="10">
        <f t="shared" si="238"/>
        <v>0.21959999999999999</v>
      </c>
      <c r="K284" s="10">
        <f t="shared" si="245"/>
        <v>0</v>
      </c>
      <c r="L284" s="11">
        <f t="shared" si="239"/>
        <v>0</v>
      </c>
      <c r="M284" s="12">
        <f t="shared" si="240"/>
        <v>0.36</v>
      </c>
      <c r="N284" s="13">
        <v>0.55000000000000004</v>
      </c>
      <c r="O284" s="13">
        <f t="shared" si="241"/>
        <v>0.19800000000000001</v>
      </c>
      <c r="P284" s="13">
        <f t="shared" si="246"/>
        <v>0</v>
      </c>
      <c r="Q284" s="14">
        <f t="shared" si="242"/>
        <v>0</v>
      </c>
    </row>
    <row r="285" spans="1:25" x14ac:dyDescent="0.3">
      <c r="A285" s="250">
        <f>VLOOKUP($B285,Reporting!$AM:$BK,MATCH(LEFT($A$280,FIND("(I",$A$280)-2),Reporting!$AN$4:$BK$4,0)+1,FALSE)</f>
        <v>0</v>
      </c>
      <c r="B285" s="263" t="s">
        <v>373</v>
      </c>
      <c r="C285" s="98">
        <v>0.36</v>
      </c>
      <c r="D285" s="6">
        <v>0.61</v>
      </c>
      <c r="E285" s="7">
        <f t="shared" si="236"/>
        <v>0.21959999999999999</v>
      </c>
      <c r="F285" s="7">
        <f t="shared" si="243"/>
        <v>0</v>
      </c>
      <c r="G285" s="8">
        <f t="shared" si="237"/>
        <v>0</v>
      </c>
      <c r="H285" s="9">
        <f t="shared" si="244"/>
        <v>0.36</v>
      </c>
      <c r="I285" s="10">
        <v>0.61</v>
      </c>
      <c r="J285" s="10">
        <f t="shared" si="238"/>
        <v>0.21959999999999999</v>
      </c>
      <c r="K285" s="10">
        <f t="shared" si="245"/>
        <v>0</v>
      </c>
      <c r="L285" s="11">
        <f t="shared" si="239"/>
        <v>0</v>
      </c>
      <c r="M285" s="12">
        <f t="shared" si="240"/>
        <v>0.36</v>
      </c>
      <c r="N285" s="13">
        <v>0.55000000000000004</v>
      </c>
      <c r="O285" s="13">
        <f t="shared" si="241"/>
        <v>0.19800000000000001</v>
      </c>
      <c r="P285" s="13">
        <f t="shared" si="246"/>
        <v>0</v>
      </c>
      <c r="Q285" s="14">
        <f t="shared" si="242"/>
        <v>0</v>
      </c>
    </row>
    <row r="286" spans="1:25" x14ac:dyDescent="0.3">
      <c r="A286" s="250">
        <f>VLOOKUP($B286,Reporting!$AM:$BK,MATCH(LEFT($A$280,FIND("(I",$A$280)-2),Reporting!$AN$4:$BK$4,0)+1,FALSE)</f>
        <v>0</v>
      </c>
      <c r="B286" s="263" t="s">
        <v>374</v>
      </c>
      <c r="C286" s="98">
        <v>0.36</v>
      </c>
      <c r="D286" s="6">
        <v>0.61</v>
      </c>
      <c r="E286" s="7">
        <f t="shared" si="236"/>
        <v>0.21959999999999999</v>
      </c>
      <c r="F286" s="7">
        <f t="shared" si="243"/>
        <v>0</v>
      </c>
      <c r="G286" s="8">
        <f t="shared" si="237"/>
        <v>0</v>
      </c>
      <c r="H286" s="9">
        <f t="shared" si="244"/>
        <v>0.36</v>
      </c>
      <c r="I286" s="10">
        <v>0.61</v>
      </c>
      <c r="J286" s="10">
        <f t="shared" si="238"/>
        <v>0.21959999999999999</v>
      </c>
      <c r="K286" s="10">
        <f t="shared" si="245"/>
        <v>0</v>
      </c>
      <c r="L286" s="11">
        <f t="shared" si="239"/>
        <v>0</v>
      </c>
      <c r="M286" s="12">
        <f t="shared" si="240"/>
        <v>0.36</v>
      </c>
      <c r="N286" s="13">
        <v>0.55000000000000004</v>
      </c>
      <c r="O286" s="13">
        <f t="shared" si="241"/>
        <v>0.19800000000000001</v>
      </c>
      <c r="P286" s="13">
        <f t="shared" si="246"/>
        <v>0</v>
      </c>
      <c r="Q286" s="14">
        <f t="shared" si="242"/>
        <v>0</v>
      </c>
    </row>
    <row r="287" spans="1:25" x14ac:dyDescent="0.3">
      <c r="A287" s="250">
        <f>VLOOKUP($B287,Reporting!$AM:$BK,MATCH(LEFT($A$280,FIND("(I",$A$280)-2),Reporting!$AN$4:$BK$4,0)+1,FALSE)</f>
        <v>0</v>
      </c>
      <c r="B287" s="148" t="s">
        <v>390</v>
      </c>
      <c r="C287" s="99">
        <v>0.39</v>
      </c>
      <c r="D287" s="6">
        <v>0.61</v>
      </c>
      <c r="E287" s="7">
        <f t="shared" si="236"/>
        <v>0.2379</v>
      </c>
      <c r="F287" s="7">
        <f t="shared" si="243"/>
        <v>0</v>
      </c>
      <c r="G287" s="8">
        <f t="shared" si="237"/>
        <v>0</v>
      </c>
      <c r="H287" s="9">
        <f t="shared" si="244"/>
        <v>0.39</v>
      </c>
      <c r="I287" s="10">
        <v>0.61</v>
      </c>
      <c r="J287" s="10">
        <f t="shared" si="238"/>
        <v>0.2379</v>
      </c>
      <c r="K287" s="10">
        <f t="shared" si="245"/>
        <v>0</v>
      </c>
      <c r="L287" s="11">
        <f t="shared" si="239"/>
        <v>0</v>
      </c>
      <c r="M287" s="12">
        <f t="shared" si="240"/>
        <v>0.39</v>
      </c>
      <c r="N287" s="13">
        <v>0.55000000000000004</v>
      </c>
      <c r="O287" s="13">
        <f t="shared" si="241"/>
        <v>0.21450000000000002</v>
      </c>
      <c r="P287" s="13">
        <f t="shared" si="246"/>
        <v>0</v>
      </c>
      <c r="Q287" s="14">
        <f t="shared" si="242"/>
        <v>0</v>
      </c>
    </row>
    <row r="288" spans="1:25" x14ac:dyDescent="0.3">
      <c r="A288" s="250">
        <f>VLOOKUP($B288,Reporting!$AM:$BK,MATCH(LEFT($A$280,FIND("(I",$A$280)-2),Reporting!$AN$4:$BK$4,0)+1,FALSE)</f>
        <v>0</v>
      </c>
      <c r="B288" s="268" t="s">
        <v>376</v>
      </c>
      <c r="C288" s="99">
        <v>0.39</v>
      </c>
      <c r="D288" s="6">
        <v>0.61</v>
      </c>
      <c r="E288" s="7">
        <f t="shared" si="236"/>
        <v>0.2379</v>
      </c>
      <c r="F288" s="7">
        <f t="shared" si="243"/>
        <v>0</v>
      </c>
      <c r="G288" s="8">
        <f t="shared" si="237"/>
        <v>0</v>
      </c>
      <c r="H288" s="9">
        <f t="shared" si="244"/>
        <v>0.39</v>
      </c>
      <c r="I288" s="10">
        <v>0.61</v>
      </c>
      <c r="J288" s="10">
        <f t="shared" si="238"/>
        <v>0.2379</v>
      </c>
      <c r="K288" s="10">
        <f t="shared" si="245"/>
        <v>0</v>
      </c>
      <c r="L288" s="11">
        <f t="shared" si="239"/>
        <v>0</v>
      </c>
      <c r="M288" s="12">
        <f t="shared" si="240"/>
        <v>0.39</v>
      </c>
      <c r="N288" s="13">
        <v>0.55000000000000004</v>
      </c>
      <c r="O288" s="13">
        <f t="shared" si="241"/>
        <v>0.21450000000000002</v>
      </c>
      <c r="P288" s="13">
        <f t="shared" si="246"/>
        <v>0</v>
      </c>
      <c r="Q288" s="14">
        <f t="shared" si="242"/>
        <v>0</v>
      </c>
    </row>
    <row r="289" spans="1:17" x14ac:dyDescent="0.3">
      <c r="A289" s="250">
        <f>VLOOKUP($B289,Reporting!$AM:$BK,MATCH(LEFT($A$280,FIND("(I",$A$280)-2),Reporting!$AN$4:$BK$4,0)+1,FALSE)</f>
        <v>0</v>
      </c>
      <c r="B289" s="148" t="s">
        <v>391</v>
      </c>
      <c r="C289" s="99">
        <v>0.38</v>
      </c>
      <c r="D289" s="6">
        <v>0.61</v>
      </c>
      <c r="E289" s="7">
        <f t="shared" si="236"/>
        <v>0.23180000000000001</v>
      </c>
      <c r="F289" s="7">
        <f t="shared" si="243"/>
        <v>0</v>
      </c>
      <c r="G289" s="8">
        <f t="shared" si="237"/>
        <v>0</v>
      </c>
      <c r="H289" s="9">
        <f t="shared" si="244"/>
        <v>0.38</v>
      </c>
      <c r="I289" s="10">
        <v>0.61</v>
      </c>
      <c r="J289" s="10">
        <f t="shared" si="238"/>
        <v>0.23180000000000001</v>
      </c>
      <c r="K289" s="10">
        <f t="shared" si="245"/>
        <v>0</v>
      </c>
      <c r="L289" s="11">
        <f t="shared" si="239"/>
        <v>0</v>
      </c>
      <c r="M289" s="12">
        <f t="shared" si="240"/>
        <v>0.38</v>
      </c>
      <c r="N289" s="13">
        <v>0.55000000000000004</v>
      </c>
      <c r="O289" s="13">
        <f t="shared" si="241"/>
        <v>0.20900000000000002</v>
      </c>
      <c r="P289" s="13">
        <f t="shared" si="246"/>
        <v>0</v>
      </c>
      <c r="Q289" s="14">
        <f t="shared" si="242"/>
        <v>0</v>
      </c>
    </row>
    <row r="290" spans="1:17" x14ac:dyDescent="0.3">
      <c r="A290" s="250">
        <f>VLOOKUP($B290,Reporting!$AM:$BK,MATCH(LEFT($A$280,FIND("(I",$A$280)-2),Reporting!$AN$4:$BK$4,0)+1,FALSE)</f>
        <v>0</v>
      </c>
      <c r="B290" s="148" t="s">
        <v>392</v>
      </c>
      <c r="C290" s="99">
        <v>0.78</v>
      </c>
      <c r="D290" s="6">
        <v>0.61</v>
      </c>
      <c r="E290" s="7">
        <f t="shared" si="236"/>
        <v>0.4758</v>
      </c>
      <c r="F290" s="7">
        <f t="shared" si="243"/>
        <v>0</v>
      </c>
      <c r="G290" s="8">
        <f t="shared" si="237"/>
        <v>0</v>
      </c>
      <c r="H290" s="9">
        <f t="shared" si="244"/>
        <v>0.78</v>
      </c>
      <c r="I290" s="10">
        <v>0.61</v>
      </c>
      <c r="J290" s="10">
        <f t="shared" si="238"/>
        <v>0.4758</v>
      </c>
      <c r="K290" s="10">
        <f t="shared" si="245"/>
        <v>0</v>
      </c>
      <c r="L290" s="11">
        <f t="shared" si="239"/>
        <v>0</v>
      </c>
      <c r="M290" s="12">
        <f t="shared" si="240"/>
        <v>0.78</v>
      </c>
      <c r="N290" s="13">
        <v>0.55000000000000004</v>
      </c>
      <c r="O290" s="13">
        <f t="shared" si="241"/>
        <v>0.42900000000000005</v>
      </c>
      <c r="P290" s="13">
        <f t="shared" si="246"/>
        <v>0</v>
      </c>
      <c r="Q290" s="14">
        <f t="shared" si="242"/>
        <v>0</v>
      </c>
    </row>
    <row r="291" spans="1:17" ht="15" thickBot="1" x14ac:dyDescent="0.35">
      <c r="A291" s="21">
        <f>SUM(A282:A290)</f>
        <v>0</v>
      </c>
      <c r="B291" s="269"/>
      <c r="C291" s="22"/>
      <c r="D291" s="644" t="s">
        <v>9</v>
      </c>
      <c r="E291" s="645"/>
      <c r="F291" s="645"/>
      <c r="G291" s="16">
        <f>SUM(G282:G290)</f>
        <v>0</v>
      </c>
      <c r="H291" s="1"/>
      <c r="I291" s="646" t="s">
        <v>10</v>
      </c>
      <c r="J291" s="646"/>
      <c r="K291" s="646"/>
      <c r="L291" s="17">
        <f>SUM(L282:L290)</f>
        <v>0</v>
      </c>
      <c r="M291" s="15"/>
      <c r="N291" s="647" t="s">
        <v>11</v>
      </c>
      <c r="O291" s="647"/>
      <c r="P291" s="647"/>
      <c r="Q291" s="18">
        <f>SUM(Q282:Q290)</f>
        <v>0</v>
      </c>
    </row>
    <row r="292" spans="1:17" ht="15" thickBot="1" x14ac:dyDescent="0.35">
      <c r="D292" s="131"/>
      <c r="E292" s="131"/>
      <c r="F292" s="131"/>
      <c r="G292" s="132"/>
      <c r="I292" s="131"/>
      <c r="J292" s="131"/>
      <c r="K292" s="131"/>
      <c r="L292" s="132"/>
      <c r="N292" s="131"/>
      <c r="O292" s="131"/>
      <c r="P292" s="131"/>
      <c r="Q292" s="132"/>
    </row>
    <row r="293" spans="1:17" ht="15" customHeight="1" x14ac:dyDescent="0.3">
      <c r="A293" s="687" t="s">
        <v>188</v>
      </c>
      <c r="B293" s="687"/>
      <c r="C293" s="687"/>
      <c r="D293" s="687"/>
      <c r="E293" s="687"/>
      <c r="F293" s="687"/>
      <c r="G293" s="687"/>
      <c r="H293" s="135"/>
      <c r="I293" s="135"/>
      <c r="J293" s="726" t="s">
        <v>130</v>
      </c>
      <c r="K293" s="726"/>
      <c r="L293" s="726"/>
      <c r="M293" s="726"/>
      <c r="N293" s="23"/>
      <c r="O293" s="23"/>
      <c r="P293" s="23"/>
      <c r="Q293" s="24"/>
    </row>
    <row r="294" spans="1:17" ht="15" customHeight="1" x14ac:dyDescent="0.3">
      <c r="A294" s="688"/>
      <c r="B294" s="688"/>
      <c r="C294" s="688"/>
      <c r="D294" s="688"/>
      <c r="E294" s="688"/>
      <c r="F294" s="688"/>
      <c r="G294" s="688"/>
      <c r="H294" s="136"/>
      <c r="I294" s="136"/>
      <c r="J294" s="728"/>
      <c r="K294" s="728"/>
      <c r="L294" s="728"/>
      <c r="M294" s="728"/>
      <c r="N294" s="42"/>
      <c r="O294" s="42"/>
      <c r="P294" s="42"/>
      <c r="Q294" s="43"/>
    </row>
    <row r="295" spans="1:17" x14ac:dyDescent="0.3">
      <c r="A295" s="250">
        <f>VLOOKUP($B295,Reporting!$AM:$BK,MATCH($A$293,Reporting!$AN$4:$BK$4,0)+1,FALSE)</f>
        <v>0</v>
      </c>
      <c r="B295" s="263" t="s">
        <v>371</v>
      </c>
      <c r="C295" s="110">
        <v>0.2</v>
      </c>
      <c r="D295" s="6">
        <v>0.61</v>
      </c>
      <c r="E295" s="7">
        <f t="shared" ref="E295:E303" si="247">C295*D295</f>
        <v>0.122</v>
      </c>
      <c r="F295" s="7">
        <f>A295*E295</f>
        <v>0</v>
      </c>
      <c r="G295" s="8">
        <f t="shared" ref="G295:G303" si="248">F295/8</f>
        <v>0</v>
      </c>
      <c r="H295" s="9">
        <f>C295</f>
        <v>0.2</v>
      </c>
      <c r="I295" s="10">
        <v>0.61</v>
      </c>
      <c r="J295" s="10">
        <f t="shared" ref="J295:J303" si="249">H295*I295</f>
        <v>0.122</v>
      </c>
      <c r="K295" s="10">
        <f>A295*J295</f>
        <v>0</v>
      </c>
      <c r="L295" s="11">
        <f t="shared" ref="L295:L303" si="250">K295/8</f>
        <v>0</v>
      </c>
      <c r="M295" s="12">
        <f t="shared" ref="M295:M303" si="251">H295</f>
        <v>0.2</v>
      </c>
      <c r="N295" s="13">
        <v>0.55000000000000004</v>
      </c>
      <c r="O295" s="13">
        <f t="shared" ref="O295:O303" si="252">M295*N295</f>
        <v>0.11000000000000001</v>
      </c>
      <c r="P295" s="13">
        <f>A295*O295</f>
        <v>0</v>
      </c>
      <c r="Q295" s="14">
        <f t="shared" ref="Q295:Q303" si="253">P295/8</f>
        <v>0</v>
      </c>
    </row>
    <row r="296" spans="1:17" x14ac:dyDescent="0.3">
      <c r="A296" s="250">
        <f>VLOOKUP($B296,Reporting!$AM:$BK,MATCH($A$293,Reporting!$AN$4:$BK$4,0)+1,FALSE)</f>
        <v>0</v>
      </c>
      <c r="B296" s="263" t="s">
        <v>372</v>
      </c>
      <c r="C296" s="110">
        <v>0.28000000000000003</v>
      </c>
      <c r="D296" s="6">
        <v>0.61</v>
      </c>
      <c r="E296" s="7">
        <f t="shared" si="247"/>
        <v>0.17080000000000001</v>
      </c>
      <c r="F296" s="7">
        <f t="shared" ref="F296:F303" si="254">A296*E296</f>
        <v>0</v>
      </c>
      <c r="G296" s="8">
        <f t="shared" si="248"/>
        <v>0</v>
      </c>
      <c r="H296" s="9">
        <f t="shared" ref="H296:H303" si="255">C296</f>
        <v>0.28000000000000003</v>
      </c>
      <c r="I296" s="10">
        <v>0.61</v>
      </c>
      <c r="J296" s="10">
        <f t="shared" si="249"/>
        <v>0.17080000000000001</v>
      </c>
      <c r="K296" s="10">
        <f t="shared" ref="K296:K303" si="256">A296*J296</f>
        <v>0</v>
      </c>
      <c r="L296" s="11">
        <f t="shared" si="250"/>
        <v>0</v>
      </c>
      <c r="M296" s="12">
        <f t="shared" si="251"/>
        <v>0.28000000000000003</v>
      </c>
      <c r="N296" s="13">
        <v>0.55000000000000004</v>
      </c>
      <c r="O296" s="13">
        <f t="shared" si="252"/>
        <v>0.15400000000000003</v>
      </c>
      <c r="P296" s="13">
        <f t="shared" ref="P296:P303" si="257">A296*O296</f>
        <v>0</v>
      </c>
      <c r="Q296" s="14">
        <f t="shared" si="253"/>
        <v>0</v>
      </c>
    </row>
    <row r="297" spans="1:17" x14ac:dyDescent="0.3">
      <c r="A297" s="250">
        <f>VLOOKUP($B297,Reporting!$AM:$BK,MATCH($A$293,Reporting!$AN$4:$BK$4,0)+1,FALSE)</f>
        <v>0</v>
      </c>
      <c r="B297" s="20" t="s">
        <v>389</v>
      </c>
      <c r="C297" s="110">
        <v>0.34</v>
      </c>
      <c r="D297" s="6">
        <v>0.61</v>
      </c>
      <c r="E297" s="7">
        <f t="shared" si="247"/>
        <v>0.2074</v>
      </c>
      <c r="F297" s="7">
        <f t="shared" si="254"/>
        <v>0</v>
      </c>
      <c r="G297" s="8">
        <f t="shared" si="248"/>
        <v>0</v>
      </c>
      <c r="H297" s="9">
        <f t="shared" si="255"/>
        <v>0.34</v>
      </c>
      <c r="I297" s="10">
        <v>0.61</v>
      </c>
      <c r="J297" s="10">
        <f t="shared" si="249"/>
        <v>0.2074</v>
      </c>
      <c r="K297" s="10">
        <f t="shared" si="256"/>
        <v>0</v>
      </c>
      <c r="L297" s="11">
        <f t="shared" si="250"/>
        <v>0</v>
      </c>
      <c r="M297" s="12">
        <f t="shared" si="251"/>
        <v>0.34</v>
      </c>
      <c r="N297" s="13">
        <v>0.55000000000000004</v>
      </c>
      <c r="O297" s="13">
        <f t="shared" si="252"/>
        <v>0.18700000000000003</v>
      </c>
      <c r="P297" s="13">
        <f t="shared" si="257"/>
        <v>0</v>
      </c>
      <c r="Q297" s="14">
        <f t="shared" si="253"/>
        <v>0</v>
      </c>
    </row>
    <row r="298" spans="1:17" x14ac:dyDescent="0.3">
      <c r="A298" s="250">
        <f>VLOOKUP($B298,Reporting!$AM:$BK,MATCH($A$293,Reporting!$AN$4:$BK$4,0)+1,FALSE)</f>
        <v>0</v>
      </c>
      <c r="B298" s="263" t="s">
        <v>373</v>
      </c>
      <c r="C298" s="110">
        <v>0.4</v>
      </c>
      <c r="D298" s="6">
        <v>0.61</v>
      </c>
      <c r="E298" s="7">
        <f t="shared" si="247"/>
        <v>0.24399999999999999</v>
      </c>
      <c r="F298" s="7">
        <f t="shared" si="254"/>
        <v>0</v>
      </c>
      <c r="G298" s="8">
        <f t="shared" si="248"/>
        <v>0</v>
      </c>
      <c r="H298" s="9">
        <f t="shared" si="255"/>
        <v>0.4</v>
      </c>
      <c r="I298" s="10">
        <v>0.61</v>
      </c>
      <c r="J298" s="10">
        <f t="shared" si="249"/>
        <v>0.24399999999999999</v>
      </c>
      <c r="K298" s="10">
        <f t="shared" si="256"/>
        <v>0</v>
      </c>
      <c r="L298" s="11">
        <f t="shared" si="250"/>
        <v>0</v>
      </c>
      <c r="M298" s="12">
        <f t="shared" si="251"/>
        <v>0.4</v>
      </c>
      <c r="N298" s="13">
        <v>0.55000000000000004</v>
      </c>
      <c r="O298" s="13">
        <f t="shared" si="252"/>
        <v>0.22000000000000003</v>
      </c>
      <c r="P298" s="13">
        <f t="shared" si="257"/>
        <v>0</v>
      </c>
      <c r="Q298" s="14">
        <f t="shared" si="253"/>
        <v>0</v>
      </c>
    </row>
    <row r="299" spans="1:17" x14ac:dyDescent="0.3">
      <c r="A299" s="250">
        <f>VLOOKUP($B299,Reporting!$AM:$BK,MATCH($A$293,Reporting!$AN$4:$BK$4,0)+1,FALSE)</f>
        <v>0</v>
      </c>
      <c r="B299" s="263" t="s">
        <v>374</v>
      </c>
      <c r="C299" s="110">
        <v>0.44</v>
      </c>
      <c r="D299" s="6">
        <v>0.61</v>
      </c>
      <c r="E299" s="7">
        <f t="shared" si="247"/>
        <v>0.26839999999999997</v>
      </c>
      <c r="F299" s="7">
        <f t="shared" si="254"/>
        <v>0</v>
      </c>
      <c r="G299" s="8">
        <f t="shared" si="248"/>
        <v>0</v>
      </c>
      <c r="H299" s="9">
        <f t="shared" si="255"/>
        <v>0.44</v>
      </c>
      <c r="I299" s="10">
        <v>0.61</v>
      </c>
      <c r="J299" s="10">
        <f t="shared" si="249"/>
        <v>0.26839999999999997</v>
      </c>
      <c r="K299" s="10">
        <f t="shared" si="256"/>
        <v>0</v>
      </c>
      <c r="L299" s="11">
        <f t="shared" si="250"/>
        <v>0</v>
      </c>
      <c r="M299" s="12">
        <f t="shared" si="251"/>
        <v>0.44</v>
      </c>
      <c r="N299" s="13">
        <v>0.55000000000000004</v>
      </c>
      <c r="O299" s="13">
        <f t="shared" si="252"/>
        <v>0.24200000000000002</v>
      </c>
      <c r="P299" s="13">
        <f t="shared" si="257"/>
        <v>0</v>
      </c>
      <c r="Q299" s="14">
        <f t="shared" si="253"/>
        <v>0</v>
      </c>
    </row>
    <row r="300" spans="1:17" x14ac:dyDescent="0.3">
      <c r="A300" s="250">
        <f>VLOOKUP($B300,Reporting!$AM:$BK,MATCH($A$293,Reporting!$AN$4:$BK$4,0)+1,FALSE)</f>
        <v>0</v>
      </c>
      <c r="B300" s="148" t="s">
        <v>390</v>
      </c>
      <c r="C300" s="99">
        <v>0.53</v>
      </c>
      <c r="D300" s="6">
        <v>0.61</v>
      </c>
      <c r="E300" s="7">
        <f t="shared" si="247"/>
        <v>0.32330000000000003</v>
      </c>
      <c r="F300" s="7">
        <f t="shared" si="254"/>
        <v>0</v>
      </c>
      <c r="G300" s="8">
        <f t="shared" si="248"/>
        <v>0</v>
      </c>
      <c r="H300" s="9">
        <f t="shared" si="255"/>
        <v>0.53</v>
      </c>
      <c r="I300" s="10">
        <v>0.61</v>
      </c>
      <c r="J300" s="10">
        <f t="shared" si="249"/>
        <v>0.32330000000000003</v>
      </c>
      <c r="K300" s="10">
        <f t="shared" si="256"/>
        <v>0</v>
      </c>
      <c r="L300" s="11">
        <f t="shared" si="250"/>
        <v>0</v>
      </c>
      <c r="M300" s="12">
        <f t="shared" si="251"/>
        <v>0.53</v>
      </c>
      <c r="N300" s="13">
        <v>0.55000000000000004</v>
      </c>
      <c r="O300" s="13">
        <f t="shared" si="252"/>
        <v>0.29150000000000004</v>
      </c>
      <c r="P300" s="13">
        <f t="shared" si="257"/>
        <v>0</v>
      </c>
      <c r="Q300" s="14">
        <f t="shared" si="253"/>
        <v>0</v>
      </c>
    </row>
    <row r="301" spans="1:17" x14ac:dyDescent="0.3">
      <c r="A301" s="250">
        <f>VLOOKUP($B301,Reporting!$AM:$BK,MATCH($A$293,Reporting!$AN$4:$BK$4,0)+1,FALSE)</f>
        <v>0</v>
      </c>
      <c r="B301" s="268" t="s">
        <v>376</v>
      </c>
      <c r="C301" s="99">
        <v>0.89</v>
      </c>
      <c r="D301" s="6">
        <v>0.61</v>
      </c>
      <c r="E301" s="7">
        <f t="shared" si="247"/>
        <v>0.54290000000000005</v>
      </c>
      <c r="F301" s="7">
        <f t="shared" si="254"/>
        <v>0</v>
      </c>
      <c r="G301" s="8">
        <f t="shared" si="248"/>
        <v>0</v>
      </c>
      <c r="H301" s="9">
        <f t="shared" si="255"/>
        <v>0.89</v>
      </c>
      <c r="I301" s="10">
        <v>0.61</v>
      </c>
      <c r="J301" s="10">
        <f t="shared" si="249"/>
        <v>0.54290000000000005</v>
      </c>
      <c r="K301" s="10">
        <f t="shared" si="256"/>
        <v>0</v>
      </c>
      <c r="L301" s="11">
        <f t="shared" si="250"/>
        <v>0</v>
      </c>
      <c r="M301" s="12">
        <f t="shared" si="251"/>
        <v>0.89</v>
      </c>
      <c r="N301" s="13">
        <v>0.55000000000000004</v>
      </c>
      <c r="O301" s="13">
        <f t="shared" si="252"/>
        <v>0.48950000000000005</v>
      </c>
      <c r="P301" s="13">
        <f t="shared" si="257"/>
        <v>0</v>
      </c>
      <c r="Q301" s="14">
        <f t="shared" si="253"/>
        <v>0</v>
      </c>
    </row>
    <row r="302" spans="1:17" x14ac:dyDescent="0.3">
      <c r="A302" s="250">
        <f>VLOOKUP($B302,Reporting!$AM:$BK,MATCH($A$293,Reporting!$AN$4:$BK$4,0)+1,FALSE)</f>
        <v>0</v>
      </c>
      <c r="B302" s="148" t="s">
        <v>391</v>
      </c>
      <c r="C302" s="99">
        <v>1.06</v>
      </c>
      <c r="D302" s="6">
        <v>0.61</v>
      </c>
      <c r="E302" s="7">
        <f t="shared" si="247"/>
        <v>0.64660000000000006</v>
      </c>
      <c r="F302" s="7">
        <f t="shared" si="254"/>
        <v>0</v>
      </c>
      <c r="G302" s="8">
        <f t="shared" si="248"/>
        <v>0</v>
      </c>
      <c r="H302" s="9">
        <f t="shared" si="255"/>
        <v>1.06</v>
      </c>
      <c r="I302" s="10">
        <v>0.61</v>
      </c>
      <c r="J302" s="10">
        <f t="shared" si="249"/>
        <v>0.64660000000000006</v>
      </c>
      <c r="K302" s="10">
        <f t="shared" si="256"/>
        <v>0</v>
      </c>
      <c r="L302" s="11">
        <f t="shared" si="250"/>
        <v>0</v>
      </c>
      <c r="M302" s="12">
        <f t="shared" si="251"/>
        <v>1.06</v>
      </c>
      <c r="N302" s="13">
        <v>0.55000000000000004</v>
      </c>
      <c r="O302" s="13">
        <f t="shared" si="252"/>
        <v>0.58300000000000007</v>
      </c>
      <c r="P302" s="13">
        <f t="shared" si="257"/>
        <v>0</v>
      </c>
      <c r="Q302" s="14">
        <f t="shared" si="253"/>
        <v>0</v>
      </c>
    </row>
    <row r="303" spans="1:17" x14ac:dyDescent="0.3">
      <c r="A303" s="250">
        <f>VLOOKUP($B303,Reporting!$AM:$BK,MATCH($A$293,Reporting!$AN$4:$BK$4,0)+1,FALSE)</f>
        <v>0</v>
      </c>
      <c r="B303" s="148" t="s">
        <v>392</v>
      </c>
      <c r="C303" s="99">
        <v>1.42</v>
      </c>
      <c r="D303" s="6">
        <v>0.61</v>
      </c>
      <c r="E303" s="7">
        <f t="shared" si="247"/>
        <v>0.86619999999999997</v>
      </c>
      <c r="F303" s="7">
        <f t="shared" si="254"/>
        <v>0</v>
      </c>
      <c r="G303" s="8">
        <f t="shared" si="248"/>
        <v>0</v>
      </c>
      <c r="H303" s="9">
        <f t="shared" si="255"/>
        <v>1.42</v>
      </c>
      <c r="I303" s="10">
        <v>0.61</v>
      </c>
      <c r="J303" s="10">
        <f t="shared" si="249"/>
        <v>0.86619999999999997</v>
      </c>
      <c r="K303" s="10">
        <f t="shared" si="256"/>
        <v>0</v>
      </c>
      <c r="L303" s="11">
        <f t="shared" si="250"/>
        <v>0</v>
      </c>
      <c r="M303" s="12">
        <f t="shared" si="251"/>
        <v>1.42</v>
      </c>
      <c r="N303" s="13">
        <v>0.55000000000000004</v>
      </c>
      <c r="O303" s="13">
        <f t="shared" si="252"/>
        <v>0.78100000000000003</v>
      </c>
      <c r="P303" s="13">
        <f t="shared" si="257"/>
        <v>0</v>
      </c>
      <c r="Q303" s="14">
        <f t="shared" si="253"/>
        <v>0</v>
      </c>
    </row>
    <row r="304" spans="1:17" ht="15" thickBot="1" x14ac:dyDescent="0.35">
      <c r="A304" s="21">
        <f>SUM(A295:A303)</f>
        <v>0</v>
      </c>
      <c r="B304" s="269"/>
      <c r="C304" s="22"/>
      <c r="D304" s="644" t="s">
        <v>9</v>
      </c>
      <c r="E304" s="645"/>
      <c r="F304" s="645"/>
      <c r="G304" s="16">
        <f>SUM(G295:G303)</f>
        <v>0</v>
      </c>
      <c r="H304" s="1"/>
      <c r="I304" s="646" t="s">
        <v>10</v>
      </c>
      <c r="J304" s="646"/>
      <c r="K304" s="646"/>
      <c r="L304" s="17">
        <f>SUM(L295:L303)</f>
        <v>0</v>
      </c>
      <c r="M304" s="15"/>
      <c r="N304" s="647" t="s">
        <v>11</v>
      </c>
      <c r="O304" s="647"/>
      <c r="P304" s="647"/>
      <c r="Q304" s="18">
        <f>SUM(Q295:Q303)</f>
        <v>0</v>
      </c>
    </row>
    <row r="305" spans="1:25" ht="15" thickBot="1" x14ac:dyDescent="0.35"/>
    <row r="306" spans="1:25" ht="15" customHeight="1" x14ac:dyDescent="0.3">
      <c r="A306" s="642" t="s">
        <v>29</v>
      </c>
      <c r="B306" s="642"/>
      <c r="C306" s="642"/>
      <c r="D306" s="710" t="s">
        <v>101</v>
      </c>
      <c r="E306" s="710"/>
      <c r="F306" s="710"/>
      <c r="G306" s="710"/>
      <c r="H306" s="25"/>
      <c r="I306" s="25"/>
      <c r="J306" s="25"/>
      <c r="K306" s="25"/>
      <c r="L306" s="25"/>
      <c r="M306" s="25"/>
      <c r="N306" s="25"/>
      <c r="O306" s="25"/>
      <c r="P306" s="25"/>
      <c r="Q306" s="26"/>
    </row>
    <row r="307" spans="1:25" ht="15" customHeight="1" x14ac:dyDescent="0.3">
      <c r="A307" s="643"/>
      <c r="B307" s="643"/>
      <c r="C307" s="643"/>
      <c r="D307" s="711"/>
      <c r="E307" s="711"/>
      <c r="F307" s="711"/>
      <c r="G307" s="711"/>
      <c r="H307" s="54"/>
      <c r="I307" s="54"/>
      <c r="J307" s="54"/>
      <c r="K307" s="54"/>
      <c r="L307" s="54"/>
      <c r="M307" s="54"/>
      <c r="N307" s="54"/>
      <c r="O307" s="54"/>
      <c r="P307" s="54"/>
      <c r="Q307" s="55"/>
    </row>
    <row r="308" spans="1:25" ht="15" customHeight="1" x14ac:dyDescent="0.3">
      <c r="A308" s="250">
        <f>VLOOKUP($B308,Reporting!$AM:$BK,MATCH($A$306,Reporting!$AN$4:$BK$4,0)+1,FALSE)</f>
        <v>0</v>
      </c>
      <c r="B308" s="264" t="s">
        <v>374</v>
      </c>
      <c r="C308" s="100">
        <f>0.29/2</f>
        <v>0.14499999999999999</v>
      </c>
      <c r="D308" s="6">
        <v>0.61</v>
      </c>
      <c r="E308" s="7">
        <f t="shared" ref="E308:E317" si="258">C308*D308</f>
        <v>8.8449999999999987E-2</v>
      </c>
      <c r="F308" s="7">
        <f>A308*E308</f>
        <v>0</v>
      </c>
      <c r="G308" s="8">
        <f t="shared" ref="G308:G317" si="259">F308/8</f>
        <v>0</v>
      </c>
      <c r="H308" s="9">
        <f>C308</f>
        <v>0.14499999999999999</v>
      </c>
      <c r="I308" s="10">
        <v>0.61</v>
      </c>
      <c r="J308" s="10">
        <f t="shared" ref="J308:J317" si="260">H308*I308</f>
        <v>8.8449999999999987E-2</v>
      </c>
      <c r="K308" s="10">
        <f>A308*J308</f>
        <v>0</v>
      </c>
      <c r="L308" s="11">
        <f t="shared" ref="L308:L317" si="261">K308/8</f>
        <v>0</v>
      </c>
      <c r="M308" s="12">
        <f t="shared" ref="M308:M317" si="262">H308</f>
        <v>0.14499999999999999</v>
      </c>
      <c r="N308" s="13">
        <v>0.55000000000000004</v>
      </c>
      <c r="O308" s="13">
        <f t="shared" ref="O308:O317" si="263">M308*N308</f>
        <v>7.9750000000000001E-2</v>
      </c>
      <c r="P308" s="13">
        <f>A308*O308</f>
        <v>0</v>
      </c>
      <c r="Q308" s="14">
        <f t="shared" ref="Q308:Q317" si="264">P308/8</f>
        <v>0</v>
      </c>
    </row>
    <row r="309" spans="1:25" ht="15" customHeight="1" x14ac:dyDescent="0.3">
      <c r="A309" s="250">
        <f>VLOOKUP($B309,Reporting!$AM:$BK,MATCH($A$306,Reporting!$AN$4:$BK$4,0)+1,FALSE)</f>
        <v>0</v>
      </c>
      <c r="B309" s="264" t="s">
        <v>390</v>
      </c>
      <c r="C309" s="100">
        <f>0.38/2</f>
        <v>0.19</v>
      </c>
      <c r="D309" s="6">
        <v>0.61</v>
      </c>
      <c r="E309" s="7">
        <f t="shared" si="258"/>
        <v>0.1159</v>
      </c>
      <c r="F309" s="7">
        <f t="shared" ref="F309:F317" si="265">A309*E309</f>
        <v>0</v>
      </c>
      <c r="G309" s="8">
        <f t="shared" si="259"/>
        <v>0</v>
      </c>
      <c r="H309" s="9">
        <f t="shared" ref="H309:H317" si="266">C309</f>
        <v>0.19</v>
      </c>
      <c r="I309" s="10">
        <v>0.61</v>
      </c>
      <c r="J309" s="10">
        <f t="shared" si="260"/>
        <v>0.1159</v>
      </c>
      <c r="K309" s="10">
        <f t="shared" ref="K309:K317" si="267">A309*J309</f>
        <v>0</v>
      </c>
      <c r="L309" s="11">
        <f t="shared" si="261"/>
        <v>0</v>
      </c>
      <c r="M309" s="12">
        <f t="shared" si="262"/>
        <v>0.19</v>
      </c>
      <c r="N309" s="13">
        <v>0.55000000000000004</v>
      </c>
      <c r="O309" s="13">
        <f t="shared" si="263"/>
        <v>0.10450000000000001</v>
      </c>
      <c r="P309" s="13">
        <f t="shared" ref="P309:P317" si="268">A309*O309</f>
        <v>0</v>
      </c>
      <c r="Q309" s="14">
        <f t="shared" si="264"/>
        <v>0</v>
      </c>
    </row>
    <row r="310" spans="1:25" ht="15" customHeight="1" x14ac:dyDescent="0.3">
      <c r="A310" s="250">
        <f>VLOOKUP($B310,Reporting!$AM:$BK,MATCH($A$306,Reporting!$AN$4:$BK$4,0)+1,FALSE)</f>
        <v>0</v>
      </c>
      <c r="B310" s="264" t="s">
        <v>391</v>
      </c>
      <c r="C310" s="100">
        <f>0.56/2</f>
        <v>0.28000000000000003</v>
      </c>
      <c r="D310" s="6">
        <v>0.61</v>
      </c>
      <c r="E310" s="7">
        <f t="shared" si="258"/>
        <v>0.17080000000000001</v>
      </c>
      <c r="F310" s="7">
        <f t="shared" si="265"/>
        <v>0</v>
      </c>
      <c r="G310" s="8">
        <f t="shared" si="259"/>
        <v>0</v>
      </c>
      <c r="H310" s="9">
        <f t="shared" si="266"/>
        <v>0.28000000000000003</v>
      </c>
      <c r="I310" s="10">
        <v>0.61</v>
      </c>
      <c r="J310" s="10">
        <f t="shared" si="260"/>
        <v>0.17080000000000001</v>
      </c>
      <c r="K310" s="10">
        <f t="shared" si="267"/>
        <v>0</v>
      </c>
      <c r="L310" s="11">
        <f t="shared" si="261"/>
        <v>0</v>
      </c>
      <c r="M310" s="12">
        <f t="shared" si="262"/>
        <v>0.28000000000000003</v>
      </c>
      <c r="N310" s="13">
        <v>0.55000000000000004</v>
      </c>
      <c r="O310" s="13">
        <f t="shared" si="263"/>
        <v>0.15400000000000003</v>
      </c>
      <c r="P310" s="13">
        <f t="shared" si="268"/>
        <v>0</v>
      </c>
      <c r="Q310" s="14">
        <f t="shared" si="264"/>
        <v>0</v>
      </c>
    </row>
    <row r="311" spans="1:25" ht="15" customHeight="1" x14ac:dyDescent="0.3">
      <c r="A311" s="250">
        <f>VLOOKUP($B311,Reporting!$AM:$BK,MATCH($A$306,Reporting!$AN$4:$BK$4,0)+1,FALSE)</f>
        <v>0</v>
      </c>
      <c r="B311" s="264" t="s">
        <v>392</v>
      </c>
      <c r="C311" s="100">
        <f>0.73/2</f>
        <v>0.36499999999999999</v>
      </c>
      <c r="D311" s="6">
        <v>0.61</v>
      </c>
      <c r="E311" s="7">
        <f t="shared" si="258"/>
        <v>0.22264999999999999</v>
      </c>
      <c r="F311" s="7">
        <f t="shared" si="265"/>
        <v>0</v>
      </c>
      <c r="G311" s="8">
        <f t="shared" si="259"/>
        <v>0</v>
      </c>
      <c r="H311" s="9">
        <f t="shared" si="266"/>
        <v>0.36499999999999999</v>
      </c>
      <c r="I311" s="10">
        <v>0.61</v>
      </c>
      <c r="J311" s="10">
        <f t="shared" si="260"/>
        <v>0.22264999999999999</v>
      </c>
      <c r="K311" s="10">
        <f t="shared" si="267"/>
        <v>0</v>
      </c>
      <c r="L311" s="11">
        <f t="shared" si="261"/>
        <v>0</v>
      </c>
      <c r="M311" s="12">
        <f t="shared" si="262"/>
        <v>0.36499999999999999</v>
      </c>
      <c r="N311" s="13">
        <v>0.55000000000000004</v>
      </c>
      <c r="O311" s="13">
        <f t="shared" si="263"/>
        <v>0.20075000000000001</v>
      </c>
      <c r="P311" s="13">
        <f t="shared" si="268"/>
        <v>0</v>
      </c>
      <c r="Q311" s="14">
        <f t="shared" si="264"/>
        <v>0</v>
      </c>
    </row>
    <row r="312" spans="1:25" ht="15.75" customHeight="1" x14ac:dyDescent="0.3">
      <c r="A312" s="250">
        <f>VLOOKUP($B312,Reporting!$AM:$BK,MATCH($A$306,Reporting!$AN$4:$BK$4,0)+1,FALSE)</f>
        <v>0</v>
      </c>
      <c r="B312" s="445" t="s">
        <v>393</v>
      </c>
      <c r="C312" s="101">
        <f>0.91/2</f>
        <v>0.45500000000000002</v>
      </c>
      <c r="D312" s="6">
        <v>0.61</v>
      </c>
      <c r="E312" s="7">
        <f t="shared" si="258"/>
        <v>0.27755000000000002</v>
      </c>
      <c r="F312" s="7">
        <f t="shared" si="265"/>
        <v>0</v>
      </c>
      <c r="G312" s="8">
        <f t="shared" si="259"/>
        <v>0</v>
      </c>
      <c r="H312" s="9">
        <f t="shared" si="266"/>
        <v>0.45500000000000002</v>
      </c>
      <c r="I312" s="10">
        <v>0.61</v>
      </c>
      <c r="J312" s="10">
        <f t="shared" si="260"/>
        <v>0.27755000000000002</v>
      </c>
      <c r="K312" s="10">
        <f t="shared" si="267"/>
        <v>0</v>
      </c>
      <c r="L312" s="11">
        <f t="shared" si="261"/>
        <v>0</v>
      </c>
      <c r="M312" s="12">
        <f t="shared" si="262"/>
        <v>0.45500000000000002</v>
      </c>
      <c r="N312" s="13">
        <v>0.55000000000000004</v>
      </c>
      <c r="O312" s="13">
        <f t="shared" si="263"/>
        <v>0.25025000000000003</v>
      </c>
      <c r="P312" s="13">
        <f t="shared" si="268"/>
        <v>0</v>
      </c>
      <c r="Q312" s="14">
        <f t="shared" si="264"/>
        <v>0</v>
      </c>
    </row>
    <row r="313" spans="1:25" x14ac:dyDescent="0.3">
      <c r="A313" s="250">
        <f>VLOOKUP($B313,Reporting!$AM:$BK,MATCH($A$306,Reporting!$AN$4:$BK$4,0)+1,FALSE)</f>
        <v>0</v>
      </c>
      <c r="B313" s="445" t="s">
        <v>394</v>
      </c>
      <c r="C313" s="101">
        <f>1.09/2</f>
        <v>0.54500000000000004</v>
      </c>
      <c r="D313" s="6">
        <v>0.61</v>
      </c>
      <c r="E313" s="7">
        <f t="shared" si="258"/>
        <v>0.33245000000000002</v>
      </c>
      <c r="F313" s="7">
        <f t="shared" si="265"/>
        <v>0</v>
      </c>
      <c r="G313" s="8">
        <f t="shared" si="259"/>
        <v>0</v>
      </c>
      <c r="H313" s="9">
        <f t="shared" si="266"/>
        <v>0.54500000000000004</v>
      </c>
      <c r="I313" s="10">
        <v>0.61</v>
      </c>
      <c r="J313" s="10">
        <f t="shared" si="260"/>
        <v>0.33245000000000002</v>
      </c>
      <c r="K313" s="10">
        <f t="shared" si="267"/>
        <v>0</v>
      </c>
      <c r="L313" s="11">
        <f t="shared" si="261"/>
        <v>0</v>
      </c>
      <c r="M313" s="12">
        <f t="shared" si="262"/>
        <v>0.54500000000000004</v>
      </c>
      <c r="N313" s="13">
        <v>0.55000000000000004</v>
      </c>
      <c r="O313" s="13">
        <f t="shared" si="263"/>
        <v>0.29975000000000007</v>
      </c>
      <c r="P313" s="13">
        <f t="shared" si="268"/>
        <v>0</v>
      </c>
      <c r="Q313" s="14">
        <f t="shared" si="264"/>
        <v>0</v>
      </c>
    </row>
    <row r="314" spans="1:25" x14ac:dyDescent="0.3">
      <c r="A314" s="250">
        <f>VLOOKUP($B314,Reporting!$AM:$BK,MATCH($A$306,Reporting!$AN$4:$BK$4,0)+1,FALSE)</f>
        <v>0</v>
      </c>
      <c r="B314" s="445" t="s">
        <v>395</v>
      </c>
      <c r="C314" s="101">
        <f>1.25/2</f>
        <v>0.625</v>
      </c>
      <c r="D314" s="6">
        <v>0.61</v>
      </c>
      <c r="E314" s="7">
        <f t="shared" si="258"/>
        <v>0.38124999999999998</v>
      </c>
      <c r="F314" s="7">
        <f t="shared" si="265"/>
        <v>0</v>
      </c>
      <c r="G314" s="8">
        <f t="shared" si="259"/>
        <v>0</v>
      </c>
      <c r="H314" s="9">
        <f t="shared" si="266"/>
        <v>0.625</v>
      </c>
      <c r="I314" s="10">
        <v>0.61</v>
      </c>
      <c r="J314" s="10">
        <f t="shared" si="260"/>
        <v>0.38124999999999998</v>
      </c>
      <c r="K314" s="10">
        <f t="shared" si="267"/>
        <v>0</v>
      </c>
      <c r="L314" s="11">
        <f t="shared" si="261"/>
        <v>0</v>
      </c>
      <c r="M314" s="12">
        <f t="shared" si="262"/>
        <v>0.625</v>
      </c>
      <c r="N314" s="13">
        <v>0.55000000000000004</v>
      </c>
      <c r="O314" s="13">
        <f t="shared" si="263"/>
        <v>0.34375</v>
      </c>
      <c r="P314" s="13">
        <f t="shared" si="268"/>
        <v>0</v>
      </c>
      <c r="Q314" s="14">
        <f t="shared" si="264"/>
        <v>0</v>
      </c>
    </row>
    <row r="315" spans="1:25" x14ac:dyDescent="0.3">
      <c r="A315" s="250">
        <f>VLOOKUP($B315,Reporting!$AM:$BK,MATCH($A$306,Reporting!$AN$4:$BK$4,0)+1,FALSE)</f>
        <v>0</v>
      </c>
      <c r="B315" s="445" t="s">
        <v>396</v>
      </c>
      <c r="C315" s="101">
        <f>1.74/2</f>
        <v>0.87</v>
      </c>
      <c r="D315" s="6">
        <v>0.61</v>
      </c>
      <c r="E315" s="7">
        <f t="shared" si="258"/>
        <v>0.53069999999999995</v>
      </c>
      <c r="F315" s="7">
        <f t="shared" si="265"/>
        <v>0</v>
      </c>
      <c r="G315" s="8">
        <f t="shared" si="259"/>
        <v>0</v>
      </c>
      <c r="H315" s="9">
        <f t="shared" si="266"/>
        <v>0.87</v>
      </c>
      <c r="I315" s="10">
        <v>0.61</v>
      </c>
      <c r="J315" s="10">
        <f t="shared" si="260"/>
        <v>0.53069999999999995</v>
      </c>
      <c r="K315" s="10">
        <f t="shared" si="267"/>
        <v>0</v>
      </c>
      <c r="L315" s="11">
        <f t="shared" si="261"/>
        <v>0</v>
      </c>
      <c r="M315" s="12">
        <f t="shared" si="262"/>
        <v>0.87</v>
      </c>
      <c r="N315" s="13">
        <v>0.55000000000000004</v>
      </c>
      <c r="O315" s="13">
        <f t="shared" si="263"/>
        <v>0.47850000000000004</v>
      </c>
      <c r="P315" s="13">
        <f t="shared" si="268"/>
        <v>0</v>
      </c>
      <c r="Q315" s="14">
        <f t="shared" si="264"/>
        <v>0</v>
      </c>
    </row>
    <row r="316" spans="1:25" x14ac:dyDescent="0.3">
      <c r="A316" s="250">
        <f>VLOOKUP($B316,Reporting!$AM:$BK,MATCH($A$306,Reporting!$AN$4:$BK$4,0)+1,FALSE)</f>
        <v>0</v>
      </c>
      <c r="B316" s="445" t="s">
        <v>397</v>
      </c>
      <c r="C316" s="101">
        <f>2.2/2</f>
        <v>1.1000000000000001</v>
      </c>
      <c r="D316" s="6">
        <v>0.61</v>
      </c>
      <c r="E316" s="7">
        <f t="shared" si="258"/>
        <v>0.67100000000000004</v>
      </c>
      <c r="F316" s="7">
        <f t="shared" si="265"/>
        <v>0</v>
      </c>
      <c r="G316" s="8">
        <f t="shared" si="259"/>
        <v>0</v>
      </c>
      <c r="H316" s="9">
        <f t="shared" si="266"/>
        <v>1.1000000000000001</v>
      </c>
      <c r="I316" s="10">
        <v>0.61</v>
      </c>
      <c r="J316" s="10">
        <f t="shared" si="260"/>
        <v>0.67100000000000004</v>
      </c>
      <c r="K316" s="10">
        <f t="shared" si="267"/>
        <v>0</v>
      </c>
      <c r="L316" s="11">
        <f t="shared" si="261"/>
        <v>0</v>
      </c>
      <c r="M316" s="12">
        <f t="shared" si="262"/>
        <v>1.1000000000000001</v>
      </c>
      <c r="N316" s="13">
        <v>0.55000000000000004</v>
      </c>
      <c r="O316" s="13">
        <f t="shared" si="263"/>
        <v>0.60500000000000009</v>
      </c>
      <c r="P316" s="13">
        <f t="shared" si="268"/>
        <v>0</v>
      </c>
      <c r="Q316" s="14">
        <f t="shared" si="264"/>
        <v>0</v>
      </c>
    </row>
    <row r="317" spans="1:25" x14ac:dyDescent="0.3">
      <c r="A317" s="250">
        <f>VLOOKUP($B317,Reporting!$AM:$BK,MATCH($A$306,Reporting!$AN$4:$BK$4,0)+1,FALSE)</f>
        <v>0</v>
      </c>
      <c r="B317" s="445" t="s">
        <v>405</v>
      </c>
      <c r="C317" s="101">
        <f>3.11/2</f>
        <v>1.5549999999999999</v>
      </c>
      <c r="D317" s="6">
        <v>0.61</v>
      </c>
      <c r="E317" s="7">
        <f t="shared" si="258"/>
        <v>0.94854999999999989</v>
      </c>
      <c r="F317" s="7">
        <f t="shared" si="265"/>
        <v>0</v>
      </c>
      <c r="G317" s="8">
        <f t="shared" si="259"/>
        <v>0</v>
      </c>
      <c r="H317" s="9">
        <f t="shared" si="266"/>
        <v>1.5549999999999999</v>
      </c>
      <c r="I317" s="10">
        <v>0.61</v>
      </c>
      <c r="J317" s="10">
        <f t="shared" si="260"/>
        <v>0.94854999999999989</v>
      </c>
      <c r="K317" s="10">
        <f t="shared" si="267"/>
        <v>0</v>
      </c>
      <c r="L317" s="11">
        <f t="shared" si="261"/>
        <v>0</v>
      </c>
      <c r="M317" s="12">
        <f t="shared" si="262"/>
        <v>1.5549999999999999</v>
      </c>
      <c r="N317" s="13">
        <v>0.55000000000000004</v>
      </c>
      <c r="O317" s="13">
        <f t="shared" si="263"/>
        <v>0.85525000000000007</v>
      </c>
      <c r="P317" s="13">
        <f t="shared" si="268"/>
        <v>0</v>
      </c>
      <c r="Q317" s="14">
        <f t="shared" si="264"/>
        <v>0</v>
      </c>
      <c r="S317" s="598" t="s">
        <v>55</v>
      </c>
      <c r="T317" s="598"/>
      <c r="U317" s="598"/>
      <c r="W317" s="681" t="s">
        <v>55</v>
      </c>
      <c r="X317" s="681"/>
      <c r="Y317" s="681"/>
    </row>
    <row r="318" spans="1:25" ht="15.75" customHeight="1" thickBot="1" x14ac:dyDescent="0.35">
      <c r="A318" s="52">
        <f>SUM(A308:A317)</f>
        <v>0</v>
      </c>
      <c r="B318" s="271"/>
      <c r="C318" s="53"/>
      <c r="D318" s="644" t="s">
        <v>9</v>
      </c>
      <c r="E318" s="645"/>
      <c r="F318" s="645"/>
      <c r="G318" s="16">
        <f>SUM(G308:G317)</f>
        <v>0</v>
      </c>
      <c r="H318" s="1"/>
      <c r="I318" s="646" t="s">
        <v>10</v>
      </c>
      <c r="J318" s="646"/>
      <c r="K318" s="646"/>
      <c r="L318" s="17">
        <f>SUM(L308:L317)</f>
        <v>0</v>
      </c>
      <c r="M318" s="15"/>
      <c r="N318" s="647" t="s">
        <v>11</v>
      </c>
      <c r="O318" s="647"/>
      <c r="P318" s="647"/>
      <c r="Q318" s="18">
        <f>SUM(Q308:Q317)</f>
        <v>0</v>
      </c>
      <c r="S318" s="664">
        <f ca="1">Q318+Q331</f>
        <v>0</v>
      </c>
      <c r="T318" s="665"/>
      <c r="U318" s="665"/>
      <c r="W318" s="682">
        <f ca="1">L318+L331</f>
        <v>0</v>
      </c>
      <c r="X318" s="683"/>
      <c r="Y318" s="683"/>
    </row>
    <row r="319" spans="1:25" ht="15.75" customHeight="1" thickBot="1" x14ac:dyDescent="0.35">
      <c r="S319" s="665"/>
      <c r="T319" s="665"/>
      <c r="U319" s="665"/>
      <c r="W319" s="683"/>
      <c r="X319" s="683"/>
      <c r="Y319" s="683"/>
    </row>
    <row r="320" spans="1:25" ht="15" customHeight="1" x14ac:dyDescent="0.3">
      <c r="A320" s="740" t="s">
        <v>30</v>
      </c>
      <c r="B320" s="740"/>
      <c r="C320" s="740"/>
      <c r="D320" s="740"/>
      <c r="E320" s="712" t="s">
        <v>102</v>
      </c>
      <c r="F320" s="712"/>
      <c r="G320" s="712"/>
      <c r="H320" s="47"/>
      <c r="I320" s="47"/>
      <c r="J320" s="47"/>
      <c r="K320" s="47"/>
      <c r="L320" s="47"/>
      <c r="M320" s="47"/>
      <c r="N320" s="47"/>
      <c r="O320" s="47"/>
      <c r="P320" s="47"/>
      <c r="Q320" s="48"/>
      <c r="S320" s="665"/>
      <c r="T320" s="665"/>
      <c r="U320" s="665"/>
      <c r="W320" s="683"/>
      <c r="X320" s="683"/>
      <c r="Y320" s="683"/>
    </row>
    <row r="321" spans="1:17" ht="15" customHeight="1" x14ac:dyDescent="0.3">
      <c r="A321" s="741"/>
      <c r="B321" s="741"/>
      <c r="C321" s="741"/>
      <c r="D321" s="741"/>
      <c r="E321" s="713"/>
      <c r="F321" s="713"/>
      <c r="G321" s="713"/>
      <c r="H321" s="49"/>
      <c r="I321" s="49"/>
      <c r="J321" s="49"/>
      <c r="K321" s="49"/>
      <c r="L321" s="49"/>
      <c r="M321" s="49"/>
      <c r="N321" s="49"/>
      <c r="O321" s="49"/>
      <c r="P321" s="49"/>
      <c r="Q321" s="50"/>
    </row>
    <row r="322" spans="1:17" ht="15" customHeight="1" x14ac:dyDescent="0.3">
      <c r="A322" s="250">
        <f ca="1">VLOOKUP($B322,Reporting!$AM:$BK,MATCH($A$320,Reporting!$AN$4:$BK$4,0)+1,FALSE)</f>
        <v>0</v>
      </c>
      <c r="B322" s="264" t="s">
        <v>374</v>
      </c>
      <c r="C322" s="112">
        <v>0.41</v>
      </c>
      <c r="D322" s="6">
        <v>0.61</v>
      </c>
      <c r="E322" s="7">
        <f t="shared" ref="E322:E330" si="269">C322*D322</f>
        <v>0.25009999999999999</v>
      </c>
      <c r="F322" s="7">
        <f t="shared" ref="F322:F330" ca="1" si="270">A322*E322</f>
        <v>0</v>
      </c>
      <c r="G322" s="8">
        <f t="shared" ref="G322:G330" ca="1" si="271">F322/8</f>
        <v>0</v>
      </c>
      <c r="H322" s="9">
        <f t="shared" ref="H322:H330" si="272">C322</f>
        <v>0.41</v>
      </c>
      <c r="I322" s="10">
        <v>0.61</v>
      </c>
      <c r="J322" s="10">
        <f t="shared" ref="J322:J330" si="273">H322*I322</f>
        <v>0.25009999999999999</v>
      </c>
      <c r="K322" s="10">
        <f t="shared" ref="K322:K330" ca="1" si="274">A322*J322</f>
        <v>0</v>
      </c>
      <c r="L322" s="11">
        <f t="shared" ref="L322:L330" ca="1" si="275">K322/8</f>
        <v>0</v>
      </c>
      <c r="M322" s="12">
        <f t="shared" ref="M322:M330" si="276">H322</f>
        <v>0.41</v>
      </c>
      <c r="N322" s="13">
        <v>0.55000000000000004</v>
      </c>
      <c r="O322" s="13">
        <f t="shared" ref="O322:O330" si="277">M322*N322</f>
        <v>0.22550000000000001</v>
      </c>
      <c r="P322" s="13">
        <f t="shared" ref="P322:P330" ca="1" si="278">A322*O322</f>
        <v>0</v>
      </c>
      <c r="Q322" s="14">
        <f t="shared" ref="Q322:Q330" ca="1" si="279">P322/8</f>
        <v>0</v>
      </c>
    </row>
    <row r="323" spans="1:17" ht="15" customHeight="1" x14ac:dyDescent="0.3">
      <c r="A323" s="250">
        <f ca="1">VLOOKUP($B323,Reporting!$AM:$BK,MATCH($A$320,Reporting!$AN$4:$BK$4,0)+1,FALSE)</f>
        <v>0</v>
      </c>
      <c r="B323" s="264" t="s">
        <v>390</v>
      </c>
      <c r="C323" s="112">
        <v>0.6</v>
      </c>
      <c r="D323" s="6">
        <v>0.61</v>
      </c>
      <c r="E323" s="7">
        <f t="shared" si="269"/>
        <v>0.36599999999999999</v>
      </c>
      <c r="F323" s="7">
        <f t="shared" ca="1" si="270"/>
        <v>0</v>
      </c>
      <c r="G323" s="8">
        <f t="shared" ca="1" si="271"/>
        <v>0</v>
      </c>
      <c r="H323" s="9">
        <f t="shared" si="272"/>
        <v>0.6</v>
      </c>
      <c r="I323" s="10">
        <v>0.61</v>
      </c>
      <c r="J323" s="10">
        <f t="shared" si="273"/>
        <v>0.36599999999999999</v>
      </c>
      <c r="K323" s="10">
        <f t="shared" ca="1" si="274"/>
        <v>0</v>
      </c>
      <c r="L323" s="11">
        <f t="shared" ca="1" si="275"/>
        <v>0</v>
      </c>
      <c r="M323" s="12">
        <f t="shared" si="276"/>
        <v>0.6</v>
      </c>
      <c r="N323" s="13">
        <v>0.55000000000000004</v>
      </c>
      <c r="O323" s="13">
        <f t="shared" si="277"/>
        <v>0.33</v>
      </c>
      <c r="P323" s="13">
        <f t="shared" ca="1" si="278"/>
        <v>0</v>
      </c>
      <c r="Q323" s="14">
        <f t="shared" ca="1" si="279"/>
        <v>0</v>
      </c>
    </row>
    <row r="324" spans="1:17" ht="15" customHeight="1" x14ac:dyDescent="0.3">
      <c r="A324" s="250">
        <f ca="1">VLOOKUP($B324,Reporting!$AM:$BK,MATCH($A$320,Reporting!$AN$4:$BK$4,0)+1,FALSE)</f>
        <v>0</v>
      </c>
      <c r="B324" s="264" t="s">
        <v>391</v>
      </c>
      <c r="C324" s="112">
        <v>0.81</v>
      </c>
      <c r="D324" s="6">
        <v>0.61</v>
      </c>
      <c r="E324" s="7">
        <f t="shared" si="269"/>
        <v>0.49410000000000004</v>
      </c>
      <c r="F324" s="7">
        <f t="shared" ca="1" si="270"/>
        <v>0</v>
      </c>
      <c r="G324" s="8">
        <f t="shared" ca="1" si="271"/>
        <v>0</v>
      </c>
      <c r="H324" s="9">
        <f t="shared" si="272"/>
        <v>0.81</v>
      </c>
      <c r="I324" s="10">
        <v>0.61</v>
      </c>
      <c r="J324" s="10">
        <f t="shared" si="273"/>
        <v>0.49410000000000004</v>
      </c>
      <c r="K324" s="10">
        <f t="shared" ca="1" si="274"/>
        <v>0</v>
      </c>
      <c r="L324" s="11">
        <f t="shared" ca="1" si="275"/>
        <v>0</v>
      </c>
      <c r="M324" s="12">
        <f t="shared" si="276"/>
        <v>0.81</v>
      </c>
      <c r="N324" s="13">
        <v>0.55000000000000004</v>
      </c>
      <c r="O324" s="13">
        <f t="shared" si="277"/>
        <v>0.44550000000000006</v>
      </c>
      <c r="P324" s="13">
        <f t="shared" ca="1" si="278"/>
        <v>0</v>
      </c>
      <c r="Q324" s="14">
        <f t="shared" ca="1" si="279"/>
        <v>0</v>
      </c>
    </row>
    <row r="325" spans="1:17" ht="15.75" customHeight="1" x14ac:dyDescent="0.3">
      <c r="A325" s="250">
        <f ca="1">VLOOKUP($B325,Reporting!$AM:$BK,MATCH($A$320,Reporting!$AN$4:$BK$4,0)+1,FALSE)</f>
        <v>0</v>
      </c>
      <c r="B325" s="264" t="s">
        <v>392</v>
      </c>
      <c r="C325" s="103">
        <v>0.98</v>
      </c>
      <c r="D325" s="6">
        <v>0.61</v>
      </c>
      <c r="E325" s="7">
        <f t="shared" si="269"/>
        <v>0.5978</v>
      </c>
      <c r="F325" s="7">
        <f t="shared" ca="1" si="270"/>
        <v>0</v>
      </c>
      <c r="G325" s="8">
        <f t="shared" ca="1" si="271"/>
        <v>0</v>
      </c>
      <c r="H325" s="9">
        <f t="shared" si="272"/>
        <v>0.98</v>
      </c>
      <c r="I325" s="10">
        <v>0.61</v>
      </c>
      <c r="J325" s="10">
        <f t="shared" si="273"/>
        <v>0.5978</v>
      </c>
      <c r="K325" s="10">
        <f t="shared" ca="1" si="274"/>
        <v>0</v>
      </c>
      <c r="L325" s="11">
        <f t="shared" ca="1" si="275"/>
        <v>0</v>
      </c>
      <c r="M325" s="12">
        <f t="shared" si="276"/>
        <v>0.98</v>
      </c>
      <c r="N325" s="13">
        <v>0.55000000000000004</v>
      </c>
      <c r="O325" s="13">
        <f t="shared" si="277"/>
        <v>0.53900000000000003</v>
      </c>
      <c r="P325" s="13">
        <f t="shared" ca="1" si="278"/>
        <v>0</v>
      </c>
      <c r="Q325" s="14">
        <f t="shared" ca="1" si="279"/>
        <v>0</v>
      </c>
    </row>
    <row r="326" spans="1:17" x14ac:dyDescent="0.3">
      <c r="A326" s="250">
        <f ca="1">VLOOKUP($B326,Reporting!$AM:$BK,MATCH($A$320,Reporting!$AN$4:$BK$4,0)+1,FALSE)</f>
        <v>0</v>
      </c>
      <c r="B326" s="445" t="s">
        <v>393</v>
      </c>
      <c r="C326" s="103">
        <v>1.0900000000000001</v>
      </c>
      <c r="D326" s="6">
        <v>0.61</v>
      </c>
      <c r="E326" s="7">
        <f t="shared" si="269"/>
        <v>0.66490000000000005</v>
      </c>
      <c r="F326" s="7">
        <f t="shared" ca="1" si="270"/>
        <v>0</v>
      </c>
      <c r="G326" s="8">
        <f t="shared" ca="1" si="271"/>
        <v>0</v>
      </c>
      <c r="H326" s="9">
        <f t="shared" si="272"/>
        <v>1.0900000000000001</v>
      </c>
      <c r="I326" s="10">
        <v>0.61</v>
      </c>
      <c r="J326" s="10">
        <f t="shared" si="273"/>
        <v>0.66490000000000005</v>
      </c>
      <c r="K326" s="10">
        <f t="shared" ca="1" si="274"/>
        <v>0</v>
      </c>
      <c r="L326" s="11">
        <f t="shared" ca="1" si="275"/>
        <v>0</v>
      </c>
      <c r="M326" s="12">
        <f t="shared" si="276"/>
        <v>1.0900000000000001</v>
      </c>
      <c r="N326" s="13">
        <v>0.55000000000000004</v>
      </c>
      <c r="O326" s="13">
        <f t="shared" si="277"/>
        <v>0.59950000000000014</v>
      </c>
      <c r="P326" s="13">
        <f t="shared" ca="1" si="278"/>
        <v>0</v>
      </c>
      <c r="Q326" s="14">
        <f t="shared" ca="1" si="279"/>
        <v>0</v>
      </c>
    </row>
    <row r="327" spans="1:17" x14ac:dyDescent="0.3">
      <c r="A327" s="250">
        <f ca="1">VLOOKUP($B327,Reporting!$AM:$BK,MATCH($A$320,Reporting!$AN$4:$BK$4,0)+1,FALSE)</f>
        <v>0</v>
      </c>
      <c r="B327" s="445" t="s">
        <v>394</v>
      </c>
      <c r="C327" s="103">
        <v>1.39</v>
      </c>
      <c r="D327" s="6">
        <v>0.61</v>
      </c>
      <c r="E327" s="7">
        <f t="shared" si="269"/>
        <v>0.84789999999999988</v>
      </c>
      <c r="F327" s="7">
        <f t="shared" ca="1" si="270"/>
        <v>0</v>
      </c>
      <c r="G327" s="8">
        <f t="shared" ca="1" si="271"/>
        <v>0</v>
      </c>
      <c r="H327" s="9">
        <f t="shared" si="272"/>
        <v>1.39</v>
      </c>
      <c r="I327" s="10">
        <v>0.61</v>
      </c>
      <c r="J327" s="10">
        <f t="shared" si="273"/>
        <v>0.84789999999999988</v>
      </c>
      <c r="K327" s="10">
        <f t="shared" ca="1" si="274"/>
        <v>0</v>
      </c>
      <c r="L327" s="11">
        <f t="shared" ca="1" si="275"/>
        <v>0</v>
      </c>
      <c r="M327" s="12">
        <f t="shared" si="276"/>
        <v>1.39</v>
      </c>
      <c r="N327" s="13">
        <v>0.55000000000000004</v>
      </c>
      <c r="O327" s="13">
        <f t="shared" si="277"/>
        <v>0.76449999999999996</v>
      </c>
      <c r="P327" s="13">
        <f t="shared" ca="1" si="278"/>
        <v>0</v>
      </c>
      <c r="Q327" s="14">
        <f t="shared" ca="1" si="279"/>
        <v>0</v>
      </c>
    </row>
    <row r="328" spans="1:17" x14ac:dyDescent="0.3">
      <c r="A328" s="250">
        <f ca="1">VLOOKUP($B328,Reporting!$AM:$BK,MATCH($A$320,Reporting!$AN$4:$BK$4,0)+1,FALSE)</f>
        <v>0</v>
      </c>
      <c r="B328" s="445" t="s">
        <v>395</v>
      </c>
      <c r="C328" s="103">
        <v>1.87</v>
      </c>
      <c r="D328" s="6">
        <v>0.61</v>
      </c>
      <c r="E328" s="7">
        <f t="shared" si="269"/>
        <v>1.1407</v>
      </c>
      <c r="F328" s="7">
        <f t="shared" ca="1" si="270"/>
        <v>0</v>
      </c>
      <c r="G328" s="8">
        <f t="shared" ca="1" si="271"/>
        <v>0</v>
      </c>
      <c r="H328" s="9">
        <f t="shared" si="272"/>
        <v>1.87</v>
      </c>
      <c r="I328" s="10">
        <v>0.61</v>
      </c>
      <c r="J328" s="10">
        <f t="shared" si="273"/>
        <v>1.1407</v>
      </c>
      <c r="K328" s="10">
        <f t="shared" ca="1" si="274"/>
        <v>0</v>
      </c>
      <c r="L328" s="11">
        <f t="shared" ca="1" si="275"/>
        <v>0</v>
      </c>
      <c r="M328" s="12">
        <f t="shared" si="276"/>
        <v>1.87</v>
      </c>
      <c r="N328" s="13">
        <v>0.55000000000000004</v>
      </c>
      <c r="O328" s="13">
        <f t="shared" si="277"/>
        <v>1.0285000000000002</v>
      </c>
      <c r="P328" s="13">
        <f t="shared" ca="1" si="278"/>
        <v>0</v>
      </c>
      <c r="Q328" s="14">
        <f t="shared" ca="1" si="279"/>
        <v>0</v>
      </c>
    </row>
    <row r="329" spans="1:17" x14ac:dyDescent="0.3">
      <c r="A329" s="250">
        <f ca="1">VLOOKUP($B329,Reporting!$AM:$BK,MATCH($A$320,Reporting!$AN$4:$BK$4,0)+1,FALSE)</f>
        <v>0</v>
      </c>
      <c r="B329" s="445" t="s">
        <v>396</v>
      </c>
      <c r="C329" s="103">
        <v>2.2799999999999998</v>
      </c>
      <c r="D329" s="6">
        <v>0.61</v>
      </c>
      <c r="E329" s="7">
        <f t="shared" si="269"/>
        <v>1.3907999999999998</v>
      </c>
      <c r="F329" s="7">
        <f t="shared" ca="1" si="270"/>
        <v>0</v>
      </c>
      <c r="G329" s="8">
        <f t="shared" ca="1" si="271"/>
        <v>0</v>
      </c>
      <c r="H329" s="9">
        <f t="shared" si="272"/>
        <v>2.2799999999999998</v>
      </c>
      <c r="I329" s="10">
        <v>0.61</v>
      </c>
      <c r="J329" s="10">
        <f t="shared" si="273"/>
        <v>1.3907999999999998</v>
      </c>
      <c r="K329" s="10">
        <f t="shared" ca="1" si="274"/>
        <v>0</v>
      </c>
      <c r="L329" s="11">
        <f t="shared" ca="1" si="275"/>
        <v>0</v>
      </c>
      <c r="M329" s="12">
        <f t="shared" si="276"/>
        <v>2.2799999999999998</v>
      </c>
      <c r="N329" s="13">
        <v>0.55000000000000004</v>
      </c>
      <c r="O329" s="13">
        <f t="shared" si="277"/>
        <v>1.254</v>
      </c>
      <c r="P329" s="13">
        <f t="shared" ca="1" si="278"/>
        <v>0</v>
      </c>
      <c r="Q329" s="14">
        <f t="shared" ca="1" si="279"/>
        <v>0</v>
      </c>
    </row>
    <row r="330" spans="1:17" x14ac:dyDescent="0.3">
      <c r="A330" s="250">
        <f ca="1">VLOOKUP($B330,Reporting!$AM:$BK,MATCH($A$320,Reporting!$AN$4:$BK$4,0)+1,FALSE)</f>
        <v>0</v>
      </c>
      <c r="B330" s="445" t="s">
        <v>397</v>
      </c>
      <c r="C330" s="103">
        <v>2.62</v>
      </c>
      <c r="D330" s="6">
        <v>0.61</v>
      </c>
      <c r="E330" s="7">
        <f t="shared" si="269"/>
        <v>1.5982000000000001</v>
      </c>
      <c r="F330" s="7">
        <f t="shared" ca="1" si="270"/>
        <v>0</v>
      </c>
      <c r="G330" s="8">
        <f t="shared" ca="1" si="271"/>
        <v>0</v>
      </c>
      <c r="H330" s="9">
        <f t="shared" si="272"/>
        <v>2.62</v>
      </c>
      <c r="I330" s="10">
        <v>0.61</v>
      </c>
      <c r="J330" s="10">
        <f t="shared" si="273"/>
        <v>1.5982000000000001</v>
      </c>
      <c r="K330" s="10">
        <f t="shared" ca="1" si="274"/>
        <v>0</v>
      </c>
      <c r="L330" s="11">
        <f t="shared" ca="1" si="275"/>
        <v>0</v>
      </c>
      <c r="M330" s="12">
        <f t="shared" si="276"/>
        <v>2.62</v>
      </c>
      <c r="N330" s="13">
        <v>0.55000000000000004</v>
      </c>
      <c r="O330" s="13">
        <f t="shared" si="277"/>
        <v>1.4410000000000003</v>
      </c>
      <c r="P330" s="13">
        <f t="shared" ca="1" si="278"/>
        <v>0</v>
      </c>
      <c r="Q330" s="14">
        <f t="shared" ca="1" si="279"/>
        <v>0</v>
      </c>
    </row>
    <row r="331" spans="1:17" ht="15" thickBot="1" x14ac:dyDescent="0.35">
      <c r="A331" s="250">
        <f ca="1">VLOOKUP($B331,Reporting!$AM:$BK,MATCH($A$320,Reporting!$AN$4:$BK$4,0)+1,FALSE)</f>
        <v>0</v>
      </c>
      <c r="B331" s="445" t="s">
        <v>405</v>
      </c>
      <c r="C331" s="46"/>
      <c r="D331" s="644" t="s">
        <v>9</v>
      </c>
      <c r="E331" s="645"/>
      <c r="F331" s="645"/>
      <c r="G331" s="16">
        <f ca="1">SUM(G322:G330)</f>
        <v>0</v>
      </c>
      <c r="H331" s="1"/>
      <c r="I331" s="646" t="s">
        <v>10</v>
      </c>
      <c r="J331" s="646"/>
      <c r="K331" s="646"/>
      <c r="L331" s="17">
        <f ca="1">SUM(L322:L330)</f>
        <v>0</v>
      </c>
      <c r="M331" s="15"/>
      <c r="N331" s="647" t="s">
        <v>11</v>
      </c>
      <c r="O331" s="647"/>
      <c r="P331" s="647"/>
      <c r="Q331" s="18">
        <f ca="1">SUM(Q322:Q330)</f>
        <v>0</v>
      </c>
    </row>
    <row r="332" spans="1:17" ht="15" thickBot="1" x14ac:dyDescent="0.35"/>
    <row r="333" spans="1:17" ht="15" customHeight="1" x14ac:dyDescent="0.3">
      <c r="A333" s="650" t="s">
        <v>31</v>
      </c>
      <c r="B333" s="650"/>
      <c r="C333" s="650"/>
      <c r="D333" s="708" t="s">
        <v>101</v>
      </c>
      <c r="E333" s="708"/>
      <c r="F333" s="708"/>
      <c r="G333" s="708"/>
      <c r="H333" s="60"/>
      <c r="I333" s="60"/>
      <c r="J333" s="60"/>
      <c r="K333" s="60"/>
      <c r="L333" s="60"/>
      <c r="M333" s="60"/>
      <c r="N333" s="60"/>
      <c r="O333" s="60"/>
      <c r="P333" s="60"/>
      <c r="Q333" s="61"/>
    </row>
    <row r="334" spans="1:17" ht="15" customHeight="1" x14ac:dyDescent="0.3">
      <c r="A334" s="651"/>
      <c r="B334" s="651"/>
      <c r="C334" s="651"/>
      <c r="D334" s="709"/>
      <c r="E334" s="709"/>
      <c r="F334" s="709"/>
      <c r="G334" s="709"/>
      <c r="H334" s="62"/>
      <c r="I334" s="62"/>
      <c r="J334" s="62"/>
      <c r="K334" s="62"/>
      <c r="L334" s="62"/>
      <c r="M334" s="62"/>
      <c r="N334" s="62"/>
      <c r="O334" s="62"/>
      <c r="P334" s="62"/>
      <c r="Q334" s="63"/>
    </row>
    <row r="335" spans="1:17" ht="15" customHeight="1" x14ac:dyDescent="0.3">
      <c r="A335" s="250">
        <f>VLOOKUP($B335,Reporting!$AM:$BK,MATCH($A$333,Reporting!$AN$4:$BK$4,0)+1,FALSE)</f>
        <v>0</v>
      </c>
      <c r="B335" s="264" t="s">
        <v>374</v>
      </c>
      <c r="C335" s="115">
        <f>0.26/2</f>
        <v>0.13</v>
      </c>
      <c r="D335" s="6">
        <v>0.61</v>
      </c>
      <c r="E335" s="7">
        <f t="shared" ref="E335:E343" si="280">C335*D335</f>
        <v>7.9299999999999995E-2</v>
      </c>
      <c r="F335" s="7">
        <f>A335*E335</f>
        <v>0</v>
      </c>
      <c r="G335" s="8">
        <f t="shared" ref="G335:G343" si="281">F335/8</f>
        <v>0</v>
      </c>
      <c r="H335" s="9">
        <f>C335</f>
        <v>0.13</v>
      </c>
      <c r="I335" s="10">
        <v>0.61</v>
      </c>
      <c r="J335" s="10">
        <f t="shared" ref="J335:J343" si="282">H335*I335</f>
        <v>7.9299999999999995E-2</v>
      </c>
      <c r="K335" s="10">
        <f>A335*J335</f>
        <v>0</v>
      </c>
      <c r="L335" s="11">
        <f t="shared" ref="L335:L343" si="283">K335/8</f>
        <v>0</v>
      </c>
      <c r="M335" s="12">
        <f t="shared" ref="M335:M343" si="284">H335</f>
        <v>0.13</v>
      </c>
      <c r="N335" s="13">
        <v>0.55000000000000004</v>
      </c>
      <c r="O335" s="13">
        <f t="shared" ref="O335:O343" si="285">M335*N335</f>
        <v>7.1500000000000008E-2</v>
      </c>
      <c r="P335" s="13">
        <f>A335*O335</f>
        <v>0</v>
      </c>
      <c r="Q335" s="14">
        <f t="shared" ref="Q335:Q343" si="286">P335/8</f>
        <v>0</v>
      </c>
    </row>
    <row r="336" spans="1:17" ht="15" customHeight="1" x14ac:dyDescent="0.3">
      <c r="A336" s="250">
        <f>VLOOKUP($B336,Reporting!$AM:$BK,MATCH($A$333,Reporting!$AN$4:$BK$4,0)+1,FALSE)</f>
        <v>0</v>
      </c>
      <c r="B336" s="264" t="s">
        <v>390</v>
      </c>
      <c r="C336" s="115">
        <f>0.26/2</f>
        <v>0.13</v>
      </c>
      <c r="D336" s="6">
        <v>0.61</v>
      </c>
      <c r="E336" s="7">
        <f t="shared" si="280"/>
        <v>7.9299999999999995E-2</v>
      </c>
      <c r="F336" s="7">
        <f t="shared" ref="F336:F343" si="287">A336*E336</f>
        <v>0</v>
      </c>
      <c r="G336" s="8">
        <f t="shared" si="281"/>
        <v>0</v>
      </c>
      <c r="H336" s="9">
        <f t="shared" ref="H336:H342" si="288">C336</f>
        <v>0.13</v>
      </c>
      <c r="I336" s="10">
        <v>0.61</v>
      </c>
      <c r="J336" s="10">
        <f t="shared" si="282"/>
        <v>7.9299999999999995E-2</v>
      </c>
      <c r="K336" s="10">
        <f t="shared" ref="K336:K343" si="289">A336*J336</f>
        <v>0</v>
      </c>
      <c r="L336" s="11">
        <f t="shared" si="283"/>
        <v>0</v>
      </c>
      <c r="M336" s="12">
        <f t="shared" si="284"/>
        <v>0.13</v>
      </c>
      <c r="N336" s="13">
        <v>0.55000000000000004</v>
      </c>
      <c r="O336" s="13">
        <f t="shared" si="285"/>
        <v>7.1500000000000008E-2</v>
      </c>
      <c r="P336" s="13">
        <f t="shared" ref="P336:P343" si="290">A336*O336</f>
        <v>0</v>
      </c>
      <c r="Q336" s="14">
        <f t="shared" si="286"/>
        <v>0</v>
      </c>
    </row>
    <row r="337" spans="1:17" ht="15" customHeight="1" x14ac:dyDescent="0.3">
      <c r="A337" s="250">
        <f>VLOOKUP($B337,Reporting!$AM:$BK,MATCH($A$333,Reporting!$AN$4:$BK$4,0)+1,FALSE)</f>
        <v>0</v>
      </c>
      <c r="B337" s="264" t="s">
        <v>391</v>
      </c>
      <c r="C337" s="115">
        <f>0.38/2</f>
        <v>0.19</v>
      </c>
      <c r="D337" s="6">
        <v>0.61</v>
      </c>
      <c r="E337" s="7">
        <f t="shared" si="280"/>
        <v>0.1159</v>
      </c>
      <c r="F337" s="7">
        <f t="shared" si="287"/>
        <v>0</v>
      </c>
      <c r="G337" s="8">
        <f t="shared" si="281"/>
        <v>0</v>
      </c>
      <c r="H337" s="9">
        <f t="shared" si="288"/>
        <v>0.19</v>
      </c>
      <c r="I337" s="10">
        <v>0.61</v>
      </c>
      <c r="J337" s="10">
        <f t="shared" si="282"/>
        <v>0.1159</v>
      </c>
      <c r="K337" s="10">
        <f t="shared" si="289"/>
        <v>0</v>
      </c>
      <c r="L337" s="11">
        <f t="shared" si="283"/>
        <v>0</v>
      </c>
      <c r="M337" s="12">
        <f t="shared" si="284"/>
        <v>0.19</v>
      </c>
      <c r="N337" s="13">
        <v>0.55000000000000004</v>
      </c>
      <c r="O337" s="13">
        <f t="shared" si="285"/>
        <v>0.10450000000000001</v>
      </c>
      <c r="P337" s="13">
        <f t="shared" si="290"/>
        <v>0</v>
      </c>
      <c r="Q337" s="14">
        <f t="shared" si="286"/>
        <v>0</v>
      </c>
    </row>
    <row r="338" spans="1:17" ht="15" customHeight="1" x14ac:dyDescent="0.3">
      <c r="A338" s="250">
        <f>VLOOKUP($B338,Reporting!$AM:$BK,MATCH($A$333,Reporting!$AN$4:$BK$4,0)+1,FALSE)</f>
        <v>0</v>
      </c>
      <c r="B338" s="264" t="s">
        <v>392</v>
      </c>
      <c r="C338" s="115">
        <f>0.8/2</f>
        <v>0.4</v>
      </c>
      <c r="D338" s="6">
        <v>0.61</v>
      </c>
      <c r="E338" s="7">
        <f t="shared" si="280"/>
        <v>0.24399999999999999</v>
      </c>
      <c r="F338" s="7">
        <f t="shared" si="287"/>
        <v>0</v>
      </c>
      <c r="G338" s="8">
        <f t="shared" si="281"/>
        <v>0</v>
      </c>
      <c r="H338" s="9">
        <f t="shared" si="288"/>
        <v>0.4</v>
      </c>
      <c r="I338" s="10">
        <v>0.61</v>
      </c>
      <c r="J338" s="10">
        <f t="shared" si="282"/>
        <v>0.24399999999999999</v>
      </c>
      <c r="K338" s="10">
        <f t="shared" si="289"/>
        <v>0</v>
      </c>
      <c r="L338" s="11">
        <f t="shared" si="283"/>
        <v>0</v>
      </c>
      <c r="M338" s="12">
        <f t="shared" si="284"/>
        <v>0.4</v>
      </c>
      <c r="N338" s="13">
        <v>0.55000000000000004</v>
      </c>
      <c r="O338" s="13">
        <f t="shared" si="285"/>
        <v>0.22000000000000003</v>
      </c>
      <c r="P338" s="13">
        <f t="shared" si="290"/>
        <v>0</v>
      </c>
      <c r="Q338" s="14">
        <f t="shared" si="286"/>
        <v>0</v>
      </c>
    </row>
    <row r="339" spans="1:17" x14ac:dyDescent="0.3">
      <c r="A339" s="250">
        <f>VLOOKUP($B339,Reporting!$AM:$BK,MATCH($A$333,Reporting!$AN$4:$BK$4,0)+1,FALSE)</f>
        <v>0</v>
      </c>
      <c r="B339" s="445" t="s">
        <v>393</v>
      </c>
      <c r="C339" s="105">
        <f>1.76/2</f>
        <v>0.88</v>
      </c>
      <c r="D339" s="6">
        <v>0.61</v>
      </c>
      <c r="E339" s="7">
        <f t="shared" si="280"/>
        <v>0.53679999999999994</v>
      </c>
      <c r="F339" s="7">
        <f t="shared" si="287"/>
        <v>0</v>
      </c>
      <c r="G339" s="8">
        <f t="shared" si="281"/>
        <v>0</v>
      </c>
      <c r="H339" s="9">
        <f t="shared" si="288"/>
        <v>0.88</v>
      </c>
      <c r="I339" s="10">
        <v>0.61</v>
      </c>
      <c r="J339" s="10">
        <f t="shared" si="282"/>
        <v>0.53679999999999994</v>
      </c>
      <c r="K339" s="10">
        <f t="shared" si="289"/>
        <v>0</v>
      </c>
      <c r="L339" s="11">
        <f t="shared" si="283"/>
        <v>0</v>
      </c>
      <c r="M339" s="12">
        <f t="shared" si="284"/>
        <v>0.88</v>
      </c>
      <c r="N339" s="13">
        <v>0.55000000000000004</v>
      </c>
      <c r="O339" s="13">
        <f t="shared" si="285"/>
        <v>0.48400000000000004</v>
      </c>
      <c r="P339" s="13">
        <f t="shared" si="290"/>
        <v>0</v>
      </c>
      <c r="Q339" s="14">
        <f t="shared" si="286"/>
        <v>0</v>
      </c>
    </row>
    <row r="340" spans="1:17" x14ac:dyDescent="0.3">
      <c r="A340" s="250">
        <f>VLOOKUP($B340,Reporting!$AM:$BK,MATCH($A$333,Reporting!$AN$4:$BK$4,0)+1,FALSE)</f>
        <v>0</v>
      </c>
      <c r="B340" s="445" t="s">
        <v>394</v>
      </c>
      <c r="C340" s="105">
        <f>2.1/2</f>
        <v>1.05</v>
      </c>
      <c r="D340" s="6">
        <v>0.61</v>
      </c>
      <c r="E340" s="7">
        <f t="shared" si="280"/>
        <v>0.64049999999999996</v>
      </c>
      <c r="F340" s="7">
        <f t="shared" si="287"/>
        <v>0</v>
      </c>
      <c r="G340" s="8">
        <f t="shared" si="281"/>
        <v>0</v>
      </c>
      <c r="H340" s="9">
        <f t="shared" si="288"/>
        <v>1.05</v>
      </c>
      <c r="I340" s="10">
        <v>0.61</v>
      </c>
      <c r="J340" s="10">
        <f t="shared" si="282"/>
        <v>0.64049999999999996</v>
      </c>
      <c r="K340" s="10">
        <f t="shared" si="289"/>
        <v>0</v>
      </c>
      <c r="L340" s="11">
        <f t="shared" si="283"/>
        <v>0</v>
      </c>
      <c r="M340" s="12">
        <f t="shared" si="284"/>
        <v>1.05</v>
      </c>
      <c r="N340" s="13">
        <v>0.55000000000000004</v>
      </c>
      <c r="O340" s="13">
        <f t="shared" si="285"/>
        <v>0.57750000000000012</v>
      </c>
      <c r="P340" s="13">
        <f t="shared" si="290"/>
        <v>0</v>
      </c>
      <c r="Q340" s="14">
        <f t="shared" si="286"/>
        <v>0</v>
      </c>
    </row>
    <row r="341" spans="1:17" x14ac:dyDescent="0.3">
      <c r="A341" s="250">
        <f>VLOOKUP($B341,Reporting!$AM:$BK,MATCH($A$333,Reporting!$AN$4:$BK$4,0)+1,FALSE)</f>
        <v>0</v>
      </c>
      <c r="B341" s="445" t="s">
        <v>395</v>
      </c>
      <c r="C341" s="57">
        <v>1.2</v>
      </c>
      <c r="D341" s="6">
        <v>0.61</v>
      </c>
      <c r="E341" s="7">
        <f t="shared" si="280"/>
        <v>0.73199999999999998</v>
      </c>
      <c r="F341" s="7">
        <f t="shared" si="287"/>
        <v>0</v>
      </c>
      <c r="G341" s="8">
        <f t="shared" si="281"/>
        <v>0</v>
      </c>
      <c r="H341" s="9">
        <f t="shared" si="288"/>
        <v>1.2</v>
      </c>
      <c r="I341" s="10">
        <v>0.61</v>
      </c>
      <c r="J341" s="10">
        <f t="shared" si="282"/>
        <v>0.73199999999999998</v>
      </c>
      <c r="K341" s="10">
        <f t="shared" si="289"/>
        <v>0</v>
      </c>
      <c r="L341" s="11">
        <f t="shared" si="283"/>
        <v>0</v>
      </c>
      <c r="M341" s="12">
        <f t="shared" si="284"/>
        <v>1.2</v>
      </c>
      <c r="N341" s="13">
        <v>0.55000000000000004</v>
      </c>
      <c r="O341" s="13">
        <f t="shared" si="285"/>
        <v>0.66</v>
      </c>
      <c r="P341" s="13">
        <f t="shared" si="290"/>
        <v>0</v>
      </c>
      <c r="Q341" s="14">
        <f t="shared" si="286"/>
        <v>0</v>
      </c>
    </row>
    <row r="342" spans="1:17" x14ac:dyDescent="0.3">
      <c r="A342" s="250">
        <f>VLOOKUP($B342,Reporting!$AM:$BK,MATCH($A$333,Reporting!$AN$4:$BK$4,0)+1,FALSE)</f>
        <v>0</v>
      </c>
      <c r="B342" s="445" t="s">
        <v>396</v>
      </c>
      <c r="C342" s="57">
        <v>1.4</v>
      </c>
      <c r="D342" s="6">
        <v>0.61</v>
      </c>
      <c r="E342" s="7">
        <f t="shared" si="280"/>
        <v>0.85399999999999998</v>
      </c>
      <c r="F342" s="7">
        <f t="shared" si="287"/>
        <v>0</v>
      </c>
      <c r="G342" s="8">
        <f t="shared" si="281"/>
        <v>0</v>
      </c>
      <c r="H342" s="9">
        <f t="shared" si="288"/>
        <v>1.4</v>
      </c>
      <c r="I342" s="10">
        <v>0.61</v>
      </c>
      <c r="J342" s="10">
        <f t="shared" si="282"/>
        <v>0.85399999999999998</v>
      </c>
      <c r="K342" s="10">
        <f t="shared" si="289"/>
        <v>0</v>
      </c>
      <c r="L342" s="11">
        <f t="shared" si="283"/>
        <v>0</v>
      </c>
      <c r="M342" s="12">
        <f t="shared" si="284"/>
        <v>1.4</v>
      </c>
      <c r="N342" s="13">
        <v>0.55000000000000004</v>
      </c>
      <c r="O342" s="13">
        <f t="shared" si="285"/>
        <v>0.77</v>
      </c>
      <c r="P342" s="13">
        <f t="shared" si="290"/>
        <v>0</v>
      </c>
      <c r="Q342" s="14">
        <f t="shared" si="286"/>
        <v>0</v>
      </c>
    </row>
    <row r="343" spans="1:17" x14ac:dyDescent="0.3">
      <c r="A343" s="250">
        <f>VLOOKUP($B343,Reporting!$AM:$BK,MATCH($A$333,Reporting!$AN$4:$BK$4,0)+1,FALSE)</f>
        <v>0</v>
      </c>
      <c r="B343" s="445" t="s">
        <v>397</v>
      </c>
      <c r="C343" s="57">
        <v>1.6</v>
      </c>
      <c r="D343" s="6">
        <v>0.61</v>
      </c>
      <c r="E343" s="7">
        <f t="shared" si="280"/>
        <v>0.97599999999999998</v>
      </c>
      <c r="F343" s="7">
        <f t="shared" si="287"/>
        <v>0</v>
      </c>
      <c r="G343" s="8">
        <f t="shared" si="281"/>
        <v>0</v>
      </c>
      <c r="H343" s="9">
        <f>C343</f>
        <v>1.6</v>
      </c>
      <c r="I343" s="10">
        <v>0.61</v>
      </c>
      <c r="J343" s="10">
        <f t="shared" si="282"/>
        <v>0.97599999999999998</v>
      </c>
      <c r="K343" s="10">
        <f t="shared" si="289"/>
        <v>0</v>
      </c>
      <c r="L343" s="11">
        <f t="shared" si="283"/>
        <v>0</v>
      </c>
      <c r="M343" s="12">
        <f t="shared" si="284"/>
        <v>1.6</v>
      </c>
      <c r="N343" s="13">
        <v>0.55000000000000004</v>
      </c>
      <c r="O343" s="13">
        <f t="shared" si="285"/>
        <v>0.88000000000000012</v>
      </c>
      <c r="P343" s="13">
        <f t="shared" si="290"/>
        <v>0</v>
      </c>
      <c r="Q343" s="14">
        <f t="shared" si="286"/>
        <v>0</v>
      </c>
    </row>
    <row r="344" spans="1:17" ht="15" thickBot="1" x14ac:dyDescent="0.35">
      <c r="A344" s="58">
        <f>SUM(A335:A343)</f>
        <v>0</v>
      </c>
      <c r="B344" s="275"/>
      <c r="C344" s="59"/>
      <c r="D344" s="644" t="s">
        <v>9</v>
      </c>
      <c r="E344" s="645"/>
      <c r="F344" s="645"/>
      <c r="G344" s="16">
        <f>SUM(G335:G343)</f>
        <v>0</v>
      </c>
      <c r="H344" s="1"/>
      <c r="I344" s="646" t="s">
        <v>10</v>
      </c>
      <c r="J344" s="646"/>
      <c r="K344" s="646"/>
      <c r="L344" s="17">
        <f>SUM(L335:L343)</f>
        <v>0</v>
      </c>
      <c r="M344" s="15"/>
      <c r="N344" s="647" t="s">
        <v>11</v>
      </c>
      <c r="O344" s="647"/>
      <c r="P344" s="647"/>
      <c r="Q344" s="18">
        <f>SUM(Q335:Q343)</f>
        <v>0</v>
      </c>
    </row>
    <row r="345" spans="1:17" ht="15" thickBot="1" x14ac:dyDescent="0.35"/>
    <row r="346" spans="1:17" ht="15" customHeight="1" x14ac:dyDescent="0.3">
      <c r="A346" s="662" t="s">
        <v>32</v>
      </c>
      <c r="B346" s="662"/>
      <c r="C346" s="662"/>
      <c r="D346" s="658" t="s">
        <v>103</v>
      </c>
      <c r="E346" s="658"/>
      <c r="F346" s="658"/>
      <c r="G346" s="658"/>
      <c r="H346" s="658"/>
      <c r="I346" s="658"/>
      <c r="J346" s="75"/>
      <c r="K346" s="75"/>
      <c r="L346" s="75"/>
      <c r="M346" s="75"/>
      <c r="N346" s="75"/>
      <c r="O346" s="75"/>
      <c r="P346" s="75"/>
      <c r="Q346" s="76"/>
    </row>
    <row r="347" spans="1:17" ht="15" customHeight="1" x14ac:dyDescent="0.3">
      <c r="A347" s="663"/>
      <c r="B347" s="663"/>
      <c r="C347" s="663"/>
      <c r="D347" s="659"/>
      <c r="E347" s="659"/>
      <c r="F347" s="659"/>
      <c r="G347" s="659"/>
      <c r="H347" s="659"/>
      <c r="I347" s="659"/>
      <c r="J347" s="77"/>
      <c r="K347" s="77"/>
      <c r="L347" s="77"/>
      <c r="M347" s="77"/>
      <c r="N347" s="77"/>
      <c r="O347" s="77"/>
      <c r="P347" s="77"/>
      <c r="Q347" s="78"/>
    </row>
    <row r="348" spans="1:17" ht="15" customHeight="1" x14ac:dyDescent="0.3">
      <c r="A348" s="250">
        <f>VLOOKUP($B348,Reporting!$AM:$BK,MATCH($A$346,Reporting!$AN$4:$BK$4,0)+1,FALSE)</f>
        <v>0</v>
      </c>
      <c r="B348" s="265" t="s">
        <v>371</v>
      </c>
      <c r="C348" s="106">
        <v>0.28000000000000003</v>
      </c>
      <c r="D348" s="6">
        <v>0.61</v>
      </c>
      <c r="E348" s="7">
        <f t="shared" ref="E348:E362" si="291">C348*D348</f>
        <v>0.17080000000000001</v>
      </c>
      <c r="F348" s="7">
        <f>A348*E348</f>
        <v>0</v>
      </c>
      <c r="G348" s="8">
        <f t="shared" ref="G348:G362" si="292">F348/8</f>
        <v>0</v>
      </c>
      <c r="H348" s="9">
        <f>C348</f>
        <v>0.28000000000000003</v>
      </c>
      <c r="I348" s="10">
        <v>0.61</v>
      </c>
      <c r="J348" s="10">
        <f t="shared" ref="J348:J362" si="293">H348*I348</f>
        <v>0.17080000000000001</v>
      </c>
      <c r="K348" s="10">
        <f>A348*J348</f>
        <v>0</v>
      </c>
      <c r="L348" s="11">
        <f t="shared" ref="L348:L362" si="294">K348/8</f>
        <v>0</v>
      </c>
      <c r="M348" s="12">
        <f t="shared" ref="M348:M362" si="295">H348</f>
        <v>0.28000000000000003</v>
      </c>
      <c r="N348" s="13">
        <v>0.55000000000000004</v>
      </c>
      <c r="O348" s="13">
        <f t="shared" ref="O348:O362" si="296">M348*N348</f>
        <v>0.15400000000000003</v>
      </c>
      <c r="P348" s="13">
        <f>A348*O348</f>
        <v>0</v>
      </c>
      <c r="Q348" s="14">
        <f t="shared" ref="Q348:Q362" si="297">P348/8</f>
        <v>0</v>
      </c>
    </row>
    <row r="349" spans="1:17" ht="15" customHeight="1" x14ac:dyDescent="0.3">
      <c r="A349" s="250">
        <f>VLOOKUP($B349,Reporting!$AM:$BK,MATCH($A$346,Reporting!$AN$4:$BK$4,0)+1,FALSE)</f>
        <v>0</v>
      </c>
      <c r="B349" s="265" t="s">
        <v>372</v>
      </c>
      <c r="C349" s="106">
        <v>0.3</v>
      </c>
      <c r="D349" s="6">
        <v>0.61</v>
      </c>
      <c r="E349" s="7">
        <f t="shared" si="291"/>
        <v>0.183</v>
      </c>
      <c r="F349" s="7">
        <f t="shared" ref="F349:F362" si="298">A349*E349</f>
        <v>0</v>
      </c>
      <c r="G349" s="8">
        <f t="shared" si="292"/>
        <v>0</v>
      </c>
      <c r="H349" s="9">
        <f t="shared" ref="H349:H362" si="299">C349</f>
        <v>0.3</v>
      </c>
      <c r="I349" s="10">
        <v>0.61</v>
      </c>
      <c r="J349" s="10">
        <f t="shared" si="293"/>
        <v>0.183</v>
      </c>
      <c r="K349" s="10">
        <f t="shared" ref="K349:K362" si="300">A349*J349</f>
        <v>0</v>
      </c>
      <c r="L349" s="11">
        <f t="shared" si="294"/>
        <v>0</v>
      </c>
      <c r="M349" s="12">
        <f t="shared" si="295"/>
        <v>0.3</v>
      </c>
      <c r="N349" s="13">
        <v>0.55000000000000004</v>
      </c>
      <c r="O349" s="13">
        <f t="shared" si="296"/>
        <v>0.16500000000000001</v>
      </c>
      <c r="P349" s="13">
        <f t="shared" ref="P349:P362" si="301">A349*O349</f>
        <v>0</v>
      </c>
      <c r="Q349" s="14">
        <f t="shared" si="297"/>
        <v>0</v>
      </c>
    </row>
    <row r="350" spans="1:17" ht="15" customHeight="1" x14ac:dyDescent="0.3">
      <c r="A350" s="250">
        <f>VLOOKUP($B350,Reporting!$AM:$BK,MATCH($A$346,Reporting!$AN$4:$BK$4,0)+1,FALSE)</f>
        <v>0</v>
      </c>
      <c r="B350" s="72" t="s">
        <v>389</v>
      </c>
      <c r="C350" s="106">
        <v>0.32</v>
      </c>
      <c r="D350" s="6">
        <v>0.61</v>
      </c>
      <c r="E350" s="7">
        <f t="shared" si="291"/>
        <v>0.19520000000000001</v>
      </c>
      <c r="F350" s="7">
        <f t="shared" si="298"/>
        <v>0</v>
      </c>
      <c r="G350" s="8">
        <f t="shared" si="292"/>
        <v>0</v>
      </c>
      <c r="H350" s="9">
        <f t="shared" si="299"/>
        <v>0.32</v>
      </c>
      <c r="I350" s="10">
        <v>0.61</v>
      </c>
      <c r="J350" s="10">
        <f t="shared" si="293"/>
        <v>0.19520000000000001</v>
      </c>
      <c r="K350" s="10">
        <f t="shared" si="300"/>
        <v>0</v>
      </c>
      <c r="L350" s="11">
        <f t="shared" si="294"/>
        <v>0</v>
      </c>
      <c r="M350" s="12">
        <f t="shared" si="295"/>
        <v>0.32</v>
      </c>
      <c r="N350" s="13">
        <v>0.55000000000000004</v>
      </c>
      <c r="O350" s="13">
        <f t="shared" si="296"/>
        <v>0.17600000000000002</v>
      </c>
      <c r="P350" s="13">
        <f t="shared" si="301"/>
        <v>0</v>
      </c>
      <c r="Q350" s="14">
        <f t="shared" si="297"/>
        <v>0</v>
      </c>
    </row>
    <row r="351" spans="1:17" ht="15" customHeight="1" x14ac:dyDescent="0.3">
      <c r="A351" s="250">
        <f>VLOOKUP($B351,Reporting!$AM:$BK,MATCH($A$346,Reporting!$AN$4:$BK$4,0)+1,FALSE)</f>
        <v>0</v>
      </c>
      <c r="B351" s="265" t="s">
        <v>373</v>
      </c>
      <c r="C351" s="106">
        <v>0.33</v>
      </c>
      <c r="D351" s="6">
        <v>0.61</v>
      </c>
      <c r="E351" s="7">
        <f t="shared" si="291"/>
        <v>0.20130000000000001</v>
      </c>
      <c r="F351" s="7">
        <f t="shared" si="298"/>
        <v>0</v>
      </c>
      <c r="G351" s="8">
        <f t="shared" si="292"/>
        <v>0</v>
      </c>
      <c r="H351" s="9">
        <f t="shared" si="299"/>
        <v>0.33</v>
      </c>
      <c r="I351" s="10">
        <v>0.61</v>
      </c>
      <c r="J351" s="10">
        <f t="shared" si="293"/>
        <v>0.20130000000000001</v>
      </c>
      <c r="K351" s="10">
        <f t="shared" si="300"/>
        <v>0</v>
      </c>
      <c r="L351" s="11">
        <f t="shared" si="294"/>
        <v>0</v>
      </c>
      <c r="M351" s="12">
        <f t="shared" si="295"/>
        <v>0.33</v>
      </c>
      <c r="N351" s="13">
        <v>0.55000000000000004</v>
      </c>
      <c r="O351" s="13">
        <f t="shared" si="296"/>
        <v>0.18150000000000002</v>
      </c>
      <c r="P351" s="13">
        <f t="shared" si="301"/>
        <v>0</v>
      </c>
      <c r="Q351" s="14">
        <f t="shared" si="297"/>
        <v>0</v>
      </c>
    </row>
    <row r="352" spans="1:17" x14ac:dyDescent="0.3">
      <c r="A352" s="250">
        <f>VLOOKUP($B352,Reporting!$AM:$BK,MATCH($A$346,Reporting!$AN$4:$BK$4,0)+1,FALSE)</f>
        <v>0</v>
      </c>
      <c r="B352" s="276" t="s">
        <v>374</v>
      </c>
      <c r="C352" s="107">
        <f>0.69/2</f>
        <v>0.34499999999999997</v>
      </c>
      <c r="D352" s="6">
        <v>0.61</v>
      </c>
      <c r="E352" s="7">
        <f t="shared" si="291"/>
        <v>0.21044999999999997</v>
      </c>
      <c r="F352" s="7">
        <f t="shared" si="298"/>
        <v>0</v>
      </c>
      <c r="G352" s="8">
        <f t="shared" si="292"/>
        <v>0</v>
      </c>
      <c r="H352" s="9">
        <f t="shared" si="299"/>
        <v>0.34499999999999997</v>
      </c>
      <c r="I352" s="10">
        <v>0.61</v>
      </c>
      <c r="J352" s="10">
        <f t="shared" si="293"/>
        <v>0.21044999999999997</v>
      </c>
      <c r="K352" s="10">
        <f t="shared" si="300"/>
        <v>0</v>
      </c>
      <c r="L352" s="11">
        <f t="shared" si="294"/>
        <v>0</v>
      </c>
      <c r="M352" s="12">
        <f t="shared" si="295"/>
        <v>0.34499999999999997</v>
      </c>
      <c r="N352" s="13">
        <v>0.55000000000000004</v>
      </c>
      <c r="O352" s="13">
        <f t="shared" si="296"/>
        <v>0.18975</v>
      </c>
      <c r="P352" s="13">
        <f t="shared" si="301"/>
        <v>0</v>
      </c>
      <c r="Q352" s="14">
        <f t="shared" si="297"/>
        <v>0</v>
      </c>
    </row>
    <row r="353" spans="1:17" x14ac:dyDescent="0.3">
      <c r="A353" s="250">
        <f>VLOOKUP($B353,Reporting!$AM:$BK,MATCH($A$346,Reporting!$AN$4:$BK$4,0)+1,FALSE)</f>
        <v>0</v>
      </c>
      <c r="B353" s="277" t="s">
        <v>390</v>
      </c>
      <c r="C353" s="107">
        <f>0.78/2</f>
        <v>0.39</v>
      </c>
      <c r="D353" s="6">
        <v>0.61</v>
      </c>
      <c r="E353" s="7">
        <f t="shared" si="291"/>
        <v>0.2379</v>
      </c>
      <c r="F353" s="7">
        <f t="shared" si="298"/>
        <v>0</v>
      </c>
      <c r="G353" s="8">
        <f t="shared" si="292"/>
        <v>0</v>
      </c>
      <c r="H353" s="9">
        <f t="shared" si="299"/>
        <v>0.39</v>
      </c>
      <c r="I353" s="10">
        <v>0.61</v>
      </c>
      <c r="J353" s="10">
        <f t="shared" si="293"/>
        <v>0.2379</v>
      </c>
      <c r="K353" s="10">
        <f t="shared" si="300"/>
        <v>0</v>
      </c>
      <c r="L353" s="11">
        <f t="shared" si="294"/>
        <v>0</v>
      </c>
      <c r="M353" s="12">
        <f t="shared" si="295"/>
        <v>0.39</v>
      </c>
      <c r="N353" s="13">
        <v>0.55000000000000004</v>
      </c>
      <c r="O353" s="13">
        <f t="shared" si="296"/>
        <v>0.21450000000000002</v>
      </c>
      <c r="P353" s="13">
        <f t="shared" si="301"/>
        <v>0</v>
      </c>
      <c r="Q353" s="14">
        <f t="shared" si="297"/>
        <v>0</v>
      </c>
    </row>
    <row r="354" spans="1:17" x14ac:dyDescent="0.3">
      <c r="A354" s="250">
        <f>VLOOKUP($B354,Reporting!$AM:$BK,MATCH($A$346,Reporting!$AN$4:$BK$4,0)+1,FALSE)</f>
        <v>0</v>
      </c>
      <c r="B354" s="276" t="s">
        <v>376</v>
      </c>
      <c r="C354" s="107">
        <f>1.16/2</f>
        <v>0.57999999999999996</v>
      </c>
      <c r="D354" s="6">
        <v>0.61</v>
      </c>
      <c r="E354" s="7">
        <f t="shared" si="291"/>
        <v>0.35379999999999995</v>
      </c>
      <c r="F354" s="7">
        <f t="shared" si="298"/>
        <v>0</v>
      </c>
      <c r="G354" s="8">
        <f t="shared" si="292"/>
        <v>0</v>
      </c>
      <c r="H354" s="9">
        <f t="shared" si="299"/>
        <v>0.57999999999999996</v>
      </c>
      <c r="I354" s="10">
        <v>0.61</v>
      </c>
      <c r="J354" s="10">
        <f t="shared" si="293"/>
        <v>0.35379999999999995</v>
      </c>
      <c r="K354" s="10">
        <f t="shared" si="300"/>
        <v>0</v>
      </c>
      <c r="L354" s="11">
        <f t="shared" si="294"/>
        <v>0</v>
      </c>
      <c r="M354" s="12">
        <f t="shared" si="295"/>
        <v>0.57999999999999996</v>
      </c>
      <c r="N354" s="13">
        <v>0.55000000000000004</v>
      </c>
      <c r="O354" s="13">
        <f t="shared" si="296"/>
        <v>0.31900000000000001</v>
      </c>
      <c r="P354" s="13">
        <f t="shared" si="301"/>
        <v>0</v>
      </c>
      <c r="Q354" s="14">
        <f t="shared" si="297"/>
        <v>0</v>
      </c>
    </row>
    <row r="355" spans="1:17" x14ac:dyDescent="0.3">
      <c r="A355" s="250">
        <f>VLOOKUP($B355,Reporting!$AM:$BK,MATCH($A$346,Reporting!$AN$4:$BK$4,0)+1,FALSE)</f>
        <v>0</v>
      </c>
      <c r="B355" s="277" t="s">
        <v>391</v>
      </c>
      <c r="C355" s="107">
        <f>1.16/2</f>
        <v>0.57999999999999996</v>
      </c>
      <c r="D355" s="6">
        <v>0.61</v>
      </c>
      <c r="E355" s="7">
        <f t="shared" si="291"/>
        <v>0.35379999999999995</v>
      </c>
      <c r="F355" s="7">
        <f t="shared" si="298"/>
        <v>0</v>
      </c>
      <c r="G355" s="8">
        <f t="shared" si="292"/>
        <v>0</v>
      </c>
      <c r="H355" s="9">
        <f t="shared" si="299"/>
        <v>0.57999999999999996</v>
      </c>
      <c r="I355" s="10">
        <v>0.61</v>
      </c>
      <c r="J355" s="10">
        <f t="shared" si="293"/>
        <v>0.35379999999999995</v>
      </c>
      <c r="K355" s="10">
        <f t="shared" si="300"/>
        <v>0</v>
      </c>
      <c r="L355" s="11">
        <f t="shared" si="294"/>
        <v>0</v>
      </c>
      <c r="M355" s="12">
        <f t="shared" si="295"/>
        <v>0.57999999999999996</v>
      </c>
      <c r="N355" s="13">
        <v>0.55000000000000004</v>
      </c>
      <c r="O355" s="13">
        <f t="shared" si="296"/>
        <v>0.31900000000000001</v>
      </c>
      <c r="P355" s="13">
        <f t="shared" si="301"/>
        <v>0</v>
      </c>
      <c r="Q355" s="14">
        <f t="shared" si="297"/>
        <v>0</v>
      </c>
    </row>
    <row r="356" spans="1:17" x14ac:dyDescent="0.3">
      <c r="A356" s="250">
        <f>VLOOKUP($B356,Reporting!$AM:$BK,MATCH($A$346,Reporting!$AN$4:$BK$4,0)+1,FALSE)</f>
        <v>0</v>
      </c>
      <c r="B356" s="277" t="s">
        <v>392</v>
      </c>
      <c r="C356" s="107">
        <f>1.52/2</f>
        <v>0.76</v>
      </c>
      <c r="D356" s="6">
        <v>0.61</v>
      </c>
      <c r="E356" s="7">
        <f t="shared" si="291"/>
        <v>0.46360000000000001</v>
      </c>
      <c r="F356" s="7">
        <f t="shared" si="298"/>
        <v>0</v>
      </c>
      <c r="G356" s="8">
        <f t="shared" si="292"/>
        <v>0</v>
      </c>
      <c r="H356" s="9">
        <f t="shared" si="299"/>
        <v>0.76</v>
      </c>
      <c r="I356" s="10">
        <v>0.61</v>
      </c>
      <c r="J356" s="10">
        <f t="shared" si="293"/>
        <v>0.46360000000000001</v>
      </c>
      <c r="K356" s="10">
        <f t="shared" si="300"/>
        <v>0</v>
      </c>
      <c r="L356" s="11">
        <f t="shared" si="294"/>
        <v>0</v>
      </c>
      <c r="M356" s="12">
        <f t="shared" si="295"/>
        <v>0.76</v>
      </c>
      <c r="N356" s="13">
        <v>0.55000000000000004</v>
      </c>
      <c r="O356" s="13">
        <f t="shared" si="296"/>
        <v>0.41800000000000004</v>
      </c>
      <c r="P356" s="13">
        <f t="shared" si="301"/>
        <v>0</v>
      </c>
      <c r="Q356" s="14">
        <f t="shared" si="297"/>
        <v>0</v>
      </c>
    </row>
    <row r="357" spans="1:17" x14ac:dyDescent="0.3">
      <c r="A357" s="250">
        <f>VLOOKUP($B357,Reporting!$AM:$BK,MATCH($A$346,Reporting!$AN$4:$BK$4,0)+1,FALSE)</f>
        <v>0</v>
      </c>
      <c r="B357" s="277" t="s">
        <v>393</v>
      </c>
      <c r="C357" s="107">
        <f>2.27/2</f>
        <v>1.135</v>
      </c>
      <c r="D357" s="6">
        <v>0.61</v>
      </c>
      <c r="E357" s="7">
        <f t="shared" si="291"/>
        <v>0.69235000000000002</v>
      </c>
      <c r="F357" s="7">
        <f t="shared" si="298"/>
        <v>0</v>
      </c>
      <c r="G357" s="8">
        <f t="shared" si="292"/>
        <v>0</v>
      </c>
      <c r="H357" s="9">
        <f t="shared" si="299"/>
        <v>1.135</v>
      </c>
      <c r="I357" s="10">
        <v>0.61</v>
      </c>
      <c r="J357" s="10">
        <f t="shared" si="293"/>
        <v>0.69235000000000002</v>
      </c>
      <c r="K357" s="10">
        <f t="shared" si="300"/>
        <v>0</v>
      </c>
      <c r="L357" s="11">
        <f t="shared" si="294"/>
        <v>0</v>
      </c>
      <c r="M357" s="12">
        <f t="shared" si="295"/>
        <v>1.135</v>
      </c>
      <c r="N357" s="13">
        <v>0.55000000000000004</v>
      </c>
      <c r="O357" s="13">
        <f t="shared" si="296"/>
        <v>0.62425000000000008</v>
      </c>
      <c r="P357" s="13">
        <f t="shared" si="301"/>
        <v>0</v>
      </c>
      <c r="Q357" s="14">
        <f t="shared" si="297"/>
        <v>0</v>
      </c>
    </row>
    <row r="358" spans="1:17" x14ac:dyDescent="0.3">
      <c r="A358" s="250">
        <f>VLOOKUP($B358,Reporting!$AM:$BK,MATCH($A$346,Reporting!$AN$4:$BK$4,0)+1,FALSE)</f>
        <v>0</v>
      </c>
      <c r="B358" s="277" t="s">
        <v>394</v>
      </c>
      <c r="C358" s="107">
        <f>2.27/2</f>
        <v>1.135</v>
      </c>
      <c r="D358" s="6">
        <v>0.61</v>
      </c>
      <c r="E358" s="7">
        <f t="shared" si="291"/>
        <v>0.69235000000000002</v>
      </c>
      <c r="F358" s="7">
        <f t="shared" si="298"/>
        <v>0</v>
      </c>
      <c r="G358" s="8">
        <f t="shared" si="292"/>
        <v>0</v>
      </c>
      <c r="H358" s="9">
        <f t="shared" si="299"/>
        <v>1.135</v>
      </c>
      <c r="I358" s="10">
        <v>0.61</v>
      </c>
      <c r="J358" s="10">
        <f t="shared" si="293"/>
        <v>0.69235000000000002</v>
      </c>
      <c r="K358" s="10">
        <f t="shared" si="300"/>
        <v>0</v>
      </c>
      <c r="L358" s="11">
        <f t="shared" si="294"/>
        <v>0</v>
      </c>
      <c r="M358" s="12">
        <f t="shared" si="295"/>
        <v>1.135</v>
      </c>
      <c r="N358" s="13">
        <v>0.55000000000000004</v>
      </c>
      <c r="O358" s="13">
        <f t="shared" si="296"/>
        <v>0.62425000000000008</v>
      </c>
      <c r="P358" s="13">
        <f t="shared" si="301"/>
        <v>0</v>
      </c>
      <c r="Q358" s="14">
        <f t="shared" si="297"/>
        <v>0</v>
      </c>
    </row>
    <row r="359" spans="1:17" x14ac:dyDescent="0.3">
      <c r="A359" s="250">
        <f>VLOOKUP($B359,Reporting!$AM:$BK,MATCH($A$346,Reporting!$AN$4:$BK$4,0)+1,FALSE)</f>
        <v>0</v>
      </c>
      <c r="B359" s="277" t="s">
        <v>395</v>
      </c>
      <c r="C359" s="107">
        <f>3.01/2</f>
        <v>1.5049999999999999</v>
      </c>
      <c r="D359" s="6">
        <v>0.61</v>
      </c>
      <c r="E359" s="7">
        <f t="shared" si="291"/>
        <v>0.91804999999999992</v>
      </c>
      <c r="F359" s="7">
        <f t="shared" si="298"/>
        <v>0</v>
      </c>
      <c r="G359" s="8">
        <f t="shared" si="292"/>
        <v>0</v>
      </c>
      <c r="H359" s="9">
        <f t="shared" si="299"/>
        <v>1.5049999999999999</v>
      </c>
      <c r="I359" s="10">
        <v>0.61</v>
      </c>
      <c r="J359" s="10">
        <f t="shared" si="293"/>
        <v>0.91804999999999992</v>
      </c>
      <c r="K359" s="10">
        <f t="shared" si="300"/>
        <v>0</v>
      </c>
      <c r="L359" s="11">
        <f t="shared" si="294"/>
        <v>0</v>
      </c>
      <c r="M359" s="12">
        <f t="shared" si="295"/>
        <v>1.5049999999999999</v>
      </c>
      <c r="N359" s="13">
        <v>0.55000000000000004</v>
      </c>
      <c r="O359" s="13">
        <f t="shared" si="296"/>
        <v>0.82774999999999999</v>
      </c>
      <c r="P359" s="13">
        <f t="shared" si="301"/>
        <v>0</v>
      </c>
      <c r="Q359" s="14">
        <f t="shared" si="297"/>
        <v>0</v>
      </c>
    </row>
    <row r="360" spans="1:17" x14ac:dyDescent="0.3">
      <c r="A360" s="250">
        <f>VLOOKUP($B360,Reporting!$AM:$BK,MATCH($A$346,Reporting!$AN$4:$BK$4,0)+1,FALSE)</f>
        <v>0</v>
      </c>
      <c r="B360" s="277" t="s">
        <v>396</v>
      </c>
      <c r="C360" s="107">
        <v>1.63</v>
      </c>
      <c r="D360" s="6">
        <v>0.61</v>
      </c>
      <c r="E360" s="7">
        <f t="shared" si="291"/>
        <v>0.99429999999999996</v>
      </c>
      <c r="F360" s="7">
        <f t="shared" si="298"/>
        <v>0</v>
      </c>
      <c r="G360" s="8">
        <f t="shared" si="292"/>
        <v>0</v>
      </c>
      <c r="H360" s="9">
        <f t="shared" si="299"/>
        <v>1.63</v>
      </c>
      <c r="I360" s="10">
        <v>0.61</v>
      </c>
      <c r="J360" s="10">
        <f t="shared" si="293"/>
        <v>0.99429999999999996</v>
      </c>
      <c r="K360" s="10">
        <f t="shared" si="300"/>
        <v>0</v>
      </c>
      <c r="L360" s="11">
        <f t="shared" si="294"/>
        <v>0</v>
      </c>
      <c r="M360" s="12">
        <f t="shared" si="295"/>
        <v>1.63</v>
      </c>
      <c r="N360" s="13">
        <v>0.55000000000000004</v>
      </c>
      <c r="O360" s="13">
        <f t="shared" si="296"/>
        <v>0.89649999999999996</v>
      </c>
      <c r="P360" s="13">
        <f t="shared" si="301"/>
        <v>0</v>
      </c>
      <c r="Q360" s="14">
        <f t="shared" si="297"/>
        <v>0</v>
      </c>
    </row>
    <row r="361" spans="1:17" x14ac:dyDescent="0.3">
      <c r="A361" s="250">
        <f>VLOOKUP($B361,Reporting!$AM:$BK,MATCH($A$346,Reporting!$AN$4:$BK$4,0)+1,FALSE)</f>
        <v>0</v>
      </c>
      <c r="B361" s="277" t="s">
        <v>397</v>
      </c>
      <c r="C361" s="107">
        <v>1.98</v>
      </c>
      <c r="D361" s="6">
        <v>0.61</v>
      </c>
      <c r="E361" s="7">
        <f t="shared" si="291"/>
        <v>1.2078</v>
      </c>
      <c r="F361" s="7">
        <f t="shared" si="298"/>
        <v>0</v>
      </c>
      <c r="G361" s="8">
        <f t="shared" si="292"/>
        <v>0</v>
      </c>
      <c r="H361" s="9">
        <f t="shared" si="299"/>
        <v>1.98</v>
      </c>
      <c r="I361" s="10">
        <v>0.61</v>
      </c>
      <c r="J361" s="10">
        <f t="shared" si="293"/>
        <v>1.2078</v>
      </c>
      <c r="K361" s="10">
        <f t="shared" si="300"/>
        <v>0</v>
      </c>
      <c r="L361" s="11">
        <f t="shared" si="294"/>
        <v>0</v>
      </c>
      <c r="M361" s="12">
        <f t="shared" si="295"/>
        <v>1.98</v>
      </c>
      <c r="N361" s="13">
        <v>0.55000000000000004</v>
      </c>
      <c r="O361" s="13">
        <f t="shared" si="296"/>
        <v>1.089</v>
      </c>
      <c r="P361" s="13">
        <f t="shared" si="301"/>
        <v>0</v>
      </c>
      <c r="Q361" s="14">
        <f t="shared" si="297"/>
        <v>0</v>
      </c>
    </row>
    <row r="362" spans="1:17" x14ac:dyDescent="0.3">
      <c r="A362" s="250">
        <f>VLOOKUP($B362,Reporting!$AM:$BK,MATCH($A$346,Reporting!$AN$4:$BK$4,0)+1,FALSE)</f>
        <v>0</v>
      </c>
      <c r="B362" s="277" t="s">
        <v>398</v>
      </c>
      <c r="C362" s="107">
        <v>2.33</v>
      </c>
      <c r="D362" s="6">
        <v>0.61</v>
      </c>
      <c r="E362" s="7">
        <f t="shared" si="291"/>
        <v>1.4213</v>
      </c>
      <c r="F362" s="7">
        <f t="shared" si="298"/>
        <v>0</v>
      </c>
      <c r="G362" s="8">
        <f t="shared" si="292"/>
        <v>0</v>
      </c>
      <c r="H362" s="9">
        <f t="shared" si="299"/>
        <v>2.33</v>
      </c>
      <c r="I362" s="10">
        <v>0.61</v>
      </c>
      <c r="J362" s="10">
        <f t="shared" si="293"/>
        <v>1.4213</v>
      </c>
      <c r="K362" s="10">
        <f t="shared" si="300"/>
        <v>0</v>
      </c>
      <c r="L362" s="11">
        <f t="shared" si="294"/>
        <v>0</v>
      </c>
      <c r="M362" s="12">
        <f t="shared" si="295"/>
        <v>2.33</v>
      </c>
      <c r="N362" s="13">
        <v>0.55000000000000004</v>
      </c>
      <c r="O362" s="13">
        <f t="shared" si="296"/>
        <v>1.2815000000000001</v>
      </c>
      <c r="P362" s="13">
        <f t="shared" si="301"/>
        <v>0</v>
      </c>
      <c r="Q362" s="14">
        <f t="shared" si="297"/>
        <v>0</v>
      </c>
    </row>
    <row r="363" spans="1:17" ht="15" thickBot="1" x14ac:dyDescent="0.35">
      <c r="A363" s="73">
        <f>SUM(A348:A362)</f>
        <v>0</v>
      </c>
      <c r="B363" s="278"/>
      <c r="C363" s="74"/>
      <c r="D363" s="644" t="s">
        <v>9</v>
      </c>
      <c r="E363" s="645"/>
      <c r="F363" s="645"/>
      <c r="G363" s="16">
        <f>SUM(G348:G362)</f>
        <v>0</v>
      </c>
      <c r="H363" s="1"/>
      <c r="I363" s="646" t="s">
        <v>10</v>
      </c>
      <c r="J363" s="646"/>
      <c r="K363" s="646"/>
      <c r="L363" s="17">
        <f>SUM(L348:L362)</f>
        <v>0</v>
      </c>
      <c r="M363" s="15"/>
      <c r="N363" s="647" t="s">
        <v>11</v>
      </c>
      <c r="O363" s="647"/>
      <c r="P363" s="647"/>
      <c r="Q363" s="18">
        <f>SUM(Q348:Q362)</f>
        <v>0</v>
      </c>
    </row>
    <row r="364" spans="1:17" ht="15" thickBot="1" x14ac:dyDescent="0.35"/>
    <row r="365" spans="1:17" ht="15" customHeight="1" x14ac:dyDescent="0.3">
      <c r="A365" s="656" t="s">
        <v>33</v>
      </c>
      <c r="B365" s="656"/>
      <c r="C365" s="656"/>
      <c r="D365" s="656"/>
      <c r="E365" s="656"/>
      <c r="F365" s="660" t="s">
        <v>104</v>
      </c>
      <c r="G365" s="660"/>
      <c r="H365" s="660"/>
      <c r="I365" s="660"/>
      <c r="J365" s="66"/>
      <c r="K365" s="66"/>
      <c r="L365" s="66"/>
      <c r="M365" s="66"/>
      <c r="N365" s="66"/>
      <c r="O365" s="66"/>
      <c r="P365" s="66"/>
      <c r="Q365" s="67"/>
    </row>
    <row r="366" spans="1:17" ht="15" customHeight="1" x14ac:dyDescent="0.3">
      <c r="A366" s="657"/>
      <c r="B366" s="657"/>
      <c r="C366" s="657"/>
      <c r="D366" s="657"/>
      <c r="E366" s="657"/>
      <c r="F366" s="661"/>
      <c r="G366" s="661"/>
      <c r="H366" s="661"/>
      <c r="I366" s="661"/>
      <c r="J366" s="68"/>
      <c r="K366" s="68"/>
      <c r="L366" s="68"/>
      <c r="M366" s="68"/>
      <c r="N366" s="68"/>
      <c r="O366" s="68"/>
      <c r="P366" s="68"/>
      <c r="Q366" s="69"/>
    </row>
    <row r="367" spans="1:17" ht="15" customHeight="1" x14ac:dyDescent="0.3">
      <c r="A367" s="129"/>
      <c r="B367" s="70" t="s">
        <v>20</v>
      </c>
      <c r="C367" s="113">
        <v>0.61599999999999999</v>
      </c>
      <c r="D367" s="6">
        <v>0.61</v>
      </c>
      <c r="E367" s="7">
        <f t="shared" ref="E367:E376" si="302">C367*D367</f>
        <v>0.37575999999999998</v>
      </c>
      <c r="F367" s="7">
        <f>A367*E367</f>
        <v>0</v>
      </c>
      <c r="G367" s="8">
        <f t="shared" ref="G367:G376" si="303">F367/8</f>
        <v>0</v>
      </c>
      <c r="H367" s="9">
        <f>C367</f>
        <v>0.61599999999999999</v>
      </c>
      <c r="I367" s="10">
        <v>0.61</v>
      </c>
      <c r="J367" s="10">
        <f t="shared" ref="J367:J376" si="304">H367*I367</f>
        <v>0.37575999999999998</v>
      </c>
      <c r="K367" s="10">
        <f>A367*J367</f>
        <v>0</v>
      </c>
      <c r="L367" s="11">
        <f t="shared" ref="L367:L376" si="305">K367/8</f>
        <v>0</v>
      </c>
      <c r="M367" s="12">
        <f t="shared" ref="M367:M376" si="306">H367</f>
        <v>0.61599999999999999</v>
      </c>
      <c r="N367" s="13">
        <v>0.25</v>
      </c>
      <c r="O367" s="13">
        <f t="shared" ref="O367:O376" si="307">M367*N367</f>
        <v>0.154</v>
      </c>
      <c r="P367" s="13">
        <f>A367*O367</f>
        <v>0</v>
      </c>
      <c r="Q367" s="14">
        <f t="shared" ref="Q367:Q376" si="308">P367/8</f>
        <v>0</v>
      </c>
    </row>
    <row r="368" spans="1:17" ht="15" customHeight="1" x14ac:dyDescent="0.3">
      <c r="A368" s="129"/>
      <c r="B368" s="70" t="s">
        <v>44</v>
      </c>
      <c r="C368" s="113">
        <v>1.57</v>
      </c>
      <c r="D368" s="6">
        <v>0.61</v>
      </c>
      <c r="E368" s="7">
        <f t="shared" si="302"/>
        <v>0.9577</v>
      </c>
      <c r="F368" s="7">
        <f t="shared" ref="F368:F376" si="309">A368*E368</f>
        <v>0</v>
      </c>
      <c r="G368" s="8">
        <f t="shared" si="303"/>
        <v>0</v>
      </c>
      <c r="H368" s="9">
        <f t="shared" ref="H368:H376" si="310">C368</f>
        <v>1.57</v>
      </c>
      <c r="I368" s="10">
        <v>0.61</v>
      </c>
      <c r="J368" s="10">
        <f t="shared" si="304"/>
        <v>0.9577</v>
      </c>
      <c r="K368" s="10">
        <f t="shared" ref="K368:K376" si="311">A368*J368</f>
        <v>0</v>
      </c>
      <c r="L368" s="11">
        <f t="shared" si="305"/>
        <v>0</v>
      </c>
      <c r="M368" s="12">
        <f t="shared" si="306"/>
        <v>1.57</v>
      </c>
      <c r="N368" s="13">
        <v>0.4</v>
      </c>
      <c r="O368" s="13">
        <f t="shared" si="307"/>
        <v>0.62800000000000011</v>
      </c>
      <c r="P368" s="13">
        <f t="shared" ref="P368:P376" si="312">A368*O368</f>
        <v>0</v>
      </c>
      <c r="Q368" s="14">
        <f t="shared" si="308"/>
        <v>0</v>
      </c>
    </row>
    <row r="369" spans="1:17" ht="15" customHeight="1" x14ac:dyDescent="0.3">
      <c r="A369" s="129"/>
      <c r="B369" s="70" t="s">
        <v>45</v>
      </c>
      <c r="C369" s="113">
        <v>1.2</v>
      </c>
      <c r="D369" s="6">
        <v>0.61</v>
      </c>
      <c r="E369" s="7">
        <f t="shared" si="302"/>
        <v>0.73199999999999998</v>
      </c>
      <c r="F369" s="7">
        <f t="shared" si="309"/>
        <v>0</v>
      </c>
      <c r="G369" s="8">
        <f t="shared" si="303"/>
        <v>0</v>
      </c>
      <c r="H369" s="9">
        <f t="shared" si="310"/>
        <v>1.2</v>
      </c>
      <c r="I369" s="10">
        <v>0.61</v>
      </c>
      <c r="J369" s="10">
        <f t="shared" si="304"/>
        <v>0.73199999999999998</v>
      </c>
      <c r="K369" s="10">
        <f t="shared" si="311"/>
        <v>0</v>
      </c>
      <c r="L369" s="11">
        <f t="shared" si="305"/>
        <v>0</v>
      </c>
      <c r="M369" s="12">
        <f t="shared" si="306"/>
        <v>1.2</v>
      </c>
      <c r="N369" s="13">
        <v>0.4</v>
      </c>
      <c r="O369" s="13">
        <f t="shared" si="307"/>
        <v>0.48</v>
      </c>
      <c r="P369" s="13">
        <f t="shared" si="312"/>
        <v>0</v>
      </c>
      <c r="Q369" s="14">
        <f t="shared" si="308"/>
        <v>0</v>
      </c>
    </row>
    <row r="370" spans="1:17" ht="15" customHeight="1" x14ac:dyDescent="0.3">
      <c r="A370" s="129"/>
      <c r="B370" s="70" t="s">
        <v>46</v>
      </c>
      <c r="C370" s="113">
        <v>1.94</v>
      </c>
      <c r="D370" s="6">
        <v>0.61</v>
      </c>
      <c r="E370" s="7">
        <f t="shared" si="302"/>
        <v>1.1834</v>
      </c>
      <c r="F370" s="7">
        <f t="shared" si="309"/>
        <v>0</v>
      </c>
      <c r="G370" s="8">
        <f t="shared" si="303"/>
        <v>0</v>
      </c>
      <c r="H370" s="9">
        <f t="shared" si="310"/>
        <v>1.94</v>
      </c>
      <c r="I370" s="10">
        <v>0.61</v>
      </c>
      <c r="J370" s="10">
        <f t="shared" si="304"/>
        <v>1.1834</v>
      </c>
      <c r="K370" s="10">
        <f t="shared" si="311"/>
        <v>0</v>
      </c>
      <c r="L370" s="11">
        <f t="shared" si="305"/>
        <v>0</v>
      </c>
      <c r="M370" s="12">
        <f t="shared" si="306"/>
        <v>1.94</v>
      </c>
      <c r="N370" s="13">
        <v>0.4</v>
      </c>
      <c r="O370" s="13">
        <f t="shared" si="307"/>
        <v>0.77600000000000002</v>
      </c>
      <c r="P370" s="13">
        <f t="shared" si="312"/>
        <v>0</v>
      </c>
      <c r="Q370" s="14">
        <f t="shared" si="308"/>
        <v>0</v>
      </c>
    </row>
    <row r="371" spans="1:17" x14ac:dyDescent="0.3">
      <c r="A371" s="129"/>
      <c r="B371" s="70" t="s">
        <v>47</v>
      </c>
      <c r="C371" s="109">
        <v>1.57</v>
      </c>
      <c r="D371" s="6">
        <v>0.61</v>
      </c>
      <c r="E371" s="7">
        <f t="shared" si="302"/>
        <v>0.9577</v>
      </c>
      <c r="F371" s="7">
        <f t="shared" si="309"/>
        <v>0</v>
      </c>
      <c r="G371" s="8">
        <f t="shared" si="303"/>
        <v>0</v>
      </c>
      <c r="H371" s="9">
        <f t="shared" si="310"/>
        <v>1.57</v>
      </c>
      <c r="I371" s="10">
        <v>0.61</v>
      </c>
      <c r="J371" s="10">
        <f t="shared" si="304"/>
        <v>0.9577</v>
      </c>
      <c r="K371" s="10">
        <f t="shared" si="311"/>
        <v>0</v>
      </c>
      <c r="L371" s="11">
        <f t="shared" si="305"/>
        <v>0</v>
      </c>
      <c r="M371" s="12">
        <f t="shared" si="306"/>
        <v>1.57</v>
      </c>
      <c r="N371" s="13">
        <v>0.4</v>
      </c>
      <c r="O371" s="13">
        <f t="shared" si="307"/>
        <v>0.62800000000000011</v>
      </c>
      <c r="P371" s="13">
        <f t="shared" si="312"/>
        <v>0</v>
      </c>
      <c r="Q371" s="14">
        <f t="shared" si="308"/>
        <v>0</v>
      </c>
    </row>
    <row r="372" spans="1:17" x14ac:dyDescent="0.3">
      <c r="A372" s="130"/>
      <c r="B372" s="71" t="s">
        <v>370</v>
      </c>
      <c r="C372" s="109">
        <v>0.9</v>
      </c>
      <c r="D372" s="6">
        <v>0.61</v>
      </c>
      <c r="E372" s="7">
        <f t="shared" si="302"/>
        <v>0.54900000000000004</v>
      </c>
      <c r="F372" s="7">
        <f t="shared" si="309"/>
        <v>0</v>
      </c>
      <c r="G372" s="8">
        <f t="shared" si="303"/>
        <v>0</v>
      </c>
      <c r="H372" s="9">
        <f t="shared" si="310"/>
        <v>0.9</v>
      </c>
      <c r="I372" s="10">
        <v>0.61</v>
      </c>
      <c r="J372" s="10">
        <f t="shared" si="304"/>
        <v>0.54900000000000004</v>
      </c>
      <c r="K372" s="10">
        <f t="shared" si="311"/>
        <v>0</v>
      </c>
      <c r="L372" s="11">
        <f t="shared" si="305"/>
        <v>0</v>
      </c>
      <c r="M372" s="12">
        <f t="shared" si="306"/>
        <v>0.9</v>
      </c>
      <c r="N372" s="13">
        <v>0.4</v>
      </c>
      <c r="O372" s="13">
        <f t="shared" si="307"/>
        <v>0.36000000000000004</v>
      </c>
      <c r="P372" s="13">
        <f t="shared" si="312"/>
        <v>0</v>
      </c>
      <c r="Q372" s="14">
        <f t="shared" si="308"/>
        <v>0</v>
      </c>
    </row>
    <row r="373" spans="1:17" x14ac:dyDescent="0.3">
      <c r="A373" s="130"/>
      <c r="B373" s="71" t="s">
        <v>49</v>
      </c>
      <c r="C373" s="109">
        <f>1.2/1.2</f>
        <v>1</v>
      </c>
      <c r="D373" s="6">
        <v>0.61</v>
      </c>
      <c r="E373" s="7">
        <f t="shared" si="302"/>
        <v>0.61</v>
      </c>
      <c r="F373" s="7">
        <f t="shared" si="309"/>
        <v>0</v>
      </c>
      <c r="G373" s="8">
        <f t="shared" si="303"/>
        <v>0</v>
      </c>
      <c r="H373" s="9">
        <f t="shared" si="310"/>
        <v>1</v>
      </c>
      <c r="I373" s="10">
        <v>0.61</v>
      </c>
      <c r="J373" s="10">
        <f t="shared" si="304"/>
        <v>0.61</v>
      </c>
      <c r="K373" s="10">
        <f t="shared" si="311"/>
        <v>0</v>
      </c>
      <c r="L373" s="11">
        <f t="shared" si="305"/>
        <v>0</v>
      </c>
      <c r="M373" s="12">
        <f t="shared" si="306"/>
        <v>1</v>
      </c>
      <c r="N373" s="13">
        <v>0.4</v>
      </c>
      <c r="O373" s="13">
        <f t="shared" si="307"/>
        <v>0.4</v>
      </c>
      <c r="P373" s="13">
        <f t="shared" si="312"/>
        <v>0</v>
      </c>
      <c r="Q373" s="14">
        <f t="shared" si="308"/>
        <v>0</v>
      </c>
    </row>
    <row r="374" spans="1:17" x14ac:dyDescent="0.3">
      <c r="A374" s="130"/>
      <c r="B374" s="83" t="s">
        <v>125</v>
      </c>
      <c r="C374" s="109">
        <v>0.65</v>
      </c>
      <c r="D374" s="6">
        <v>0.61</v>
      </c>
      <c r="E374" s="7">
        <f t="shared" si="302"/>
        <v>0.39650000000000002</v>
      </c>
      <c r="F374" s="7">
        <f t="shared" si="309"/>
        <v>0</v>
      </c>
      <c r="G374" s="8">
        <f t="shared" si="303"/>
        <v>0</v>
      </c>
      <c r="H374" s="9">
        <f t="shared" si="310"/>
        <v>0.65</v>
      </c>
      <c r="I374" s="10">
        <v>0.61</v>
      </c>
      <c r="J374" s="10">
        <f t="shared" si="304"/>
        <v>0.39650000000000002</v>
      </c>
      <c r="K374" s="10">
        <f t="shared" si="311"/>
        <v>0</v>
      </c>
      <c r="L374" s="11">
        <f t="shared" si="305"/>
        <v>0</v>
      </c>
      <c r="M374" s="12">
        <f t="shared" si="306"/>
        <v>0.65</v>
      </c>
      <c r="N374" s="13">
        <v>0.4</v>
      </c>
      <c r="O374" s="13">
        <f t="shared" si="307"/>
        <v>0.26</v>
      </c>
      <c r="P374" s="13">
        <f t="shared" si="312"/>
        <v>0</v>
      </c>
      <c r="Q374" s="14">
        <f t="shared" si="308"/>
        <v>0</v>
      </c>
    </row>
    <row r="375" spans="1:17" x14ac:dyDescent="0.3">
      <c r="A375" s="130"/>
      <c r="B375" s="71" t="s">
        <v>50</v>
      </c>
      <c r="C375" s="109">
        <v>1.2</v>
      </c>
      <c r="D375" s="6">
        <v>0.61</v>
      </c>
      <c r="E375" s="7">
        <f t="shared" si="302"/>
        <v>0.73199999999999998</v>
      </c>
      <c r="F375" s="7">
        <f t="shared" si="309"/>
        <v>0</v>
      </c>
      <c r="G375" s="8">
        <f t="shared" si="303"/>
        <v>0</v>
      </c>
      <c r="H375" s="9">
        <f t="shared" si="310"/>
        <v>1.2</v>
      </c>
      <c r="I375" s="10">
        <v>0.61</v>
      </c>
      <c r="J375" s="10">
        <f t="shared" si="304"/>
        <v>0.73199999999999998</v>
      </c>
      <c r="K375" s="10">
        <f t="shared" si="311"/>
        <v>0</v>
      </c>
      <c r="L375" s="11">
        <f t="shared" si="305"/>
        <v>0</v>
      </c>
      <c r="M375" s="12">
        <f t="shared" si="306"/>
        <v>1.2</v>
      </c>
      <c r="N375" s="13">
        <v>0.4</v>
      </c>
      <c r="O375" s="13">
        <f t="shared" si="307"/>
        <v>0.48</v>
      </c>
      <c r="P375" s="13">
        <f t="shared" si="312"/>
        <v>0</v>
      </c>
      <c r="Q375" s="14">
        <f t="shared" si="308"/>
        <v>0</v>
      </c>
    </row>
    <row r="376" spans="1:17" x14ac:dyDescent="0.3">
      <c r="A376" s="130"/>
      <c r="B376" s="83" t="s">
        <v>127</v>
      </c>
      <c r="C376" s="109">
        <v>0.06</v>
      </c>
      <c r="D376" s="6">
        <v>0.61</v>
      </c>
      <c r="E376" s="7">
        <f t="shared" si="302"/>
        <v>3.6600000000000001E-2</v>
      </c>
      <c r="F376" s="7">
        <f t="shared" si="309"/>
        <v>0</v>
      </c>
      <c r="G376" s="8">
        <f t="shared" si="303"/>
        <v>0</v>
      </c>
      <c r="H376" s="9">
        <f t="shared" si="310"/>
        <v>0.06</v>
      </c>
      <c r="I376" s="10">
        <v>0.61</v>
      </c>
      <c r="J376" s="10">
        <f t="shared" si="304"/>
        <v>3.6600000000000001E-2</v>
      </c>
      <c r="K376" s="10">
        <f t="shared" si="311"/>
        <v>0</v>
      </c>
      <c r="L376" s="11">
        <f t="shared" si="305"/>
        <v>0</v>
      </c>
      <c r="M376" s="12">
        <f t="shared" si="306"/>
        <v>0.06</v>
      </c>
      <c r="N376" s="13">
        <v>0.4</v>
      </c>
      <c r="O376" s="13">
        <f t="shared" si="307"/>
        <v>2.4E-2</v>
      </c>
      <c r="P376" s="13">
        <f t="shared" si="312"/>
        <v>0</v>
      </c>
      <c r="Q376" s="14">
        <f t="shared" si="308"/>
        <v>0</v>
      </c>
    </row>
    <row r="377" spans="1:17" ht="15" thickBot="1" x14ac:dyDescent="0.35">
      <c r="A377" s="64">
        <f>SUM(A363)</f>
        <v>0</v>
      </c>
      <c r="B377" s="279"/>
      <c r="C377" s="65"/>
      <c r="D377" s="644" t="s">
        <v>9</v>
      </c>
      <c r="E377" s="645"/>
      <c r="F377" s="645"/>
      <c r="G377" s="16">
        <f>SUM(G367:G376)</f>
        <v>0</v>
      </c>
      <c r="H377" s="1"/>
      <c r="I377" s="646" t="s">
        <v>10</v>
      </c>
      <c r="J377" s="646"/>
      <c r="K377" s="646"/>
      <c r="L377" s="17">
        <f>SUM(L367:L376)</f>
        <v>0</v>
      </c>
      <c r="M377" s="15"/>
      <c r="N377" s="647" t="s">
        <v>11</v>
      </c>
      <c r="O377" s="647"/>
      <c r="P377" s="647"/>
      <c r="Q377" s="18">
        <f>SUM(Q367:Q376)</f>
        <v>0</v>
      </c>
    </row>
  </sheetData>
  <sheetProtection algorithmName="SHA-512" hashValue="y5Y/6P92Kse8LB58jeJgNo6X9Z2sogkjQjgdhyTsN3tCvnGeu7Z+0IGgv9Gf7lo5d1qQofqvtCkPKlkspw3EmQ==" saltValue="GIeEn1gFaJ+1xjwFPNJ4FA==" spinCount="100000" sheet="1" objects="1" scenarios="1"/>
  <mergeCells count="154">
    <mergeCell ref="D278:F278"/>
    <mergeCell ref="I278:K278"/>
    <mergeCell ref="N278:P278"/>
    <mergeCell ref="S278:U279"/>
    <mergeCell ref="W277:Y277"/>
    <mergeCell ref="W278:Y279"/>
    <mergeCell ref="W317:Y317"/>
    <mergeCell ref="W318:Y320"/>
    <mergeCell ref="D304:F304"/>
    <mergeCell ref="I304:K304"/>
    <mergeCell ref="N304:P304"/>
    <mergeCell ref="D291:F291"/>
    <mergeCell ref="I291:K291"/>
    <mergeCell ref="N291:P291"/>
    <mergeCell ref="A293:G294"/>
    <mergeCell ref="J293:M294"/>
    <mergeCell ref="A306:C307"/>
    <mergeCell ref="D318:F318"/>
    <mergeCell ref="I318:K318"/>
    <mergeCell ref="N318:P318"/>
    <mergeCell ref="D306:G307"/>
    <mergeCell ref="A280:M281"/>
    <mergeCell ref="N280:Q281"/>
    <mergeCell ref="S317:U317"/>
    <mergeCell ref="W150:Y150"/>
    <mergeCell ref="W151:Y152"/>
    <mergeCell ref="A181:M182"/>
    <mergeCell ref="N181:P182"/>
    <mergeCell ref="D192:F192"/>
    <mergeCell ref="I192:K192"/>
    <mergeCell ref="N192:P192"/>
    <mergeCell ref="I210:K211"/>
    <mergeCell ref="S277:U277"/>
    <mergeCell ref="H266:K267"/>
    <mergeCell ref="A239:G240"/>
    <mergeCell ref="N221:P221"/>
    <mergeCell ref="S318:U320"/>
    <mergeCell ref="S61:U61"/>
    <mergeCell ref="S62:U64"/>
    <mergeCell ref="S207:U207"/>
    <mergeCell ref="S208:U210"/>
    <mergeCell ref="E320:G321"/>
    <mergeCell ref="A320:D321"/>
    <mergeCell ref="D99:F99"/>
    <mergeCell ref="I99:K99"/>
    <mergeCell ref="N99:P99"/>
    <mergeCell ref="D119:F119"/>
    <mergeCell ref="I119:K119"/>
    <mergeCell ref="N119:P119"/>
    <mergeCell ref="N101:P102"/>
    <mergeCell ref="A101:M102"/>
    <mergeCell ref="A121:E122"/>
    <mergeCell ref="S150:U150"/>
    <mergeCell ref="S151:U152"/>
    <mergeCell ref="D153:F153"/>
    <mergeCell ref="I153:K153"/>
    <mergeCell ref="N153:P153"/>
    <mergeCell ref="I136:K136"/>
    <mergeCell ref="N136:P136"/>
    <mergeCell ref="A266:G267"/>
    <mergeCell ref="AA2:AC2"/>
    <mergeCell ref="W3:X3"/>
    <mergeCell ref="AA3:AB3"/>
    <mergeCell ref="A1:C2"/>
    <mergeCell ref="D2:G2"/>
    <mergeCell ref="H2:L2"/>
    <mergeCell ref="M2:Q2"/>
    <mergeCell ref="S2:U2"/>
    <mergeCell ref="S3:T3"/>
    <mergeCell ref="W2:Y2"/>
    <mergeCell ref="H5:K6"/>
    <mergeCell ref="A5:D6"/>
    <mergeCell ref="J73:M74"/>
    <mergeCell ref="A73:F74"/>
    <mergeCell ref="H88:J89"/>
    <mergeCell ref="A88:F89"/>
    <mergeCell ref="A49:M50"/>
    <mergeCell ref="W207:Y207"/>
    <mergeCell ref="W208:Y210"/>
    <mergeCell ref="A168:F169"/>
    <mergeCell ref="H168:J169"/>
    <mergeCell ref="A155:F156"/>
    <mergeCell ref="D27:F27"/>
    <mergeCell ref="I27:K27"/>
    <mergeCell ref="N27:P27"/>
    <mergeCell ref="D208:F208"/>
    <mergeCell ref="I208:K208"/>
    <mergeCell ref="N208:P208"/>
    <mergeCell ref="D86:F86"/>
    <mergeCell ref="N49:Q50"/>
    <mergeCell ref="J155:M156"/>
    <mergeCell ref="D166:F166"/>
    <mergeCell ref="I166:K166"/>
    <mergeCell ref="N166:P166"/>
    <mergeCell ref="D377:F377"/>
    <mergeCell ref="I377:K377"/>
    <mergeCell ref="N377:P377"/>
    <mergeCell ref="A333:C334"/>
    <mergeCell ref="D344:F344"/>
    <mergeCell ref="I344:K344"/>
    <mergeCell ref="N344:P344"/>
    <mergeCell ref="A346:C347"/>
    <mergeCell ref="D363:F363"/>
    <mergeCell ref="I363:K363"/>
    <mergeCell ref="N363:P363"/>
    <mergeCell ref="A365:E366"/>
    <mergeCell ref="F365:I366"/>
    <mergeCell ref="D333:G334"/>
    <mergeCell ref="D346:I347"/>
    <mergeCell ref="N86:P86"/>
    <mergeCell ref="D71:F71"/>
    <mergeCell ref="I71:K71"/>
    <mergeCell ref="N71:P71"/>
    <mergeCell ref="I86:K86"/>
    <mergeCell ref="D221:F221"/>
    <mergeCell ref="I221:K221"/>
    <mergeCell ref="D252:F252"/>
    <mergeCell ref="I252:K252"/>
    <mergeCell ref="A138:M139"/>
    <mergeCell ref="J239:M240"/>
    <mergeCell ref="A210:F211"/>
    <mergeCell ref="W61:Y61"/>
    <mergeCell ref="W62:Y64"/>
    <mergeCell ref="F121:H122"/>
    <mergeCell ref="D136:F136"/>
    <mergeCell ref="D331:F331"/>
    <mergeCell ref="I331:K331"/>
    <mergeCell ref="N223:Q224"/>
    <mergeCell ref="D237:F237"/>
    <mergeCell ref="I237:K237"/>
    <mergeCell ref="N237:P237"/>
    <mergeCell ref="A223:M224"/>
    <mergeCell ref="N252:P252"/>
    <mergeCell ref="A254:M255"/>
    <mergeCell ref="D264:F264"/>
    <mergeCell ref="I264:K264"/>
    <mergeCell ref="N264:P264"/>
    <mergeCell ref="O254:Q255"/>
    <mergeCell ref="N331:P331"/>
    <mergeCell ref="N138:Q139"/>
    <mergeCell ref="D179:F179"/>
    <mergeCell ref="I179:K179"/>
    <mergeCell ref="N179:P179"/>
    <mergeCell ref="H194:K195"/>
    <mergeCell ref="A194:G195"/>
    <mergeCell ref="A29:D30"/>
    <mergeCell ref="D47:F47"/>
    <mergeCell ref="I47:K47"/>
    <mergeCell ref="N47:P47"/>
    <mergeCell ref="E29:Q30"/>
    <mergeCell ref="S37:U37"/>
    <mergeCell ref="W37:Y37"/>
    <mergeCell ref="S38:U40"/>
    <mergeCell ref="W38:Y40"/>
  </mergeCells>
  <printOptions horizontalCentered="1"/>
  <pageMargins left="0.25" right="0.25" top="0.4" bottom="0.3" header="0.3" footer="0.25"/>
  <pageSetup scale="64" fitToHeight="0" orientation="portrait" r:id="rId1"/>
  <headerFooter alignWithMargins="0">
    <oddFooter>&amp;F&amp;RPage &amp;P</oddFooter>
  </headerFooter>
  <rowBreaks count="5" manualBreakCount="5">
    <brk id="87" max="16" man="1"/>
    <brk id="154" max="16" man="1"/>
    <brk id="222" max="16" man="1"/>
    <brk id="292" max="16" man="1"/>
    <brk id="364" max="1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69"/>
  <sheetViews>
    <sheetView zoomScaleNormal="100" workbookViewId="0">
      <pane ySplit="3" topLeftCell="A4" activePane="bottomLeft" state="frozen"/>
      <selection sqref="A1:C2"/>
      <selection pane="bottomLeft" sqref="A1:C2"/>
    </sheetView>
  </sheetViews>
  <sheetFormatPr defaultRowHeight="14.4" x14ac:dyDescent="0.3"/>
  <cols>
    <col min="1" max="1" width="10" customWidth="1"/>
    <col min="2" max="2" width="14.554687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20" t="s">
        <v>211</v>
      </c>
      <c r="B1" s="721"/>
      <c r="C1" s="72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2"/>
      <c r="B2" s="723"/>
      <c r="C2" s="723"/>
      <c r="D2" s="695" t="s">
        <v>6</v>
      </c>
      <c r="E2" s="696"/>
      <c r="F2" s="696"/>
      <c r="G2" s="697"/>
      <c r="H2" s="633" t="s">
        <v>8</v>
      </c>
      <c r="I2" s="634"/>
      <c r="J2" s="634"/>
      <c r="K2" s="634"/>
      <c r="L2" s="635"/>
      <c r="M2" s="684" t="s">
        <v>257</v>
      </c>
      <c r="N2" s="685"/>
      <c r="O2" s="685"/>
      <c r="P2" s="685"/>
      <c r="Q2" s="686"/>
      <c r="S2" s="673" t="s">
        <v>41</v>
      </c>
      <c r="T2" s="674"/>
      <c r="U2" s="675"/>
      <c r="W2" s="676" t="s">
        <v>42</v>
      </c>
      <c r="X2" s="677"/>
      <c r="Y2" s="678"/>
      <c r="AA2" s="666" t="s">
        <v>22</v>
      </c>
      <c r="AB2" s="667"/>
      <c r="AC2" s="668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1">
        <f>G12+G28+G37+G46+G55+G62+G69</f>
        <v>0</v>
      </c>
      <c r="T3" s="672"/>
      <c r="U3" s="80" t="s">
        <v>23</v>
      </c>
      <c r="W3" s="679">
        <f>L12+L28+L37+L46+L55+L62+L69</f>
        <v>0</v>
      </c>
      <c r="X3" s="742"/>
      <c r="Y3" s="81" t="s">
        <v>23</v>
      </c>
      <c r="AA3" s="669">
        <f>Q12+Q28+Q37+Q46+Q55+Q62+Q69</f>
        <v>0</v>
      </c>
      <c r="AB3" s="670"/>
      <c r="AC3" s="79" t="s">
        <v>23</v>
      </c>
    </row>
    <row r="4" spans="1:29" ht="15" thickBot="1" x14ac:dyDescent="0.35"/>
    <row r="5" spans="1:29" ht="15" customHeight="1" x14ac:dyDescent="0.3">
      <c r="A5" s="689" t="s">
        <v>212</v>
      </c>
      <c r="B5" s="689"/>
      <c r="C5" s="689"/>
      <c r="D5" s="689"/>
      <c r="E5" s="689"/>
      <c r="F5" s="698" t="s">
        <v>213</v>
      </c>
      <c r="G5" s="698"/>
      <c r="H5" s="2"/>
      <c r="I5" s="698" t="s">
        <v>218</v>
      </c>
      <c r="J5" s="698"/>
      <c r="K5" s="698"/>
      <c r="L5" s="2"/>
      <c r="M5" s="2"/>
      <c r="N5" s="2"/>
      <c r="O5" s="2"/>
      <c r="P5" s="2"/>
      <c r="Q5" s="5"/>
    </row>
    <row r="6" spans="1:29" ht="15" customHeight="1" x14ac:dyDescent="0.3">
      <c r="A6" s="690"/>
      <c r="B6" s="690"/>
      <c r="C6" s="690"/>
      <c r="D6" s="690"/>
      <c r="E6" s="690"/>
      <c r="F6" s="699"/>
      <c r="G6" s="699"/>
      <c r="H6" s="29"/>
      <c r="I6" s="699"/>
      <c r="J6" s="699"/>
      <c r="K6" s="69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214</v>
      </c>
      <c r="C7" s="114">
        <v>0.09</v>
      </c>
      <c r="D7" s="6">
        <v>1</v>
      </c>
      <c r="E7" s="7">
        <f>C7*D7</f>
        <v>0.09</v>
      </c>
      <c r="F7" s="7">
        <f>A7*E7</f>
        <v>0</v>
      </c>
      <c r="G7" s="8">
        <f>F7/8</f>
        <v>0</v>
      </c>
      <c r="H7" s="9">
        <f>C7</f>
        <v>0.09</v>
      </c>
      <c r="I7" s="10">
        <v>0.3</v>
      </c>
      <c r="J7" s="10">
        <f>H7*I7</f>
        <v>2.7E-2</v>
      </c>
      <c r="K7" s="10">
        <f>A7*J7</f>
        <v>0</v>
      </c>
      <c r="L7" s="11">
        <f>K7/8</f>
        <v>0</v>
      </c>
      <c r="M7" s="12">
        <f>H7</f>
        <v>0.09</v>
      </c>
      <c r="N7" s="13">
        <v>0.2</v>
      </c>
      <c r="O7" s="13">
        <f>M7*N7</f>
        <v>1.7999999999999999E-2</v>
      </c>
      <c r="P7" s="13">
        <f>A7*O7</f>
        <v>0</v>
      </c>
      <c r="Q7" s="14">
        <f>P7/8</f>
        <v>0</v>
      </c>
    </row>
    <row r="8" spans="1:29" ht="15.75" customHeight="1" x14ac:dyDescent="0.3">
      <c r="A8" s="130"/>
      <c r="B8" s="119" t="s">
        <v>215</v>
      </c>
      <c r="C8" s="97">
        <v>0.09</v>
      </c>
      <c r="D8" s="6">
        <v>1</v>
      </c>
      <c r="E8" s="7">
        <f>C8*D8</f>
        <v>0.09</v>
      </c>
      <c r="F8" s="7">
        <f>A8*E8</f>
        <v>0</v>
      </c>
      <c r="G8" s="8">
        <f>F8/8</f>
        <v>0</v>
      </c>
      <c r="H8" s="9">
        <f>C8</f>
        <v>0.09</v>
      </c>
      <c r="I8" s="10">
        <v>0.3</v>
      </c>
      <c r="J8" s="10">
        <f>H8*I8</f>
        <v>2.7E-2</v>
      </c>
      <c r="K8" s="10">
        <f>A8*J8</f>
        <v>0</v>
      </c>
      <c r="L8" s="11">
        <f>K8/8</f>
        <v>0</v>
      </c>
      <c r="M8" s="12">
        <f>H8</f>
        <v>0.09</v>
      </c>
      <c r="N8" s="13">
        <v>0.2</v>
      </c>
      <c r="O8" s="13">
        <f>M8*N8</f>
        <v>1.7999999999999999E-2</v>
      </c>
      <c r="P8" s="13">
        <f>A8*O8</f>
        <v>0</v>
      </c>
      <c r="Q8" s="14">
        <f>P8/8</f>
        <v>0</v>
      </c>
    </row>
    <row r="9" spans="1:29" x14ac:dyDescent="0.3">
      <c r="A9" s="130"/>
      <c r="B9" s="119" t="s">
        <v>216</v>
      </c>
      <c r="C9" s="97">
        <v>0.1</v>
      </c>
      <c r="D9" s="6">
        <v>1</v>
      </c>
      <c r="E9" s="7">
        <f>C9*D9</f>
        <v>0.1</v>
      </c>
      <c r="F9" s="7">
        <f>A9*E9</f>
        <v>0</v>
      </c>
      <c r="G9" s="8">
        <f>F9/8</f>
        <v>0</v>
      </c>
      <c r="H9" s="9">
        <f>C9</f>
        <v>0.1</v>
      </c>
      <c r="I9" s="10">
        <v>0.3</v>
      </c>
      <c r="J9" s="10">
        <f>H9*I9</f>
        <v>0.03</v>
      </c>
      <c r="K9" s="10">
        <f>A9*J9</f>
        <v>0</v>
      </c>
      <c r="L9" s="11">
        <f>K9/8</f>
        <v>0</v>
      </c>
      <c r="M9" s="12">
        <f>H9</f>
        <v>0.1</v>
      </c>
      <c r="N9" s="13">
        <v>0.2</v>
      </c>
      <c r="O9" s="13">
        <f>M9*N9</f>
        <v>2.0000000000000004E-2</v>
      </c>
      <c r="P9" s="13">
        <f>A9*O9</f>
        <v>0</v>
      </c>
      <c r="Q9" s="14">
        <f>P9/8</f>
        <v>0</v>
      </c>
    </row>
    <row r="10" spans="1:29" x14ac:dyDescent="0.3">
      <c r="A10" s="130"/>
      <c r="B10" s="119" t="s">
        <v>217</v>
      </c>
      <c r="C10" s="97">
        <v>0.11</v>
      </c>
      <c r="D10" s="6">
        <v>1</v>
      </c>
      <c r="E10" s="7">
        <f>C10*D10</f>
        <v>0.11</v>
      </c>
      <c r="F10" s="7">
        <f>A10*E10</f>
        <v>0</v>
      </c>
      <c r="G10" s="8">
        <f>F10/8</f>
        <v>0</v>
      </c>
      <c r="H10" s="9">
        <f>C10</f>
        <v>0.11</v>
      </c>
      <c r="I10" s="10">
        <v>0.3</v>
      </c>
      <c r="J10" s="10">
        <f>H10*I10</f>
        <v>3.3000000000000002E-2</v>
      </c>
      <c r="K10" s="10">
        <f>A10*J10</f>
        <v>0</v>
      </c>
      <c r="L10" s="11">
        <f>K10/8</f>
        <v>0</v>
      </c>
      <c r="M10" s="12">
        <f>H10</f>
        <v>0.11</v>
      </c>
      <c r="N10" s="13">
        <v>0.2</v>
      </c>
      <c r="O10" s="13">
        <f>M10*N10</f>
        <v>2.2000000000000002E-2</v>
      </c>
      <c r="P10" s="13">
        <f>A10*O10</f>
        <v>0</v>
      </c>
      <c r="Q10" s="14">
        <f>P10/8</f>
        <v>0</v>
      </c>
    </row>
    <row r="11" spans="1:29" x14ac:dyDescent="0.3">
      <c r="A11" s="130"/>
      <c r="B11" s="119"/>
      <c r="C11" s="97"/>
      <c r="D11" s="6">
        <v>1</v>
      </c>
      <c r="E11" s="7">
        <f>C11*D11</f>
        <v>0</v>
      </c>
      <c r="F11" s="7">
        <f>A11*E11</f>
        <v>0</v>
      </c>
      <c r="G11" s="8">
        <f>F11/8</f>
        <v>0</v>
      </c>
      <c r="H11" s="9">
        <f>C11</f>
        <v>0</v>
      </c>
      <c r="I11" s="10">
        <v>0.3</v>
      </c>
      <c r="J11" s="10">
        <f>H11*I11</f>
        <v>0</v>
      </c>
      <c r="K11" s="10">
        <f>A11*J11</f>
        <v>0</v>
      </c>
      <c r="L11" s="11">
        <f>K11/8</f>
        <v>0</v>
      </c>
      <c r="M11" s="12">
        <f>H11</f>
        <v>0</v>
      </c>
      <c r="N11" s="13">
        <v>0.2</v>
      </c>
      <c r="O11" s="13">
        <f>M11*N11</f>
        <v>0</v>
      </c>
      <c r="P11" s="13">
        <f>A11*O11</f>
        <v>0</v>
      </c>
      <c r="Q11" s="14">
        <f>P11/8</f>
        <v>0</v>
      </c>
    </row>
    <row r="12" spans="1:29" ht="15" thickBot="1" x14ac:dyDescent="0.35">
      <c r="A12" s="3"/>
      <c r="B12" s="4"/>
      <c r="C12" s="4"/>
      <c r="D12" s="644" t="s">
        <v>9</v>
      </c>
      <c r="E12" s="645"/>
      <c r="F12" s="645"/>
      <c r="G12" s="16">
        <f>SUM(G7:G11)</f>
        <v>0</v>
      </c>
      <c r="H12" s="1"/>
      <c r="I12" s="646" t="s">
        <v>10</v>
      </c>
      <c r="J12" s="646"/>
      <c r="K12" s="646"/>
      <c r="L12" s="17">
        <f>SUM(L7:L11)</f>
        <v>0</v>
      </c>
      <c r="M12" s="15"/>
      <c r="N12" s="647" t="s">
        <v>11</v>
      </c>
      <c r="O12" s="647"/>
      <c r="P12" s="647"/>
      <c r="Q12" s="18">
        <f>SUM(Q7:Q11)</f>
        <v>0</v>
      </c>
      <c r="S12" s="116"/>
      <c r="T12" s="116"/>
      <c r="U12" s="116"/>
    </row>
    <row r="13" spans="1:29" ht="15.75" customHeight="1" thickBot="1" x14ac:dyDescent="0.35">
      <c r="S13" s="117"/>
      <c r="T13" s="118"/>
      <c r="U13" s="118"/>
    </row>
    <row r="14" spans="1:29" ht="15" customHeight="1" x14ac:dyDescent="0.3">
      <c r="A14" s="689" t="s">
        <v>219</v>
      </c>
      <c r="B14" s="689"/>
      <c r="C14" s="124"/>
      <c r="D14" s="124"/>
      <c r="E14" s="698" t="s">
        <v>220</v>
      </c>
      <c r="F14" s="698"/>
      <c r="G14" s="698"/>
      <c r="H14" s="2"/>
      <c r="I14" s="698" t="s">
        <v>221</v>
      </c>
      <c r="J14" s="698"/>
      <c r="K14" s="698"/>
      <c r="L14" s="2"/>
      <c r="M14" s="2"/>
      <c r="N14" s="2"/>
      <c r="O14" s="2"/>
      <c r="P14" s="2"/>
      <c r="Q14" s="5"/>
    </row>
    <row r="15" spans="1:29" ht="15" customHeight="1" x14ac:dyDescent="0.3">
      <c r="A15" s="690"/>
      <c r="B15" s="690"/>
      <c r="C15" s="125"/>
      <c r="D15" s="125"/>
      <c r="E15" s="699"/>
      <c r="F15" s="699"/>
      <c r="G15" s="699"/>
      <c r="H15" s="29"/>
      <c r="I15" s="699"/>
      <c r="J15" s="699"/>
      <c r="K15" s="699"/>
      <c r="L15" s="29"/>
      <c r="M15" s="29"/>
      <c r="N15" s="29"/>
      <c r="O15" s="29"/>
      <c r="P15" s="29"/>
      <c r="Q15" s="30"/>
    </row>
    <row r="16" spans="1:29" ht="15" customHeight="1" x14ac:dyDescent="0.3">
      <c r="A16" s="129"/>
      <c r="B16" s="19" t="s">
        <v>222</v>
      </c>
      <c r="C16" s="114">
        <v>0.21</v>
      </c>
      <c r="D16" s="6">
        <v>1</v>
      </c>
      <c r="E16" s="7">
        <f>C16*D16</f>
        <v>0.21</v>
      </c>
      <c r="F16" s="7">
        <f>A16*E16</f>
        <v>0</v>
      </c>
      <c r="G16" s="8">
        <f>F16/8</f>
        <v>0</v>
      </c>
      <c r="H16" s="9">
        <f>C16</f>
        <v>0.21</v>
      </c>
      <c r="I16" s="10">
        <v>0.4</v>
      </c>
      <c r="J16" s="10">
        <f>H16*I16</f>
        <v>8.4000000000000005E-2</v>
      </c>
      <c r="K16" s="10">
        <f>A16*J16</f>
        <v>0</v>
      </c>
      <c r="L16" s="11">
        <f>K16/8</f>
        <v>0</v>
      </c>
      <c r="M16" s="12">
        <f>H16</f>
        <v>0.21</v>
      </c>
      <c r="N16" s="13">
        <v>0.3</v>
      </c>
      <c r="O16" s="13">
        <f>M16*N16</f>
        <v>6.3E-2</v>
      </c>
      <c r="P16" s="13">
        <f>A16*O16</f>
        <v>0</v>
      </c>
      <c r="Q16" s="14">
        <f>P16/8</f>
        <v>0</v>
      </c>
    </row>
    <row r="17" spans="1:25" ht="15.75" customHeight="1" x14ac:dyDescent="0.3">
      <c r="A17" s="130"/>
      <c r="B17" s="119" t="s">
        <v>223</v>
      </c>
      <c r="C17" s="97">
        <v>0.24</v>
      </c>
      <c r="D17" s="6">
        <v>1</v>
      </c>
      <c r="E17" s="7">
        <f>C17*D17</f>
        <v>0.24</v>
      </c>
      <c r="F17" s="7">
        <f>A17*E17</f>
        <v>0</v>
      </c>
      <c r="G17" s="8">
        <f>F17/8</f>
        <v>0</v>
      </c>
      <c r="H17" s="9">
        <f>C17</f>
        <v>0.24</v>
      </c>
      <c r="I17" s="10">
        <v>0.4</v>
      </c>
      <c r="J17" s="10">
        <f>H17*I17</f>
        <v>9.6000000000000002E-2</v>
      </c>
      <c r="K17" s="10">
        <f>A17*J17</f>
        <v>0</v>
      </c>
      <c r="L17" s="11">
        <f>K17/8</f>
        <v>0</v>
      </c>
      <c r="M17" s="12">
        <f>H17</f>
        <v>0.24</v>
      </c>
      <c r="N17" s="13">
        <v>0.3</v>
      </c>
      <c r="O17" s="13">
        <f>M17*N17</f>
        <v>7.1999999999999995E-2</v>
      </c>
      <c r="P17" s="13">
        <f>A17*O17</f>
        <v>0</v>
      </c>
      <c r="Q17" s="14">
        <f>P17/8</f>
        <v>0</v>
      </c>
    </row>
    <row r="18" spans="1:25" x14ac:dyDescent="0.3">
      <c r="A18" s="130"/>
      <c r="B18" s="119" t="s">
        <v>225</v>
      </c>
      <c r="C18" s="97">
        <v>0.25</v>
      </c>
      <c r="D18" s="6">
        <v>1</v>
      </c>
      <c r="E18" s="7">
        <f t="shared" ref="E18:E27" si="0">C18*D18</f>
        <v>0.25</v>
      </c>
      <c r="F18" s="7">
        <f>A18*E18</f>
        <v>0</v>
      </c>
      <c r="G18" s="8">
        <f>F18/8</f>
        <v>0</v>
      </c>
      <c r="H18" s="9">
        <f>C18</f>
        <v>0.25</v>
      </c>
      <c r="I18" s="10">
        <v>0.4</v>
      </c>
      <c r="J18" s="10">
        <f>H18*I18</f>
        <v>0.1</v>
      </c>
      <c r="K18" s="10">
        <f>A18*J18</f>
        <v>0</v>
      </c>
      <c r="L18" s="11">
        <f>K18/8</f>
        <v>0</v>
      </c>
      <c r="M18" s="12">
        <f>H18</f>
        <v>0.25</v>
      </c>
      <c r="N18" s="13">
        <v>0.3</v>
      </c>
      <c r="O18" s="13">
        <f>M18*N18</f>
        <v>7.4999999999999997E-2</v>
      </c>
      <c r="P18" s="13">
        <f>A18*O18</f>
        <v>0</v>
      </c>
      <c r="Q18" s="14">
        <f>P18/8</f>
        <v>0</v>
      </c>
    </row>
    <row r="19" spans="1:25" x14ac:dyDescent="0.3">
      <c r="A19" s="130"/>
      <c r="B19" s="119" t="s">
        <v>224</v>
      </c>
      <c r="C19" s="97">
        <v>0.26</v>
      </c>
      <c r="D19" s="6">
        <v>1</v>
      </c>
      <c r="E19" s="7">
        <f t="shared" si="0"/>
        <v>0.26</v>
      </c>
      <c r="F19" s="7">
        <f>A19*E19</f>
        <v>0</v>
      </c>
      <c r="G19" s="8">
        <f>F19/8</f>
        <v>0</v>
      </c>
      <c r="H19" s="9">
        <f>C19</f>
        <v>0.26</v>
      </c>
      <c r="I19" s="10">
        <v>0.4</v>
      </c>
      <c r="J19" s="10">
        <f>H19*I19</f>
        <v>0.10400000000000001</v>
      </c>
      <c r="K19" s="10">
        <f>A19*J19</f>
        <v>0</v>
      </c>
      <c r="L19" s="11">
        <f>K19/8</f>
        <v>0</v>
      </c>
      <c r="M19" s="12">
        <f>H19</f>
        <v>0.26</v>
      </c>
      <c r="N19" s="13">
        <v>0.3</v>
      </c>
      <c r="O19" s="13">
        <f>M19*N19</f>
        <v>7.8E-2</v>
      </c>
      <c r="P19" s="13">
        <f>A19*O19</f>
        <v>0</v>
      </c>
      <c r="Q19" s="14">
        <f>P19/8</f>
        <v>0</v>
      </c>
    </row>
    <row r="20" spans="1:25" x14ac:dyDescent="0.3">
      <c r="A20" s="130"/>
      <c r="B20" s="119" t="s">
        <v>226</v>
      </c>
      <c r="C20" s="97">
        <v>0.27</v>
      </c>
      <c r="D20" s="6">
        <v>1</v>
      </c>
      <c r="E20" s="7">
        <f t="shared" si="0"/>
        <v>0.27</v>
      </c>
      <c r="F20" s="7">
        <f t="shared" ref="F20:F26" si="1">A20*E20</f>
        <v>0</v>
      </c>
      <c r="G20" s="8">
        <f t="shared" ref="G20:G26" si="2">F20/8</f>
        <v>0</v>
      </c>
      <c r="H20" s="9">
        <f t="shared" ref="H20:H26" si="3">C20</f>
        <v>0.27</v>
      </c>
      <c r="I20" s="10">
        <v>0.4</v>
      </c>
      <c r="J20" s="10">
        <f t="shared" ref="J20:J26" si="4">H20*I20</f>
        <v>0.10800000000000001</v>
      </c>
      <c r="K20" s="10">
        <f t="shared" ref="K20:K26" si="5">A20*J20</f>
        <v>0</v>
      </c>
      <c r="L20" s="11">
        <f t="shared" ref="L20:L26" si="6">K20/8</f>
        <v>0</v>
      </c>
      <c r="M20" s="12">
        <f t="shared" ref="M20:M26" si="7">H20</f>
        <v>0.27</v>
      </c>
      <c r="N20" s="13">
        <v>0.3</v>
      </c>
      <c r="O20" s="13">
        <f t="shared" ref="O20:O26" si="8">M20*N20</f>
        <v>8.1000000000000003E-2</v>
      </c>
      <c r="P20" s="13">
        <f t="shared" ref="P20:P26" si="9">A20*O20</f>
        <v>0</v>
      </c>
      <c r="Q20" s="14">
        <f t="shared" ref="Q20:Q26" si="10">P20/8</f>
        <v>0</v>
      </c>
    </row>
    <row r="21" spans="1:25" x14ac:dyDescent="0.3">
      <c r="A21" s="130"/>
      <c r="B21" s="119" t="s">
        <v>227</v>
      </c>
      <c r="C21" s="97">
        <v>0.28000000000000003</v>
      </c>
      <c r="D21" s="6">
        <v>1</v>
      </c>
      <c r="E21" s="7">
        <f t="shared" si="0"/>
        <v>0.28000000000000003</v>
      </c>
      <c r="F21" s="7">
        <f t="shared" si="1"/>
        <v>0</v>
      </c>
      <c r="G21" s="8">
        <f t="shared" si="2"/>
        <v>0</v>
      </c>
      <c r="H21" s="9">
        <f t="shared" si="3"/>
        <v>0.28000000000000003</v>
      </c>
      <c r="I21" s="10">
        <v>0.4</v>
      </c>
      <c r="J21" s="10">
        <f t="shared" si="4"/>
        <v>0.11200000000000002</v>
      </c>
      <c r="K21" s="10">
        <f t="shared" si="5"/>
        <v>0</v>
      </c>
      <c r="L21" s="11">
        <f t="shared" si="6"/>
        <v>0</v>
      </c>
      <c r="M21" s="12">
        <f t="shared" si="7"/>
        <v>0.28000000000000003</v>
      </c>
      <c r="N21" s="13">
        <v>0.3</v>
      </c>
      <c r="O21" s="13">
        <f t="shared" si="8"/>
        <v>8.4000000000000005E-2</v>
      </c>
      <c r="P21" s="13">
        <f t="shared" si="9"/>
        <v>0</v>
      </c>
      <c r="Q21" s="14">
        <f t="shared" si="10"/>
        <v>0</v>
      </c>
    </row>
    <row r="22" spans="1:25" x14ac:dyDescent="0.3">
      <c r="A22" s="130"/>
      <c r="B22" s="119" t="s">
        <v>228</v>
      </c>
      <c r="C22" s="97">
        <v>0.28999999999999998</v>
      </c>
      <c r="D22" s="6">
        <v>1</v>
      </c>
      <c r="E22" s="7">
        <f t="shared" si="0"/>
        <v>0.28999999999999998</v>
      </c>
      <c r="F22" s="7">
        <f t="shared" si="1"/>
        <v>0</v>
      </c>
      <c r="G22" s="8">
        <f t="shared" si="2"/>
        <v>0</v>
      </c>
      <c r="H22" s="9">
        <f t="shared" si="3"/>
        <v>0.28999999999999998</v>
      </c>
      <c r="I22" s="10">
        <v>0.4</v>
      </c>
      <c r="J22" s="10">
        <f t="shared" si="4"/>
        <v>0.11599999999999999</v>
      </c>
      <c r="K22" s="10">
        <f t="shared" si="5"/>
        <v>0</v>
      </c>
      <c r="L22" s="11">
        <f t="shared" si="6"/>
        <v>0</v>
      </c>
      <c r="M22" s="12">
        <f t="shared" si="7"/>
        <v>0.28999999999999998</v>
      </c>
      <c r="N22" s="13">
        <v>0.3</v>
      </c>
      <c r="O22" s="13">
        <f t="shared" si="8"/>
        <v>8.6999999999999994E-2</v>
      </c>
      <c r="P22" s="13">
        <f t="shared" si="9"/>
        <v>0</v>
      </c>
      <c r="Q22" s="14">
        <f t="shared" si="10"/>
        <v>0</v>
      </c>
      <c r="S22" s="598" t="s">
        <v>254</v>
      </c>
      <c r="T22" s="598"/>
      <c r="U22" s="598"/>
      <c r="W22" s="681" t="s">
        <v>254</v>
      </c>
      <c r="X22" s="681"/>
      <c r="Y22" s="681"/>
    </row>
    <row r="23" spans="1:25" x14ac:dyDescent="0.3">
      <c r="A23" s="130"/>
      <c r="B23" s="119" t="s">
        <v>229</v>
      </c>
      <c r="C23" s="97">
        <v>0.3</v>
      </c>
      <c r="D23" s="6">
        <v>1</v>
      </c>
      <c r="E23" s="7">
        <f t="shared" si="0"/>
        <v>0.3</v>
      </c>
      <c r="F23" s="7">
        <f t="shared" si="1"/>
        <v>0</v>
      </c>
      <c r="G23" s="8">
        <f t="shared" si="2"/>
        <v>0</v>
      </c>
      <c r="H23" s="9">
        <f t="shared" si="3"/>
        <v>0.3</v>
      </c>
      <c r="I23" s="10">
        <v>0.4</v>
      </c>
      <c r="J23" s="10">
        <f t="shared" si="4"/>
        <v>0.12</v>
      </c>
      <c r="K23" s="10">
        <f t="shared" si="5"/>
        <v>0</v>
      </c>
      <c r="L23" s="11">
        <f t="shared" si="6"/>
        <v>0</v>
      </c>
      <c r="M23" s="12">
        <f t="shared" si="7"/>
        <v>0.3</v>
      </c>
      <c r="N23" s="13">
        <v>0.3</v>
      </c>
      <c r="O23" s="13">
        <f t="shared" si="8"/>
        <v>0.09</v>
      </c>
      <c r="P23" s="13">
        <f t="shared" si="9"/>
        <v>0</v>
      </c>
      <c r="Q23" s="14">
        <f t="shared" si="10"/>
        <v>0</v>
      </c>
      <c r="S23" s="664">
        <f>Q28+Q37+Q46+Q55</f>
        <v>0</v>
      </c>
      <c r="T23" s="665"/>
      <c r="U23" s="665"/>
      <c r="W23" s="682">
        <f>L28+L37+L46+L55</f>
        <v>0</v>
      </c>
      <c r="X23" s="683"/>
      <c r="Y23" s="683"/>
    </row>
    <row r="24" spans="1:25" x14ac:dyDescent="0.3">
      <c r="A24" s="130"/>
      <c r="B24" s="119" t="s">
        <v>230</v>
      </c>
      <c r="C24" s="97">
        <v>0.32</v>
      </c>
      <c r="D24" s="6">
        <v>1</v>
      </c>
      <c r="E24" s="7">
        <f t="shared" si="0"/>
        <v>0.32</v>
      </c>
      <c r="F24" s="7">
        <f t="shared" si="1"/>
        <v>0</v>
      </c>
      <c r="G24" s="8">
        <f t="shared" si="2"/>
        <v>0</v>
      </c>
      <c r="H24" s="9">
        <f t="shared" si="3"/>
        <v>0.32</v>
      </c>
      <c r="I24" s="10">
        <v>0.4</v>
      </c>
      <c r="J24" s="10">
        <f t="shared" si="4"/>
        <v>0.128</v>
      </c>
      <c r="K24" s="10">
        <f t="shared" si="5"/>
        <v>0</v>
      </c>
      <c r="L24" s="11">
        <f t="shared" si="6"/>
        <v>0</v>
      </c>
      <c r="M24" s="12">
        <f t="shared" si="7"/>
        <v>0.32</v>
      </c>
      <c r="N24" s="13">
        <v>0.3</v>
      </c>
      <c r="O24" s="13">
        <f t="shared" si="8"/>
        <v>9.6000000000000002E-2</v>
      </c>
      <c r="P24" s="13">
        <f t="shared" si="9"/>
        <v>0</v>
      </c>
      <c r="Q24" s="14">
        <f t="shared" si="10"/>
        <v>0</v>
      </c>
      <c r="S24" s="665"/>
      <c r="T24" s="665"/>
      <c r="U24" s="665"/>
      <c r="W24" s="683"/>
      <c r="X24" s="683"/>
      <c r="Y24" s="683"/>
    </row>
    <row r="25" spans="1:25" x14ac:dyDescent="0.3">
      <c r="A25" s="130"/>
      <c r="B25" s="119" t="s">
        <v>231</v>
      </c>
      <c r="C25" s="97">
        <v>0.35</v>
      </c>
      <c r="D25" s="6">
        <v>1</v>
      </c>
      <c r="E25" s="7">
        <f t="shared" si="0"/>
        <v>0.35</v>
      </c>
      <c r="F25" s="7">
        <f t="shared" si="1"/>
        <v>0</v>
      </c>
      <c r="G25" s="8">
        <f t="shared" si="2"/>
        <v>0</v>
      </c>
      <c r="H25" s="9">
        <f t="shared" si="3"/>
        <v>0.35</v>
      </c>
      <c r="I25" s="10">
        <v>0.4</v>
      </c>
      <c r="J25" s="10">
        <f t="shared" si="4"/>
        <v>0.13999999999999999</v>
      </c>
      <c r="K25" s="10">
        <f t="shared" si="5"/>
        <v>0</v>
      </c>
      <c r="L25" s="11">
        <f t="shared" si="6"/>
        <v>0</v>
      </c>
      <c r="M25" s="12">
        <f t="shared" si="7"/>
        <v>0.35</v>
      </c>
      <c r="N25" s="13">
        <v>0.3</v>
      </c>
      <c r="O25" s="13">
        <f t="shared" si="8"/>
        <v>0.105</v>
      </c>
      <c r="P25" s="13">
        <f t="shared" si="9"/>
        <v>0</v>
      </c>
      <c r="Q25" s="14">
        <f t="shared" si="10"/>
        <v>0</v>
      </c>
      <c r="S25" s="665"/>
      <c r="T25" s="665"/>
      <c r="U25" s="665"/>
      <c r="W25" s="683"/>
      <c r="X25" s="683"/>
      <c r="Y25" s="683"/>
    </row>
    <row r="26" spans="1:25" x14ac:dyDescent="0.3">
      <c r="A26" s="130"/>
      <c r="B26" s="119" t="s">
        <v>232</v>
      </c>
      <c r="C26" s="97">
        <v>0.39</v>
      </c>
      <c r="D26" s="6">
        <v>1</v>
      </c>
      <c r="E26" s="7">
        <f t="shared" si="0"/>
        <v>0.39</v>
      </c>
      <c r="F26" s="7">
        <f t="shared" si="1"/>
        <v>0</v>
      </c>
      <c r="G26" s="8">
        <f t="shared" si="2"/>
        <v>0</v>
      </c>
      <c r="H26" s="9">
        <f t="shared" si="3"/>
        <v>0.39</v>
      </c>
      <c r="I26" s="10">
        <v>0.4</v>
      </c>
      <c r="J26" s="10">
        <f t="shared" si="4"/>
        <v>0.15600000000000003</v>
      </c>
      <c r="K26" s="10">
        <f t="shared" si="5"/>
        <v>0</v>
      </c>
      <c r="L26" s="11">
        <f t="shared" si="6"/>
        <v>0</v>
      </c>
      <c r="M26" s="12">
        <f t="shared" si="7"/>
        <v>0.39</v>
      </c>
      <c r="N26" s="13">
        <v>0.3</v>
      </c>
      <c r="O26" s="13">
        <f t="shared" si="8"/>
        <v>0.11699999999999999</v>
      </c>
      <c r="P26" s="13">
        <f t="shared" si="9"/>
        <v>0</v>
      </c>
      <c r="Q26" s="14">
        <f t="shared" si="10"/>
        <v>0</v>
      </c>
    </row>
    <row r="27" spans="1:25" x14ac:dyDescent="0.3">
      <c r="A27" s="130"/>
      <c r="B27" s="119"/>
      <c r="C27" s="97"/>
      <c r="D27" s="6">
        <v>1</v>
      </c>
      <c r="E27" s="7">
        <f t="shared" si="0"/>
        <v>0</v>
      </c>
      <c r="F27" s="7">
        <f>A27*E27</f>
        <v>0</v>
      </c>
      <c r="G27" s="8">
        <f>F27/8</f>
        <v>0</v>
      </c>
      <c r="H27" s="9">
        <f>C27</f>
        <v>0</v>
      </c>
      <c r="I27" s="10">
        <v>0.4</v>
      </c>
      <c r="J27" s="10">
        <f>H27*I27</f>
        <v>0</v>
      </c>
      <c r="K27" s="10">
        <f>A27*J27</f>
        <v>0</v>
      </c>
      <c r="L27" s="11">
        <f>K27/8</f>
        <v>0</v>
      </c>
      <c r="M27" s="12">
        <f>H27</f>
        <v>0</v>
      </c>
      <c r="N27" s="13">
        <v>0.3</v>
      </c>
      <c r="O27" s="13">
        <f>M27*N27</f>
        <v>0</v>
      </c>
      <c r="P27" s="13">
        <f>A27*O27</f>
        <v>0</v>
      </c>
      <c r="Q27" s="14">
        <f>P27/8</f>
        <v>0</v>
      </c>
    </row>
    <row r="28" spans="1:25" ht="15" thickBot="1" x14ac:dyDescent="0.35">
      <c r="A28" s="3"/>
      <c r="B28" s="4"/>
      <c r="C28" s="4"/>
      <c r="D28" s="644" t="s">
        <v>9</v>
      </c>
      <c r="E28" s="645"/>
      <c r="F28" s="645"/>
      <c r="G28" s="16">
        <f>SUM(G16:G27)</f>
        <v>0</v>
      </c>
      <c r="H28" s="1"/>
      <c r="I28" s="646" t="s">
        <v>10</v>
      </c>
      <c r="J28" s="646"/>
      <c r="K28" s="646"/>
      <c r="L28" s="17">
        <f>SUM(L16:L27)</f>
        <v>0</v>
      </c>
      <c r="M28" s="15"/>
      <c r="N28" s="647" t="s">
        <v>11</v>
      </c>
      <c r="O28" s="647"/>
      <c r="P28" s="647"/>
      <c r="Q28" s="18">
        <f>SUM(Q16:Q27)</f>
        <v>0</v>
      </c>
      <c r="S28" s="116"/>
      <c r="T28" s="116"/>
      <c r="U28" s="116"/>
    </row>
    <row r="29" spans="1:25" ht="15" thickBot="1" x14ac:dyDescent="0.35"/>
    <row r="30" spans="1:25" ht="15" customHeight="1" x14ac:dyDescent="0.3">
      <c r="A30" s="689" t="s">
        <v>234</v>
      </c>
      <c r="B30" s="689"/>
      <c r="C30" s="689"/>
      <c r="D30" s="698" t="s">
        <v>233</v>
      </c>
      <c r="E30" s="698"/>
      <c r="F30" s="698"/>
      <c r="G30" s="698"/>
      <c r="H30" s="122"/>
      <c r="I30" s="698" t="s">
        <v>239</v>
      </c>
      <c r="J30" s="698"/>
      <c r="K30" s="122"/>
      <c r="L30" s="698"/>
      <c r="M30" s="698"/>
      <c r="N30" s="698"/>
      <c r="O30" s="2"/>
      <c r="P30" s="2"/>
      <c r="Q30" s="5"/>
    </row>
    <row r="31" spans="1:25" ht="15" customHeight="1" x14ac:dyDescent="0.3">
      <c r="A31" s="690"/>
      <c r="B31" s="690"/>
      <c r="C31" s="690"/>
      <c r="D31" s="699"/>
      <c r="E31" s="699"/>
      <c r="F31" s="699"/>
      <c r="G31" s="699"/>
      <c r="H31" s="123"/>
      <c r="I31" s="699"/>
      <c r="J31" s="699"/>
      <c r="K31" s="123"/>
      <c r="L31" s="699"/>
      <c r="M31" s="699"/>
      <c r="N31" s="699"/>
      <c r="O31" s="29"/>
      <c r="P31" s="29"/>
      <c r="Q31" s="30"/>
    </row>
    <row r="32" spans="1:25" ht="15" customHeight="1" x14ac:dyDescent="0.3">
      <c r="A32" s="129"/>
      <c r="B32" s="19" t="s">
        <v>235</v>
      </c>
      <c r="C32" s="114">
        <v>0.08</v>
      </c>
      <c r="D32" s="6">
        <v>1</v>
      </c>
      <c r="E32" s="7">
        <f>C32*D32</f>
        <v>0.08</v>
      </c>
      <c r="F32" s="7">
        <f>A32*E32</f>
        <v>0</v>
      </c>
      <c r="G32" s="8">
        <f>F32/8</f>
        <v>0</v>
      </c>
      <c r="H32" s="9">
        <f>C32</f>
        <v>0.08</v>
      </c>
      <c r="I32" s="10">
        <v>0.61</v>
      </c>
      <c r="J32" s="10">
        <f>H32*I32</f>
        <v>4.8800000000000003E-2</v>
      </c>
      <c r="K32" s="10">
        <f>A32*J32</f>
        <v>0</v>
      </c>
      <c r="L32" s="11">
        <f>K32/8</f>
        <v>0</v>
      </c>
      <c r="M32" s="12">
        <f>H32</f>
        <v>0.08</v>
      </c>
      <c r="N32" s="13">
        <v>0.55000000000000004</v>
      </c>
      <c r="O32" s="13">
        <f>M32*N32</f>
        <v>4.4000000000000004E-2</v>
      </c>
      <c r="P32" s="13">
        <f>A32*O32</f>
        <v>0</v>
      </c>
      <c r="Q32" s="14">
        <f>P32/8</f>
        <v>0</v>
      </c>
    </row>
    <row r="33" spans="1:21" ht="15.75" customHeight="1" x14ac:dyDescent="0.3">
      <c r="A33" s="130"/>
      <c r="B33" s="119" t="s">
        <v>236</v>
      </c>
      <c r="C33" s="97">
        <v>0.01</v>
      </c>
      <c r="D33" s="6">
        <v>1</v>
      </c>
      <c r="E33" s="7">
        <f>C33*D33</f>
        <v>0.01</v>
      </c>
      <c r="F33" s="7">
        <f>A33*E33</f>
        <v>0</v>
      </c>
      <c r="G33" s="8">
        <f>F33/8</f>
        <v>0</v>
      </c>
      <c r="H33" s="9">
        <f>C33</f>
        <v>0.01</v>
      </c>
      <c r="I33" s="10">
        <v>0.61</v>
      </c>
      <c r="J33" s="10">
        <f>H33*I33</f>
        <v>6.1000000000000004E-3</v>
      </c>
      <c r="K33" s="10">
        <f>A33*J33</f>
        <v>0</v>
      </c>
      <c r="L33" s="11">
        <f>K33/8</f>
        <v>0</v>
      </c>
      <c r="M33" s="12">
        <f>H33</f>
        <v>0.01</v>
      </c>
      <c r="N33" s="13">
        <v>0.55000000000000004</v>
      </c>
      <c r="O33" s="13">
        <f>M33*N33</f>
        <v>5.5000000000000005E-3</v>
      </c>
      <c r="P33" s="13">
        <f>A33*O33</f>
        <v>0</v>
      </c>
      <c r="Q33" s="14">
        <f>P33/8</f>
        <v>0</v>
      </c>
    </row>
    <row r="34" spans="1:21" x14ac:dyDescent="0.3">
      <c r="A34" s="130"/>
      <c r="B34" s="119" t="s">
        <v>237</v>
      </c>
      <c r="C34" s="97">
        <v>2.8000000000000001E-2</v>
      </c>
      <c r="D34" s="6">
        <v>1</v>
      </c>
      <c r="E34" s="7">
        <f>C34*D34</f>
        <v>2.8000000000000001E-2</v>
      </c>
      <c r="F34" s="7">
        <f>A34*E34</f>
        <v>0</v>
      </c>
      <c r="G34" s="8">
        <f>F34/8</f>
        <v>0</v>
      </c>
      <c r="H34" s="9">
        <f>C34</f>
        <v>2.8000000000000001E-2</v>
      </c>
      <c r="I34" s="10">
        <v>1</v>
      </c>
      <c r="J34" s="10">
        <f>H34*I34</f>
        <v>2.8000000000000001E-2</v>
      </c>
      <c r="K34" s="10">
        <f>A34*J34</f>
        <v>0</v>
      </c>
      <c r="L34" s="11">
        <f>K34/8</f>
        <v>0</v>
      </c>
      <c r="M34" s="12">
        <f>H34</f>
        <v>2.8000000000000001E-2</v>
      </c>
      <c r="N34" s="13">
        <v>1</v>
      </c>
      <c r="O34" s="13">
        <f>M34*N34</f>
        <v>2.8000000000000001E-2</v>
      </c>
      <c r="P34" s="13">
        <f>A34*O34</f>
        <v>0</v>
      </c>
      <c r="Q34" s="14">
        <f>P34/8</f>
        <v>0</v>
      </c>
    </row>
    <row r="35" spans="1:21" x14ac:dyDescent="0.3">
      <c r="A35" s="130"/>
      <c r="B35" s="119" t="s">
        <v>238</v>
      </c>
      <c r="C35" s="97">
        <v>0.62</v>
      </c>
      <c r="D35" s="6">
        <v>1</v>
      </c>
      <c r="E35" s="7">
        <f>C35*D35</f>
        <v>0.62</v>
      </c>
      <c r="F35" s="7">
        <f>A35*E35</f>
        <v>0</v>
      </c>
      <c r="G35" s="8">
        <f>F35/8</f>
        <v>0</v>
      </c>
      <c r="H35" s="9">
        <f>C35</f>
        <v>0.62</v>
      </c>
      <c r="I35" s="10">
        <v>0.35</v>
      </c>
      <c r="J35" s="10">
        <f>H35*I35</f>
        <v>0.217</v>
      </c>
      <c r="K35" s="10">
        <f>A35*J35</f>
        <v>0</v>
      </c>
      <c r="L35" s="11">
        <f>K35/8</f>
        <v>0</v>
      </c>
      <c r="M35" s="12">
        <f>H35</f>
        <v>0.62</v>
      </c>
      <c r="N35" s="13">
        <v>0.25</v>
      </c>
      <c r="O35" s="13">
        <f>M35*N35</f>
        <v>0.155</v>
      </c>
      <c r="P35" s="13">
        <f>A35*O35</f>
        <v>0</v>
      </c>
      <c r="Q35" s="14">
        <f>P35/8</f>
        <v>0</v>
      </c>
    </row>
    <row r="36" spans="1:21" x14ac:dyDescent="0.3">
      <c r="A36" s="130"/>
      <c r="B36" s="119"/>
      <c r="C36" s="97"/>
      <c r="D36" s="6">
        <v>1</v>
      </c>
      <c r="E36" s="7">
        <f>C36*D36</f>
        <v>0</v>
      </c>
      <c r="F36" s="7">
        <f>A36*E36</f>
        <v>0</v>
      </c>
      <c r="G36" s="8">
        <f>F36/8</f>
        <v>0</v>
      </c>
      <c r="H36" s="9">
        <f>C36</f>
        <v>0</v>
      </c>
      <c r="I36" s="10">
        <v>0.2</v>
      </c>
      <c r="J36" s="10">
        <f>H36*I36</f>
        <v>0</v>
      </c>
      <c r="K36" s="10">
        <f>A36*J36</f>
        <v>0</v>
      </c>
      <c r="L36" s="11">
        <f>K36/8</f>
        <v>0</v>
      </c>
      <c r="M36" s="12">
        <f>H36</f>
        <v>0</v>
      </c>
      <c r="N36" s="13">
        <v>0.1</v>
      </c>
      <c r="O36" s="13">
        <f>M36*N36</f>
        <v>0</v>
      </c>
      <c r="P36" s="13">
        <f>A36*O36</f>
        <v>0</v>
      </c>
      <c r="Q36" s="14">
        <f>P36/8</f>
        <v>0</v>
      </c>
    </row>
    <row r="37" spans="1:21" ht="15" thickBot="1" x14ac:dyDescent="0.35">
      <c r="A37" s="3"/>
      <c r="B37" s="4"/>
      <c r="C37" s="4"/>
      <c r="D37" s="644" t="s">
        <v>9</v>
      </c>
      <c r="E37" s="645"/>
      <c r="F37" s="645"/>
      <c r="G37" s="16">
        <f>SUM(G32:G36)</f>
        <v>0</v>
      </c>
      <c r="H37" s="1"/>
      <c r="I37" s="646" t="s">
        <v>10</v>
      </c>
      <c r="J37" s="646"/>
      <c r="K37" s="646"/>
      <c r="L37" s="17">
        <f>SUM(L32:L36)</f>
        <v>0</v>
      </c>
      <c r="M37" s="15"/>
      <c r="N37" s="647" t="s">
        <v>11</v>
      </c>
      <c r="O37" s="647"/>
      <c r="P37" s="647"/>
      <c r="Q37" s="18">
        <f>SUM(Q32:Q36)</f>
        <v>0</v>
      </c>
      <c r="S37" s="116"/>
      <c r="T37" s="116"/>
      <c r="U37" s="116"/>
    </row>
    <row r="38" spans="1:21" ht="15" thickBot="1" x14ac:dyDescent="0.35"/>
    <row r="39" spans="1:21" ht="15" customHeight="1" x14ac:dyDescent="0.3">
      <c r="A39" s="689" t="s">
        <v>240</v>
      </c>
      <c r="B39" s="689"/>
      <c r="C39" s="689"/>
      <c r="D39" s="698" t="s">
        <v>233</v>
      </c>
      <c r="E39" s="698"/>
      <c r="F39" s="698"/>
      <c r="G39" s="698"/>
      <c r="H39" s="122"/>
      <c r="I39" s="698" t="s">
        <v>239</v>
      </c>
      <c r="J39" s="698"/>
      <c r="K39" s="122"/>
      <c r="L39" s="698"/>
      <c r="M39" s="698"/>
      <c r="N39" s="698"/>
      <c r="O39" s="2"/>
      <c r="P39" s="2"/>
      <c r="Q39" s="5"/>
    </row>
    <row r="40" spans="1:21" ht="15" customHeight="1" x14ac:dyDescent="0.3">
      <c r="A40" s="690"/>
      <c r="B40" s="690"/>
      <c r="C40" s="690"/>
      <c r="D40" s="699"/>
      <c r="E40" s="699"/>
      <c r="F40" s="699"/>
      <c r="G40" s="699"/>
      <c r="H40" s="123"/>
      <c r="I40" s="699"/>
      <c r="J40" s="699"/>
      <c r="K40" s="123"/>
      <c r="L40" s="699"/>
      <c r="M40" s="699"/>
      <c r="N40" s="699"/>
      <c r="O40" s="29"/>
      <c r="P40" s="29"/>
      <c r="Q40" s="30"/>
    </row>
    <row r="41" spans="1:21" ht="15" customHeight="1" x14ac:dyDescent="0.3">
      <c r="A41" s="129"/>
      <c r="B41" s="19" t="s">
        <v>235</v>
      </c>
      <c r="C41" s="114">
        <v>0.28000000000000003</v>
      </c>
      <c r="D41" s="6">
        <v>1</v>
      </c>
      <c r="E41" s="7">
        <f>C41*D41</f>
        <v>0.28000000000000003</v>
      </c>
      <c r="F41" s="7">
        <f>A41*E41</f>
        <v>0</v>
      </c>
      <c r="G41" s="8">
        <f>F41/8</f>
        <v>0</v>
      </c>
      <c r="H41" s="9">
        <f>C41</f>
        <v>0.28000000000000003</v>
      </c>
      <c r="I41" s="10">
        <v>0.61</v>
      </c>
      <c r="J41" s="10">
        <f>H41*I41</f>
        <v>0.17080000000000001</v>
      </c>
      <c r="K41" s="10">
        <f>A41*J41</f>
        <v>0</v>
      </c>
      <c r="L41" s="11">
        <f>K41/8</f>
        <v>0</v>
      </c>
      <c r="M41" s="12">
        <f>H41</f>
        <v>0.28000000000000003</v>
      </c>
      <c r="N41" s="13">
        <v>0.55000000000000004</v>
      </c>
      <c r="O41" s="13">
        <f>M41*N41</f>
        <v>0.15400000000000003</v>
      </c>
      <c r="P41" s="13">
        <f>A41*O41</f>
        <v>0</v>
      </c>
      <c r="Q41" s="14">
        <f>P41/8</f>
        <v>0</v>
      </c>
    </row>
    <row r="42" spans="1:21" ht="15.75" customHeight="1" x14ac:dyDescent="0.3">
      <c r="A42" s="130"/>
      <c r="B42" s="119" t="s">
        <v>236</v>
      </c>
      <c r="C42" s="97">
        <v>0.26</v>
      </c>
      <c r="D42" s="6">
        <v>1</v>
      </c>
      <c r="E42" s="7">
        <f>C42*D42</f>
        <v>0.26</v>
      </c>
      <c r="F42" s="7">
        <f>A42*E42</f>
        <v>0</v>
      </c>
      <c r="G42" s="8">
        <f>F42/8</f>
        <v>0</v>
      </c>
      <c r="H42" s="9">
        <f>C42</f>
        <v>0.26</v>
      </c>
      <c r="I42" s="10">
        <v>0.61</v>
      </c>
      <c r="J42" s="10">
        <f>H42*I42</f>
        <v>0.15859999999999999</v>
      </c>
      <c r="K42" s="10">
        <f>A42*J42</f>
        <v>0</v>
      </c>
      <c r="L42" s="11">
        <f>K42/8</f>
        <v>0</v>
      </c>
      <c r="M42" s="12">
        <f>H42</f>
        <v>0.26</v>
      </c>
      <c r="N42" s="13">
        <v>0.55000000000000004</v>
      </c>
      <c r="O42" s="13">
        <f>M42*N42</f>
        <v>0.14300000000000002</v>
      </c>
      <c r="P42" s="13">
        <f>A42*O42</f>
        <v>0</v>
      </c>
      <c r="Q42" s="14">
        <f>P42/8</f>
        <v>0</v>
      </c>
    </row>
    <row r="43" spans="1:21" x14ac:dyDescent="0.3">
      <c r="A43" s="130"/>
      <c r="B43" s="119" t="s">
        <v>237</v>
      </c>
      <c r="C43" s="97">
        <v>0.06</v>
      </c>
      <c r="D43" s="6">
        <v>1</v>
      </c>
      <c r="E43" s="7">
        <f>C43*D43</f>
        <v>0.06</v>
      </c>
      <c r="F43" s="7">
        <f>A43*E43</f>
        <v>0</v>
      </c>
      <c r="G43" s="8">
        <f>F43/8</f>
        <v>0</v>
      </c>
      <c r="H43" s="9">
        <f>C43</f>
        <v>0.06</v>
      </c>
      <c r="I43" s="10">
        <v>1</v>
      </c>
      <c r="J43" s="10">
        <f>H43*I43</f>
        <v>0.06</v>
      </c>
      <c r="K43" s="10">
        <f>A43*J43</f>
        <v>0</v>
      </c>
      <c r="L43" s="11">
        <f>K43/8</f>
        <v>0</v>
      </c>
      <c r="M43" s="12">
        <f>H43</f>
        <v>0.06</v>
      </c>
      <c r="N43" s="13">
        <v>1</v>
      </c>
      <c r="O43" s="13">
        <f>M43*N43</f>
        <v>0.06</v>
      </c>
      <c r="P43" s="13">
        <f>A43*O43</f>
        <v>0</v>
      </c>
      <c r="Q43" s="14">
        <f>P43/8</f>
        <v>0</v>
      </c>
    </row>
    <row r="44" spans="1:21" x14ac:dyDescent="0.3">
      <c r="A44" s="130"/>
      <c r="B44" s="119" t="s">
        <v>238</v>
      </c>
      <c r="C44" s="97">
        <v>1</v>
      </c>
      <c r="D44" s="6">
        <v>1</v>
      </c>
      <c r="E44" s="7">
        <f>C44*D44</f>
        <v>1</v>
      </c>
      <c r="F44" s="7">
        <f>A44*E44</f>
        <v>0</v>
      </c>
      <c r="G44" s="8">
        <f>F44/8</f>
        <v>0</v>
      </c>
      <c r="H44" s="9">
        <f>C44</f>
        <v>1</v>
      </c>
      <c r="I44" s="10">
        <v>0.61</v>
      </c>
      <c r="J44" s="10">
        <f>H44*I44</f>
        <v>0.61</v>
      </c>
      <c r="K44" s="10">
        <f>A44*J44</f>
        <v>0</v>
      </c>
      <c r="L44" s="11">
        <f>K44/8</f>
        <v>0</v>
      </c>
      <c r="M44" s="12">
        <f>H44</f>
        <v>1</v>
      </c>
      <c r="N44" s="13">
        <v>0.4</v>
      </c>
      <c r="O44" s="13">
        <f>M44*N44</f>
        <v>0.4</v>
      </c>
      <c r="P44" s="13">
        <f>A44*O44</f>
        <v>0</v>
      </c>
      <c r="Q44" s="14">
        <f>P44/8</f>
        <v>0</v>
      </c>
    </row>
    <row r="45" spans="1:21" x14ac:dyDescent="0.3">
      <c r="A45" s="130"/>
      <c r="B45" s="119"/>
      <c r="C45" s="97"/>
      <c r="D45" s="6">
        <v>1</v>
      </c>
      <c r="E45" s="7">
        <f>C45*D45</f>
        <v>0</v>
      </c>
      <c r="F45" s="7">
        <f>A45*E45</f>
        <v>0</v>
      </c>
      <c r="G45" s="8">
        <f>F45/8</f>
        <v>0</v>
      </c>
      <c r="H45" s="9">
        <f>C45</f>
        <v>0</v>
      </c>
      <c r="I45" s="10">
        <v>1</v>
      </c>
      <c r="J45" s="10">
        <f>H45*I45</f>
        <v>0</v>
      </c>
      <c r="K45" s="10">
        <f>A45*J45</f>
        <v>0</v>
      </c>
      <c r="L45" s="11">
        <f>K45/8</f>
        <v>0</v>
      </c>
      <c r="M45" s="12">
        <f>H45</f>
        <v>0</v>
      </c>
      <c r="N45" s="13">
        <v>1</v>
      </c>
      <c r="O45" s="13">
        <f>M45*N45</f>
        <v>0</v>
      </c>
      <c r="P45" s="13">
        <f>A45*O45</f>
        <v>0</v>
      </c>
      <c r="Q45" s="14">
        <f>P45/8</f>
        <v>0</v>
      </c>
    </row>
    <row r="46" spans="1:21" ht="15" thickBot="1" x14ac:dyDescent="0.35">
      <c r="A46" s="3"/>
      <c r="B46" s="4"/>
      <c r="C46" s="4"/>
      <c r="D46" s="644" t="s">
        <v>9</v>
      </c>
      <c r="E46" s="645"/>
      <c r="F46" s="645"/>
      <c r="G46" s="16">
        <f>SUM(G41:G45)</f>
        <v>0</v>
      </c>
      <c r="H46" s="1"/>
      <c r="I46" s="646" t="s">
        <v>10</v>
      </c>
      <c r="J46" s="646"/>
      <c r="K46" s="646"/>
      <c r="L46" s="17">
        <f>SUM(L41:L45)</f>
        <v>0</v>
      </c>
      <c r="M46" s="15"/>
      <c r="N46" s="647" t="s">
        <v>11</v>
      </c>
      <c r="O46" s="647"/>
      <c r="P46" s="647"/>
      <c r="Q46" s="18">
        <f>SUM(Q41:Q45)</f>
        <v>0</v>
      </c>
      <c r="S46" s="116"/>
      <c r="T46" s="116"/>
      <c r="U46" s="116"/>
    </row>
    <row r="47" spans="1:21" ht="15" thickBot="1" x14ac:dyDescent="0.35"/>
    <row r="48" spans="1:21" ht="15" customHeight="1" x14ac:dyDescent="0.3">
      <c r="A48" s="689" t="s">
        <v>241</v>
      </c>
      <c r="B48" s="689"/>
      <c r="C48" s="689"/>
      <c r="D48" s="698" t="s">
        <v>233</v>
      </c>
      <c r="E48" s="698"/>
      <c r="F48" s="698"/>
      <c r="G48" s="698"/>
      <c r="H48" s="122"/>
      <c r="I48" s="698" t="s">
        <v>239</v>
      </c>
      <c r="J48" s="698"/>
      <c r="K48" s="122"/>
      <c r="L48" s="698"/>
      <c r="M48" s="698"/>
      <c r="N48" s="698"/>
      <c r="O48" s="2"/>
      <c r="P48" s="2"/>
      <c r="Q48" s="5"/>
    </row>
    <row r="49" spans="1:21" ht="15" customHeight="1" x14ac:dyDescent="0.3">
      <c r="A49" s="690"/>
      <c r="B49" s="690"/>
      <c r="C49" s="690"/>
      <c r="D49" s="699"/>
      <c r="E49" s="699"/>
      <c r="F49" s="699"/>
      <c r="G49" s="699"/>
      <c r="H49" s="123"/>
      <c r="I49" s="699"/>
      <c r="J49" s="699"/>
      <c r="K49" s="123"/>
      <c r="L49" s="699"/>
      <c r="M49" s="699"/>
      <c r="N49" s="699"/>
      <c r="O49" s="29"/>
      <c r="P49" s="29"/>
      <c r="Q49" s="30"/>
    </row>
    <row r="50" spans="1:21" ht="15" customHeight="1" x14ac:dyDescent="0.3">
      <c r="A50" s="129"/>
      <c r="B50" s="19" t="s">
        <v>235</v>
      </c>
      <c r="C50" s="114">
        <v>0.28000000000000003</v>
      </c>
      <c r="D50" s="6">
        <v>1</v>
      </c>
      <c r="E50" s="7">
        <f>C50*D50</f>
        <v>0.28000000000000003</v>
      </c>
      <c r="F50" s="7">
        <f>A50*E50</f>
        <v>0</v>
      </c>
      <c r="G50" s="8">
        <f>F50/8</f>
        <v>0</v>
      </c>
      <c r="H50" s="9">
        <f>C50</f>
        <v>0.28000000000000003</v>
      </c>
      <c r="I50" s="10">
        <v>0.61</v>
      </c>
      <c r="J50" s="10">
        <f>H50*I50</f>
        <v>0.17080000000000001</v>
      </c>
      <c r="K50" s="10">
        <f>A50*J50</f>
        <v>0</v>
      </c>
      <c r="L50" s="11">
        <f>K50/8</f>
        <v>0</v>
      </c>
      <c r="M50" s="12">
        <f>H50</f>
        <v>0.28000000000000003</v>
      </c>
      <c r="N50" s="13">
        <v>0.55000000000000004</v>
      </c>
      <c r="O50" s="13">
        <f>M50*N50</f>
        <v>0.15400000000000003</v>
      </c>
      <c r="P50" s="13">
        <f>A50*O50</f>
        <v>0</v>
      </c>
      <c r="Q50" s="14">
        <f>P50/8</f>
        <v>0</v>
      </c>
    </row>
    <row r="51" spans="1:21" ht="15.75" customHeight="1" x14ac:dyDescent="0.3">
      <c r="A51" s="130"/>
      <c r="B51" s="119" t="s">
        <v>236</v>
      </c>
      <c r="C51" s="97">
        <v>0.26</v>
      </c>
      <c r="D51" s="6">
        <v>1</v>
      </c>
      <c r="E51" s="7">
        <f>C51*D51</f>
        <v>0.26</v>
      </c>
      <c r="F51" s="7">
        <f>A51*E51</f>
        <v>0</v>
      </c>
      <c r="G51" s="8">
        <f>F51/8</f>
        <v>0</v>
      </c>
      <c r="H51" s="9">
        <f>C51</f>
        <v>0.26</v>
      </c>
      <c r="I51" s="10">
        <v>0.61</v>
      </c>
      <c r="J51" s="10">
        <f>H51*I51</f>
        <v>0.15859999999999999</v>
      </c>
      <c r="K51" s="10">
        <f>A51*J51</f>
        <v>0</v>
      </c>
      <c r="L51" s="11">
        <f>K51/8</f>
        <v>0</v>
      </c>
      <c r="M51" s="12">
        <f>H51</f>
        <v>0.26</v>
      </c>
      <c r="N51" s="13">
        <v>0.55000000000000004</v>
      </c>
      <c r="O51" s="13">
        <f>M51*N51</f>
        <v>0.14300000000000002</v>
      </c>
      <c r="P51" s="13">
        <f>A51*O51</f>
        <v>0</v>
      </c>
      <c r="Q51" s="14">
        <f>P51/8</f>
        <v>0</v>
      </c>
    </row>
    <row r="52" spans="1:21" x14ac:dyDescent="0.3">
      <c r="A52" s="130"/>
      <c r="B52" s="119" t="s">
        <v>237</v>
      </c>
      <c r="C52" s="97">
        <v>0.22</v>
      </c>
      <c r="D52" s="6">
        <v>1</v>
      </c>
      <c r="E52" s="7">
        <f>C52*D52</f>
        <v>0.22</v>
      </c>
      <c r="F52" s="7">
        <f>A52*E52</f>
        <v>0</v>
      </c>
      <c r="G52" s="8">
        <f>F52/8</f>
        <v>0</v>
      </c>
      <c r="H52" s="9">
        <f>C52</f>
        <v>0.22</v>
      </c>
      <c r="I52" s="10">
        <v>1</v>
      </c>
      <c r="J52" s="10">
        <f>H52*I52</f>
        <v>0.22</v>
      </c>
      <c r="K52" s="10">
        <f>A52*J52</f>
        <v>0</v>
      </c>
      <c r="L52" s="11">
        <f>K52/8</f>
        <v>0</v>
      </c>
      <c r="M52" s="12">
        <f>H52</f>
        <v>0.22</v>
      </c>
      <c r="N52" s="13">
        <v>1</v>
      </c>
      <c r="O52" s="13">
        <f>M52*N52</f>
        <v>0.22</v>
      </c>
      <c r="P52" s="13">
        <f>A52*O52</f>
        <v>0</v>
      </c>
      <c r="Q52" s="14">
        <f>P52/8</f>
        <v>0</v>
      </c>
    </row>
    <row r="53" spans="1:21" x14ac:dyDescent="0.3">
      <c r="A53" s="130"/>
      <c r="B53" s="119" t="s">
        <v>238</v>
      </c>
      <c r="C53" s="97">
        <v>1.2</v>
      </c>
      <c r="D53" s="6">
        <v>1</v>
      </c>
      <c r="E53" s="7">
        <f>C53*D53</f>
        <v>1.2</v>
      </c>
      <c r="F53" s="7">
        <f>A53*E53</f>
        <v>0</v>
      </c>
      <c r="G53" s="8">
        <f>F53/8</f>
        <v>0</v>
      </c>
      <c r="H53" s="9">
        <f>C53</f>
        <v>1.2</v>
      </c>
      <c r="I53" s="10">
        <v>0.61</v>
      </c>
      <c r="J53" s="10">
        <f>H53*I53</f>
        <v>0.73199999999999998</v>
      </c>
      <c r="K53" s="10">
        <f>A53*J53</f>
        <v>0</v>
      </c>
      <c r="L53" s="11">
        <f>K53/8</f>
        <v>0</v>
      </c>
      <c r="M53" s="12">
        <f>H53</f>
        <v>1.2</v>
      </c>
      <c r="N53" s="13">
        <v>0.4</v>
      </c>
      <c r="O53" s="13">
        <f>M53*N53</f>
        <v>0.48</v>
      </c>
      <c r="P53" s="13">
        <f>A53*O53</f>
        <v>0</v>
      </c>
      <c r="Q53" s="14">
        <f>P53/8</f>
        <v>0</v>
      </c>
    </row>
    <row r="54" spans="1:21" x14ac:dyDescent="0.3">
      <c r="A54" s="130"/>
      <c r="B54" s="119"/>
      <c r="C54" s="97"/>
      <c r="D54" s="6">
        <v>1</v>
      </c>
      <c r="E54" s="7">
        <f>C54*D54</f>
        <v>0</v>
      </c>
      <c r="F54" s="7">
        <f>A54*E54</f>
        <v>0</v>
      </c>
      <c r="G54" s="8">
        <f>F54/8</f>
        <v>0</v>
      </c>
      <c r="H54" s="9">
        <f>C54</f>
        <v>0</v>
      </c>
      <c r="I54" s="10">
        <v>1</v>
      </c>
      <c r="J54" s="10">
        <f>H54*I54</f>
        <v>0</v>
      </c>
      <c r="K54" s="10">
        <f>A54*J54</f>
        <v>0</v>
      </c>
      <c r="L54" s="11">
        <f>K54/8</f>
        <v>0</v>
      </c>
      <c r="M54" s="12">
        <f>H54</f>
        <v>0</v>
      </c>
      <c r="N54" s="13">
        <v>1</v>
      </c>
      <c r="O54" s="13">
        <f>M54*N54</f>
        <v>0</v>
      </c>
      <c r="P54" s="13">
        <f>A54*O54</f>
        <v>0</v>
      </c>
      <c r="Q54" s="14">
        <f>P54/8</f>
        <v>0</v>
      </c>
    </row>
    <row r="55" spans="1:21" ht="15" thickBot="1" x14ac:dyDescent="0.35">
      <c r="A55" s="3"/>
      <c r="B55" s="4"/>
      <c r="C55" s="4"/>
      <c r="D55" s="644" t="s">
        <v>9</v>
      </c>
      <c r="E55" s="645"/>
      <c r="F55" s="645"/>
      <c r="G55" s="16">
        <f>SUM(G50:G54)</f>
        <v>0</v>
      </c>
      <c r="H55" s="1"/>
      <c r="I55" s="646" t="s">
        <v>10</v>
      </c>
      <c r="J55" s="646"/>
      <c r="K55" s="646"/>
      <c r="L55" s="17">
        <f>SUM(L50:L54)</f>
        <v>0</v>
      </c>
      <c r="M55" s="15"/>
      <c r="N55" s="647" t="s">
        <v>11</v>
      </c>
      <c r="O55" s="647"/>
      <c r="P55" s="647"/>
      <c r="Q55" s="18">
        <f>SUM(Q50:Q54)</f>
        <v>0</v>
      </c>
      <c r="S55" s="116"/>
      <c r="T55" s="116"/>
      <c r="U55" s="116"/>
    </row>
    <row r="56" spans="1:21" ht="15" thickBot="1" x14ac:dyDescent="0.35"/>
    <row r="57" spans="1:21" ht="15" customHeight="1" x14ac:dyDescent="0.3">
      <c r="A57" s="689" t="s">
        <v>247</v>
      </c>
      <c r="B57" s="689"/>
      <c r="C57" s="689"/>
      <c r="D57" s="689"/>
      <c r="E57" s="698" t="s">
        <v>248</v>
      </c>
      <c r="F57" s="698"/>
      <c r="G57" s="698"/>
      <c r="H57" s="2"/>
      <c r="I57" s="698" t="s">
        <v>249</v>
      </c>
      <c r="J57" s="698"/>
      <c r="K57" s="698"/>
      <c r="L57" s="636"/>
      <c r="M57" s="636"/>
      <c r="N57" s="636"/>
      <c r="O57" s="2"/>
      <c r="P57" s="2"/>
      <c r="Q57" s="5"/>
    </row>
    <row r="58" spans="1:21" ht="15" customHeight="1" x14ac:dyDescent="0.3">
      <c r="A58" s="690"/>
      <c r="B58" s="690"/>
      <c r="C58" s="690"/>
      <c r="D58" s="690"/>
      <c r="E58" s="699"/>
      <c r="F58" s="699"/>
      <c r="G58" s="699"/>
      <c r="H58" s="29"/>
      <c r="I58" s="699"/>
      <c r="J58" s="699"/>
      <c r="K58" s="699"/>
      <c r="L58" s="637"/>
      <c r="M58" s="637"/>
      <c r="N58" s="637"/>
      <c r="O58" s="29"/>
      <c r="P58" s="29"/>
      <c r="Q58" s="30"/>
    </row>
    <row r="59" spans="1:21" ht="15" customHeight="1" x14ac:dyDescent="0.3">
      <c r="A59" s="129"/>
      <c r="B59" s="19" t="s">
        <v>251</v>
      </c>
      <c r="C59" s="114">
        <v>0.3</v>
      </c>
      <c r="D59" s="6">
        <v>1</v>
      </c>
      <c r="E59" s="7">
        <f>C59*D59</f>
        <v>0.3</v>
      </c>
      <c r="F59" s="7">
        <f>A59*E59</f>
        <v>0</v>
      </c>
      <c r="G59" s="8">
        <f>F59/8</f>
        <v>0</v>
      </c>
      <c r="H59" s="9">
        <f>C59</f>
        <v>0.3</v>
      </c>
      <c r="I59" s="10">
        <v>0.3</v>
      </c>
      <c r="J59" s="10">
        <f>H59*I59</f>
        <v>0.09</v>
      </c>
      <c r="K59" s="10">
        <f>A59*J59</f>
        <v>0</v>
      </c>
      <c r="L59" s="11">
        <f>K59/8</f>
        <v>0</v>
      </c>
      <c r="M59" s="12">
        <f>H59</f>
        <v>0.3</v>
      </c>
      <c r="N59" s="13">
        <v>0.2</v>
      </c>
      <c r="O59" s="13">
        <f>M59*N59</f>
        <v>0.06</v>
      </c>
      <c r="P59" s="13">
        <f>A59*O59</f>
        <v>0</v>
      </c>
      <c r="Q59" s="14">
        <f>P59/8</f>
        <v>0</v>
      </c>
    </row>
    <row r="60" spans="1:21" ht="15.75" customHeight="1" x14ac:dyDescent="0.3">
      <c r="A60" s="130"/>
      <c r="B60" s="119" t="s">
        <v>252</v>
      </c>
      <c r="C60" s="97">
        <v>0.33</v>
      </c>
      <c r="D60" s="6">
        <v>1</v>
      </c>
      <c r="E60" s="7">
        <f>C60*D60</f>
        <v>0.33</v>
      </c>
      <c r="F60" s="7">
        <f>A60*E60</f>
        <v>0</v>
      </c>
      <c r="G60" s="8">
        <f>F60/8</f>
        <v>0</v>
      </c>
      <c r="H60" s="9">
        <f>C60</f>
        <v>0.33</v>
      </c>
      <c r="I60" s="10">
        <v>0.3</v>
      </c>
      <c r="J60" s="10">
        <f>H60*I60</f>
        <v>9.9000000000000005E-2</v>
      </c>
      <c r="K60" s="10">
        <f>A60*J60</f>
        <v>0</v>
      </c>
      <c r="L60" s="11">
        <f>K60/8</f>
        <v>0</v>
      </c>
      <c r="M60" s="12">
        <f>H60</f>
        <v>0.33</v>
      </c>
      <c r="N60" s="13">
        <v>0.2</v>
      </c>
      <c r="O60" s="13">
        <f>M60*N60</f>
        <v>6.6000000000000003E-2</v>
      </c>
      <c r="P60" s="13">
        <f>A60*O60</f>
        <v>0</v>
      </c>
      <c r="Q60" s="14">
        <f>P60/8</f>
        <v>0</v>
      </c>
    </row>
    <row r="61" spans="1:21" x14ac:dyDescent="0.3">
      <c r="A61" s="130"/>
      <c r="B61" s="119" t="s">
        <v>250</v>
      </c>
      <c r="C61" s="97">
        <v>0.36</v>
      </c>
      <c r="D61" s="6">
        <v>1</v>
      </c>
      <c r="E61" s="7">
        <f>C61*D61</f>
        <v>0.36</v>
      </c>
      <c r="F61" s="7">
        <f>A61*E61</f>
        <v>0</v>
      </c>
      <c r="G61" s="8">
        <f>F61/8</f>
        <v>0</v>
      </c>
      <c r="H61" s="9">
        <f>C61</f>
        <v>0.36</v>
      </c>
      <c r="I61" s="10">
        <v>0.3</v>
      </c>
      <c r="J61" s="10">
        <f>H61*I61</f>
        <v>0.108</v>
      </c>
      <c r="K61" s="10">
        <f>A61*J61</f>
        <v>0</v>
      </c>
      <c r="L61" s="11">
        <f>K61/8</f>
        <v>0</v>
      </c>
      <c r="M61" s="12">
        <f>H61</f>
        <v>0.36</v>
      </c>
      <c r="N61" s="13">
        <v>0.2</v>
      </c>
      <c r="O61" s="13">
        <f>M61*N61</f>
        <v>7.1999999999999995E-2</v>
      </c>
      <c r="P61" s="13">
        <f>A61*O61</f>
        <v>0</v>
      </c>
      <c r="Q61" s="14">
        <f>P61/8</f>
        <v>0</v>
      </c>
    </row>
    <row r="62" spans="1:21" ht="15" thickBot="1" x14ac:dyDescent="0.35">
      <c r="A62" s="3"/>
      <c r="B62" s="4"/>
      <c r="C62" s="4"/>
      <c r="D62" s="644" t="s">
        <v>9</v>
      </c>
      <c r="E62" s="645"/>
      <c r="F62" s="645"/>
      <c r="G62" s="16">
        <f>SUM(G59:G61)</f>
        <v>0</v>
      </c>
      <c r="H62" s="1"/>
      <c r="I62" s="646" t="s">
        <v>10</v>
      </c>
      <c r="J62" s="646"/>
      <c r="K62" s="646"/>
      <c r="L62" s="17">
        <f>SUM(L59:L61)</f>
        <v>0</v>
      </c>
      <c r="M62" s="15"/>
      <c r="N62" s="647" t="s">
        <v>11</v>
      </c>
      <c r="O62" s="647"/>
      <c r="P62" s="647"/>
      <c r="Q62" s="18">
        <f>SUM(Q59:Q61)</f>
        <v>0</v>
      </c>
      <c r="S62" s="116"/>
      <c r="T62" s="116"/>
      <c r="U62" s="116"/>
    </row>
    <row r="63" spans="1:21" ht="15" thickBot="1" x14ac:dyDescent="0.35"/>
    <row r="64" spans="1:21" ht="15" customHeight="1" x14ac:dyDescent="0.3">
      <c r="A64" s="689" t="s">
        <v>242</v>
      </c>
      <c r="B64" s="689"/>
      <c r="C64" s="689"/>
      <c r="D64" s="689"/>
      <c r="E64" s="698" t="s">
        <v>243</v>
      </c>
      <c r="F64" s="698"/>
      <c r="G64" s="698"/>
      <c r="H64" s="2"/>
      <c r="I64" s="698" t="s">
        <v>249</v>
      </c>
      <c r="J64" s="698"/>
      <c r="K64" s="698"/>
      <c r="L64" s="636" t="s">
        <v>246</v>
      </c>
      <c r="M64" s="636"/>
      <c r="N64" s="636"/>
      <c r="O64" s="2"/>
      <c r="P64" s="2"/>
      <c r="Q64" s="5"/>
    </row>
    <row r="65" spans="1:21" ht="15" customHeight="1" x14ac:dyDescent="0.3">
      <c r="A65" s="690"/>
      <c r="B65" s="690"/>
      <c r="C65" s="690"/>
      <c r="D65" s="690"/>
      <c r="E65" s="699"/>
      <c r="F65" s="699"/>
      <c r="G65" s="699"/>
      <c r="H65" s="29"/>
      <c r="I65" s="699"/>
      <c r="J65" s="699"/>
      <c r="K65" s="699"/>
      <c r="L65" s="637"/>
      <c r="M65" s="637"/>
      <c r="N65" s="637"/>
      <c r="O65" s="29"/>
      <c r="P65" s="29"/>
      <c r="Q65" s="30"/>
    </row>
    <row r="66" spans="1:21" ht="15" customHeight="1" x14ac:dyDescent="0.3">
      <c r="A66" s="129"/>
      <c r="B66" s="19" t="s">
        <v>244</v>
      </c>
      <c r="C66" s="114">
        <v>0.05</v>
      </c>
      <c r="D66" s="6">
        <v>1</v>
      </c>
      <c r="E66" s="7">
        <f>C66*D66</f>
        <v>0.05</v>
      </c>
      <c r="F66" s="7">
        <f>A66*E66</f>
        <v>0</v>
      </c>
      <c r="G66" s="8">
        <f>F66/8</f>
        <v>0</v>
      </c>
      <c r="H66" s="9">
        <f>C66</f>
        <v>0.05</v>
      </c>
      <c r="I66" s="10">
        <v>0.3</v>
      </c>
      <c r="J66" s="10">
        <f>H66*I66</f>
        <v>1.4999999999999999E-2</v>
      </c>
      <c r="K66" s="10">
        <f>A66*J66</f>
        <v>0</v>
      </c>
      <c r="L66" s="11">
        <f>K66/8</f>
        <v>0</v>
      </c>
      <c r="M66" s="12">
        <f>H66</f>
        <v>0.05</v>
      </c>
      <c r="N66" s="13">
        <v>0.2</v>
      </c>
      <c r="O66" s="13">
        <f>M66*N66</f>
        <v>1.0000000000000002E-2</v>
      </c>
      <c r="P66" s="13">
        <f>A66*O66</f>
        <v>0</v>
      </c>
      <c r="Q66" s="14">
        <f>P66/8</f>
        <v>0</v>
      </c>
    </row>
    <row r="67" spans="1:21" ht="15.75" customHeight="1" x14ac:dyDescent="0.3">
      <c r="A67" s="130"/>
      <c r="B67" s="119" t="s">
        <v>245</v>
      </c>
      <c r="C67" s="97">
        <v>7.0000000000000007E-2</v>
      </c>
      <c r="D67" s="6">
        <v>1</v>
      </c>
      <c r="E67" s="7">
        <f>C67*D67</f>
        <v>7.0000000000000007E-2</v>
      </c>
      <c r="F67" s="7">
        <f>A67*E67</f>
        <v>0</v>
      </c>
      <c r="G67" s="8">
        <f>F67/8</f>
        <v>0</v>
      </c>
      <c r="H67" s="9">
        <f>C67</f>
        <v>7.0000000000000007E-2</v>
      </c>
      <c r="I67" s="10">
        <v>0.3</v>
      </c>
      <c r="J67" s="10">
        <f>H67*I67</f>
        <v>2.1000000000000001E-2</v>
      </c>
      <c r="K67" s="10">
        <f>A67*J67</f>
        <v>0</v>
      </c>
      <c r="L67" s="11">
        <f>K67/8</f>
        <v>0</v>
      </c>
      <c r="M67" s="12">
        <f>H67</f>
        <v>7.0000000000000007E-2</v>
      </c>
      <c r="N67" s="13">
        <v>0.2</v>
      </c>
      <c r="O67" s="13">
        <f>M67*N67</f>
        <v>1.4000000000000002E-2</v>
      </c>
      <c r="P67" s="13">
        <f>A67*O67</f>
        <v>0</v>
      </c>
      <c r="Q67" s="14">
        <f>P67/8</f>
        <v>0</v>
      </c>
    </row>
    <row r="68" spans="1:21" x14ac:dyDescent="0.3">
      <c r="A68" s="130"/>
      <c r="B68" s="119"/>
      <c r="C68" s="97"/>
      <c r="D68" s="6">
        <v>1</v>
      </c>
      <c r="E68" s="7">
        <f>C68*D68</f>
        <v>0</v>
      </c>
      <c r="F68" s="7">
        <f>A68*E68</f>
        <v>0</v>
      </c>
      <c r="G68" s="8">
        <f>F68/8</f>
        <v>0</v>
      </c>
      <c r="H68" s="9">
        <f>C68</f>
        <v>0</v>
      </c>
      <c r="I68" s="10">
        <v>0.3</v>
      </c>
      <c r="J68" s="10">
        <f>H68*I68</f>
        <v>0</v>
      </c>
      <c r="K68" s="10">
        <f>A68*J68</f>
        <v>0</v>
      </c>
      <c r="L68" s="11">
        <f>K68/8</f>
        <v>0</v>
      </c>
      <c r="M68" s="12">
        <f>H68</f>
        <v>0</v>
      </c>
      <c r="N68" s="13">
        <v>0.2</v>
      </c>
      <c r="O68" s="13">
        <f>M68*N68</f>
        <v>0</v>
      </c>
      <c r="P68" s="13">
        <f>A68*O68</f>
        <v>0</v>
      </c>
      <c r="Q68" s="14">
        <f>P68/8</f>
        <v>0</v>
      </c>
    </row>
    <row r="69" spans="1:21" ht="15" thickBot="1" x14ac:dyDescent="0.35">
      <c r="A69" s="3"/>
      <c r="B69" s="4"/>
      <c r="C69" s="4"/>
      <c r="D69" s="644" t="s">
        <v>9</v>
      </c>
      <c r="E69" s="645"/>
      <c r="F69" s="645"/>
      <c r="G69" s="16">
        <f>SUM(G66:G68)</f>
        <v>0</v>
      </c>
      <c r="H69" s="1"/>
      <c r="I69" s="646" t="s">
        <v>10</v>
      </c>
      <c r="J69" s="646"/>
      <c r="K69" s="646"/>
      <c r="L69" s="17">
        <f>SUM(L66:L68)</f>
        <v>0</v>
      </c>
      <c r="M69" s="15"/>
      <c r="N69" s="647" t="s">
        <v>11</v>
      </c>
      <c r="O69" s="647"/>
      <c r="P69" s="647"/>
      <c r="Q69" s="18">
        <f>SUM(Q66:Q68)</f>
        <v>0</v>
      </c>
      <c r="S69" s="116"/>
      <c r="T69" s="116"/>
      <c r="U69" s="116"/>
    </row>
  </sheetData>
  <sheetProtection algorithmName="SHA-512" hashValue="aDF49boG1uluwTDPIDyeElKrfKV7ONVrtsKttzyDT/QGbtJxGngB/i7Mrsb0k/qCfA5MpWxIwOCgBU/QZUPcrQ==" saltValue="kc2QtYpNGCSufAoMb3+G6Q==" spinCount="100000" sheet="1" objects="1" scenarios="1"/>
  <mergeCells count="61">
    <mergeCell ref="D12:F12"/>
    <mergeCell ref="I12:K12"/>
    <mergeCell ref="N12:P12"/>
    <mergeCell ref="AA2:AC2"/>
    <mergeCell ref="S3:T3"/>
    <mergeCell ref="W3:X3"/>
    <mergeCell ref="AA3:AB3"/>
    <mergeCell ref="A5:E6"/>
    <mergeCell ref="F5:G6"/>
    <mergeCell ref="I5:K6"/>
    <mergeCell ref="A1:C2"/>
    <mergeCell ref="D2:G2"/>
    <mergeCell ref="H2:L2"/>
    <mergeCell ref="M2:Q2"/>
    <mergeCell ref="S2:U2"/>
    <mergeCell ref="W2:Y2"/>
    <mergeCell ref="D62:F62"/>
    <mergeCell ref="I62:K62"/>
    <mergeCell ref="D55:F55"/>
    <mergeCell ref="I55:K55"/>
    <mergeCell ref="N55:P55"/>
    <mergeCell ref="I14:K15"/>
    <mergeCell ref="D28:F28"/>
    <mergeCell ref="I28:K28"/>
    <mergeCell ref="N28:P28"/>
    <mergeCell ref="A14:B15"/>
    <mergeCell ref="E14:G15"/>
    <mergeCell ref="N37:P37"/>
    <mergeCell ref="L30:N31"/>
    <mergeCell ref="I30:J31"/>
    <mergeCell ref="D30:G31"/>
    <mergeCell ref="A30:C31"/>
    <mergeCell ref="D37:F37"/>
    <mergeCell ref="I37:K37"/>
    <mergeCell ref="D48:G49"/>
    <mergeCell ref="I48:J49"/>
    <mergeCell ref="L48:N49"/>
    <mergeCell ref="I57:K58"/>
    <mergeCell ref="A39:C40"/>
    <mergeCell ref="D39:G40"/>
    <mergeCell ref="I39:J40"/>
    <mergeCell ref="L39:N40"/>
    <mergeCell ref="D46:F46"/>
    <mergeCell ref="I46:K46"/>
    <mergeCell ref="N46:P46"/>
    <mergeCell ref="D69:F69"/>
    <mergeCell ref="I69:K69"/>
    <mergeCell ref="N69:P69"/>
    <mergeCell ref="S22:U22"/>
    <mergeCell ref="W22:Y22"/>
    <mergeCell ref="S23:U25"/>
    <mergeCell ref="W23:Y25"/>
    <mergeCell ref="N62:P62"/>
    <mergeCell ref="A57:D58"/>
    <mergeCell ref="E57:G58"/>
    <mergeCell ref="L57:N58"/>
    <mergeCell ref="A64:D65"/>
    <mergeCell ref="E64:G65"/>
    <mergeCell ref="I64:K65"/>
    <mergeCell ref="L64:N65"/>
    <mergeCell ref="A48:C49"/>
  </mergeCells>
  <printOptions horizontalCentered="1"/>
  <pageMargins left="0.25" right="0.25" top="0.4" bottom="0.3" header="0.3" footer="0.25"/>
  <pageSetup scale="62" fitToHeight="0" orientation="portrait" r:id="rId1"/>
  <headerFooter alignWithMargins="0">
    <oddFooter>&amp;F&amp;RPage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C324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4.44140625" bestFit="1" customWidth="1"/>
    <col min="3" max="3" width="6.6640625" bestFit="1" customWidth="1"/>
    <col min="4" max="4" width="8.5546875" bestFit="1" customWidth="1"/>
    <col min="5" max="5" width="6.33203125" bestFit="1" customWidth="1"/>
    <col min="6" max="6" width="8.5546875" bestFit="1" customWidth="1"/>
    <col min="7" max="7" width="5.5546875" bestFit="1" customWidth="1"/>
    <col min="8" max="8" width="6.6640625" bestFit="1" customWidth="1"/>
    <col min="9" max="9" width="8.5546875" bestFit="1" customWidth="1"/>
    <col min="10" max="10" width="6.33203125" bestFit="1" customWidth="1"/>
    <col min="11" max="11" width="8.5546875" bestFit="1" customWidth="1"/>
    <col min="12" max="12" width="5.5546875" bestFit="1" customWidth="1"/>
    <col min="13" max="13" width="6.6640625" bestFit="1" customWidth="1"/>
    <col min="14" max="14" width="8.5546875" bestFit="1" customWidth="1"/>
    <col min="15" max="15" width="6.33203125" bestFit="1" customWidth="1"/>
    <col min="16" max="16" width="8.5546875" bestFit="1" customWidth="1"/>
    <col min="17" max="17" width="5.5546875" bestFit="1" customWidth="1"/>
    <col min="21" max="21" width="8.5546875" bestFit="1" customWidth="1"/>
    <col min="22" max="22" width="3.6640625" customWidth="1"/>
    <col min="25" max="25" width="8.5546875" bestFit="1" customWidth="1"/>
    <col min="26" max="26" width="3.6640625" customWidth="1"/>
    <col min="29" max="29" width="8.5546875" bestFit="1" customWidth="1"/>
  </cols>
  <sheetData>
    <row r="1" spans="1:29" ht="15" customHeight="1" thickBot="1" x14ac:dyDescent="0.35">
      <c r="A1" s="720" t="s">
        <v>58</v>
      </c>
      <c r="B1" s="721"/>
      <c r="C1" s="72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22"/>
      <c r="B2" s="723"/>
      <c r="C2" s="723"/>
      <c r="D2" s="695" t="s">
        <v>6</v>
      </c>
      <c r="E2" s="696"/>
      <c r="F2" s="696"/>
      <c r="G2" s="697"/>
      <c r="H2" s="633" t="s">
        <v>8</v>
      </c>
      <c r="I2" s="634"/>
      <c r="J2" s="634"/>
      <c r="K2" s="634"/>
      <c r="L2" s="635"/>
      <c r="M2" s="684" t="s">
        <v>257</v>
      </c>
      <c r="N2" s="685"/>
      <c r="O2" s="685"/>
      <c r="P2" s="685"/>
      <c r="Q2" s="686"/>
      <c r="S2" s="673" t="s">
        <v>41</v>
      </c>
      <c r="T2" s="674"/>
      <c r="U2" s="675"/>
      <c r="W2" s="676" t="s">
        <v>42</v>
      </c>
      <c r="X2" s="677"/>
      <c r="Y2" s="678"/>
      <c r="AA2" s="666" t="s">
        <v>22</v>
      </c>
      <c r="AB2" s="667"/>
      <c r="AC2" s="668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71">
        <f>G13+G23+G33+G44+G93+G110+G127+G140+G157+G169+G183+G321+G260+G270+G281+G291+G301+G311+G55+G66+G77+G84+G194+G205+G217+G228+G239+G250</f>
        <v>0</v>
      </c>
      <c r="T3" s="672"/>
      <c r="U3" s="80" t="s">
        <v>23</v>
      </c>
      <c r="W3" s="679">
        <f>L13+L23+L33+L44+L93+L110+L127+L140+L157+L169+L183+L321+L260+L270+L281+L291+L301+L311+L55+L66+L77+L84+L194+L205+L217+L228+L239+L250</f>
        <v>0</v>
      </c>
      <c r="X3" s="742"/>
      <c r="Y3" s="81" t="s">
        <v>23</v>
      </c>
      <c r="AA3" s="669">
        <f>Q13+Q23+Q33+Q44+Q93+Q110+Q127+Q140+Q157+Q169+Q183+Q321+Q260+Q270+Q281+Q291+Q301+Q311+Q55+Q84+Q66+Q77+Q194+Q205+Q217+Q228+Q239+Q250</f>
        <v>0</v>
      </c>
      <c r="AB3" s="670"/>
      <c r="AC3" s="79" t="s">
        <v>23</v>
      </c>
    </row>
    <row r="4" spans="1:29" ht="15" thickBot="1" x14ac:dyDescent="0.35"/>
    <row r="5" spans="1:29" ht="15" customHeight="1" x14ac:dyDescent="0.3">
      <c r="A5" s="689" t="s">
        <v>64</v>
      </c>
      <c r="B5" s="689"/>
      <c r="C5" s="689"/>
      <c r="D5" s="689"/>
      <c r="E5" s="689"/>
      <c r="F5" s="698" t="s">
        <v>105</v>
      </c>
      <c r="G5" s="698"/>
      <c r="H5" s="2"/>
      <c r="I5" s="2"/>
      <c r="J5" s="2"/>
      <c r="K5" s="2"/>
      <c r="L5" s="2"/>
      <c r="M5" s="2"/>
      <c r="N5" s="2"/>
      <c r="O5" s="2"/>
      <c r="P5" s="2"/>
      <c r="Q5" s="5"/>
    </row>
    <row r="6" spans="1:29" ht="15" customHeight="1" x14ac:dyDescent="0.3">
      <c r="A6" s="690"/>
      <c r="B6" s="690"/>
      <c r="C6" s="690"/>
      <c r="D6" s="690"/>
      <c r="E6" s="690"/>
      <c r="F6" s="699"/>
      <c r="G6" s="699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60</v>
      </c>
      <c r="C7" s="114">
        <v>4</v>
      </c>
      <c r="D7" s="6">
        <v>1</v>
      </c>
      <c r="E7" s="7">
        <f t="shared" ref="E7:E12" si="0">C7*D7</f>
        <v>4</v>
      </c>
      <c r="F7" s="7">
        <f t="shared" ref="F7:F12" si="1">A7*E7</f>
        <v>0</v>
      </c>
      <c r="G7" s="8">
        <f t="shared" ref="G7:G12" si="2">F7/8</f>
        <v>0</v>
      </c>
      <c r="H7" s="9">
        <f t="shared" ref="H7:H12" si="3">C7</f>
        <v>4</v>
      </c>
      <c r="I7" s="10">
        <v>0.84</v>
      </c>
      <c r="J7" s="10">
        <f t="shared" ref="J7:J12" si="4">H7*I7</f>
        <v>3.36</v>
      </c>
      <c r="K7" s="10">
        <f t="shared" ref="K7:K12" si="5">A7*J7</f>
        <v>0</v>
      </c>
      <c r="L7" s="11">
        <f t="shared" ref="L7:L12" si="6">K7/8</f>
        <v>0</v>
      </c>
      <c r="M7" s="12">
        <f t="shared" ref="M7:M12" si="7">H7</f>
        <v>4</v>
      </c>
      <c r="N7" s="13">
        <v>0.55000000000000004</v>
      </c>
      <c r="O7" s="13">
        <f t="shared" ref="O7:O12" si="8">M7*N7</f>
        <v>2.2000000000000002</v>
      </c>
      <c r="P7" s="13">
        <f t="shared" ref="P7:P12" si="9">A7*O7</f>
        <v>0</v>
      </c>
      <c r="Q7" s="14">
        <f t="shared" ref="Q7:Q12" si="10">P7/8</f>
        <v>0</v>
      </c>
    </row>
    <row r="8" spans="1:29" ht="15.75" customHeight="1" x14ac:dyDescent="0.3">
      <c r="A8" s="129"/>
      <c r="B8" s="119" t="s">
        <v>61</v>
      </c>
      <c r="C8" s="97">
        <v>4</v>
      </c>
      <c r="D8" s="6">
        <v>1</v>
      </c>
      <c r="E8" s="7">
        <f t="shared" si="0"/>
        <v>4</v>
      </c>
      <c r="F8" s="7">
        <f t="shared" si="1"/>
        <v>0</v>
      </c>
      <c r="G8" s="8">
        <f t="shared" si="2"/>
        <v>0</v>
      </c>
      <c r="H8" s="9">
        <f t="shared" si="3"/>
        <v>4</v>
      </c>
      <c r="I8" s="10">
        <v>0.84</v>
      </c>
      <c r="J8" s="10">
        <f t="shared" si="4"/>
        <v>3.36</v>
      </c>
      <c r="K8" s="10">
        <f t="shared" si="5"/>
        <v>0</v>
      </c>
      <c r="L8" s="11">
        <f t="shared" si="6"/>
        <v>0</v>
      </c>
      <c r="M8" s="12">
        <f t="shared" si="7"/>
        <v>4</v>
      </c>
      <c r="N8" s="13">
        <v>0.55000000000000004</v>
      </c>
      <c r="O8" s="13">
        <f t="shared" si="8"/>
        <v>2.2000000000000002</v>
      </c>
      <c r="P8" s="13">
        <f t="shared" si="9"/>
        <v>0</v>
      </c>
      <c r="Q8" s="14">
        <f t="shared" si="10"/>
        <v>0</v>
      </c>
    </row>
    <row r="9" spans="1:29" x14ac:dyDescent="0.3">
      <c r="A9" s="129"/>
      <c r="B9" s="119" t="s">
        <v>62</v>
      </c>
      <c r="C9" s="97">
        <v>4</v>
      </c>
      <c r="D9" s="6">
        <v>1</v>
      </c>
      <c r="E9" s="7">
        <f t="shared" si="0"/>
        <v>4</v>
      </c>
      <c r="F9" s="7">
        <f t="shared" si="1"/>
        <v>0</v>
      </c>
      <c r="G9" s="8">
        <f t="shared" si="2"/>
        <v>0</v>
      </c>
      <c r="H9" s="9">
        <f t="shared" si="3"/>
        <v>4</v>
      </c>
      <c r="I9" s="10">
        <v>0.84</v>
      </c>
      <c r="J9" s="10">
        <f t="shared" si="4"/>
        <v>3.36</v>
      </c>
      <c r="K9" s="10">
        <f t="shared" si="5"/>
        <v>0</v>
      </c>
      <c r="L9" s="11">
        <f t="shared" si="6"/>
        <v>0</v>
      </c>
      <c r="M9" s="12">
        <f t="shared" si="7"/>
        <v>4</v>
      </c>
      <c r="N9" s="13">
        <v>0.55000000000000004</v>
      </c>
      <c r="O9" s="13">
        <f t="shared" si="8"/>
        <v>2.2000000000000002</v>
      </c>
      <c r="P9" s="13">
        <f t="shared" si="9"/>
        <v>0</v>
      </c>
      <c r="Q9" s="14">
        <f t="shared" si="10"/>
        <v>0</v>
      </c>
    </row>
    <row r="10" spans="1:29" x14ac:dyDescent="0.3">
      <c r="A10" s="129"/>
      <c r="B10" s="119" t="s">
        <v>59</v>
      </c>
      <c r="C10" s="97">
        <v>8</v>
      </c>
      <c r="D10" s="6">
        <v>1</v>
      </c>
      <c r="E10" s="7">
        <f t="shared" si="0"/>
        <v>8</v>
      </c>
      <c r="F10" s="7">
        <f t="shared" si="1"/>
        <v>0</v>
      </c>
      <c r="G10" s="8">
        <f t="shared" si="2"/>
        <v>0</v>
      </c>
      <c r="H10" s="9">
        <f t="shared" si="3"/>
        <v>8</v>
      </c>
      <c r="I10" s="10">
        <v>0.84</v>
      </c>
      <c r="J10" s="10">
        <f t="shared" si="4"/>
        <v>6.72</v>
      </c>
      <c r="K10" s="10">
        <f t="shared" si="5"/>
        <v>0</v>
      </c>
      <c r="L10" s="11">
        <f t="shared" si="6"/>
        <v>0</v>
      </c>
      <c r="M10" s="12">
        <f t="shared" si="7"/>
        <v>8</v>
      </c>
      <c r="N10" s="13">
        <v>0.55000000000000004</v>
      </c>
      <c r="O10" s="13">
        <f t="shared" si="8"/>
        <v>4.4000000000000004</v>
      </c>
      <c r="P10" s="13">
        <f t="shared" si="9"/>
        <v>0</v>
      </c>
      <c r="Q10" s="14">
        <f t="shared" si="10"/>
        <v>0</v>
      </c>
    </row>
    <row r="11" spans="1:29" x14ac:dyDescent="0.3">
      <c r="A11" s="129"/>
      <c r="B11" s="119" t="s">
        <v>63</v>
      </c>
      <c r="C11" s="97">
        <v>16</v>
      </c>
      <c r="D11" s="6">
        <v>1</v>
      </c>
      <c r="E11" s="7">
        <f t="shared" si="0"/>
        <v>16</v>
      </c>
      <c r="F11" s="7">
        <f t="shared" si="1"/>
        <v>0</v>
      </c>
      <c r="G11" s="8">
        <f t="shared" si="2"/>
        <v>0</v>
      </c>
      <c r="H11" s="9">
        <f t="shared" si="3"/>
        <v>16</v>
      </c>
      <c r="I11" s="10">
        <v>0.84</v>
      </c>
      <c r="J11" s="10">
        <f t="shared" si="4"/>
        <v>13.44</v>
      </c>
      <c r="K11" s="10">
        <f t="shared" si="5"/>
        <v>0</v>
      </c>
      <c r="L11" s="11">
        <f t="shared" si="6"/>
        <v>0</v>
      </c>
      <c r="M11" s="12">
        <f t="shared" si="7"/>
        <v>16</v>
      </c>
      <c r="N11" s="13">
        <v>0.55000000000000004</v>
      </c>
      <c r="O11" s="13">
        <f t="shared" si="8"/>
        <v>8.8000000000000007</v>
      </c>
      <c r="P11" s="13">
        <f t="shared" si="9"/>
        <v>0</v>
      </c>
      <c r="Q11" s="14">
        <f t="shared" si="10"/>
        <v>0</v>
      </c>
    </row>
    <row r="12" spans="1:29" x14ac:dyDescent="0.3">
      <c r="A12" s="130"/>
      <c r="B12" s="119" t="s">
        <v>114</v>
      </c>
      <c r="C12" s="97">
        <v>1.5</v>
      </c>
      <c r="D12" s="6">
        <v>1</v>
      </c>
      <c r="E12" s="7">
        <f t="shared" si="0"/>
        <v>1.5</v>
      </c>
      <c r="F12" s="7">
        <f t="shared" si="1"/>
        <v>0</v>
      </c>
      <c r="G12" s="8">
        <f t="shared" si="2"/>
        <v>0</v>
      </c>
      <c r="H12" s="9">
        <f t="shared" si="3"/>
        <v>1.5</v>
      </c>
      <c r="I12" s="10">
        <v>0.84</v>
      </c>
      <c r="J12" s="10">
        <f t="shared" si="4"/>
        <v>1.26</v>
      </c>
      <c r="K12" s="10">
        <f t="shared" si="5"/>
        <v>0</v>
      </c>
      <c r="L12" s="11">
        <f t="shared" si="6"/>
        <v>0</v>
      </c>
      <c r="M12" s="12">
        <f t="shared" si="7"/>
        <v>1.5</v>
      </c>
      <c r="N12" s="13">
        <v>0.55000000000000004</v>
      </c>
      <c r="O12" s="13">
        <f t="shared" si="8"/>
        <v>0.82500000000000007</v>
      </c>
      <c r="P12" s="13">
        <f t="shared" si="9"/>
        <v>0</v>
      </c>
      <c r="Q12" s="14">
        <f t="shared" si="10"/>
        <v>0</v>
      </c>
    </row>
    <row r="13" spans="1:29" ht="15" thickBot="1" x14ac:dyDescent="0.35">
      <c r="A13" s="3"/>
      <c r="B13" s="4"/>
      <c r="C13" s="4"/>
      <c r="D13" s="644" t="s">
        <v>9</v>
      </c>
      <c r="E13" s="645"/>
      <c r="F13" s="645"/>
      <c r="G13" s="16">
        <f>SUM(G7:G12)</f>
        <v>0</v>
      </c>
      <c r="H13" s="1"/>
      <c r="I13" s="646" t="s">
        <v>10</v>
      </c>
      <c r="J13" s="646"/>
      <c r="K13" s="646"/>
      <c r="L13" s="17">
        <f>SUM(L7:L12)</f>
        <v>0</v>
      </c>
      <c r="M13" s="15"/>
      <c r="N13" s="647" t="s">
        <v>11</v>
      </c>
      <c r="O13" s="647"/>
      <c r="P13" s="647"/>
      <c r="Q13" s="18">
        <f>SUM(Q7:Q12)</f>
        <v>0</v>
      </c>
      <c r="S13" s="116"/>
      <c r="T13" s="116"/>
      <c r="U13" s="116"/>
    </row>
    <row r="14" spans="1:29" ht="15.75" customHeight="1" thickBot="1" x14ac:dyDescent="0.35">
      <c r="S14" s="117"/>
      <c r="T14" s="118"/>
      <c r="U14" s="118"/>
    </row>
    <row r="15" spans="1:29" ht="15" customHeight="1" x14ac:dyDescent="0.3">
      <c r="A15" s="689" t="s">
        <v>65</v>
      </c>
      <c r="B15" s="689"/>
      <c r="C15" s="689"/>
      <c r="D15" s="698" t="s">
        <v>105</v>
      </c>
      <c r="E15" s="698"/>
      <c r="F15" s="698"/>
      <c r="G15" s="698"/>
      <c r="H15" s="2"/>
      <c r="I15" s="2"/>
      <c r="J15" s="2"/>
      <c r="K15" s="2"/>
      <c r="L15" s="2"/>
      <c r="M15" s="2"/>
      <c r="N15" s="2"/>
      <c r="O15" s="2"/>
      <c r="P15" s="2"/>
      <c r="Q15" s="5"/>
    </row>
    <row r="16" spans="1:29" ht="15" customHeight="1" x14ac:dyDescent="0.3">
      <c r="A16" s="690"/>
      <c r="B16" s="690"/>
      <c r="C16" s="690"/>
      <c r="D16" s="699"/>
      <c r="E16" s="699"/>
      <c r="F16" s="699"/>
      <c r="G16" s="699"/>
      <c r="H16" s="29"/>
      <c r="I16" s="29"/>
      <c r="J16" s="29"/>
      <c r="K16" s="29"/>
      <c r="L16" s="29"/>
      <c r="M16" s="29"/>
      <c r="N16" s="29"/>
      <c r="O16" s="29"/>
      <c r="P16" s="29"/>
      <c r="Q16" s="30"/>
    </row>
    <row r="17" spans="1:25" ht="15" customHeight="1" x14ac:dyDescent="0.3">
      <c r="A17" s="129"/>
      <c r="B17" s="19" t="s">
        <v>66</v>
      </c>
      <c r="C17" s="114">
        <v>2</v>
      </c>
      <c r="D17" s="6">
        <v>1</v>
      </c>
      <c r="E17" s="7">
        <f t="shared" ref="E17:E22" si="11">C17*D17</f>
        <v>2</v>
      </c>
      <c r="F17" s="7">
        <f t="shared" ref="F17:F22" si="12">A17*E17</f>
        <v>0</v>
      </c>
      <c r="G17" s="8">
        <f t="shared" ref="G17:G22" si="13">F17/8</f>
        <v>0</v>
      </c>
      <c r="H17" s="9">
        <f t="shared" ref="H17:H22" si="14">C17</f>
        <v>2</v>
      </c>
      <c r="I17" s="10">
        <v>0.84</v>
      </c>
      <c r="J17" s="10">
        <f t="shared" ref="J17:J22" si="15">H17*I17</f>
        <v>1.68</v>
      </c>
      <c r="K17" s="10">
        <f t="shared" ref="K17:K22" si="16">A17*J17</f>
        <v>0</v>
      </c>
      <c r="L17" s="11">
        <f t="shared" ref="L17:L22" si="17">K17/8</f>
        <v>0</v>
      </c>
      <c r="M17" s="12">
        <f t="shared" ref="M17:M22" si="18">H17</f>
        <v>2</v>
      </c>
      <c r="N17" s="13">
        <v>0.55000000000000004</v>
      </c>
      <c r="O17" s="13">
        <f t="shared" ref="O17:O22" si="19">M17*N17</f>
        <v>1.1000000000000001</v>
      </c>
      <c r="P17" s="13">
        <f t="shared" ref="P17:P22" si="20">A17*O17</f>
        <v>0</v>
      </c>
      <c r="Q17" s="14">
        <f t="shared" ref="Q17:Q22" si="21">P17/8</f>
        <v>0</v>
      </c>
    </row>
    <row r="18" spans="1:25" ht="15.75" customHeight="1" x14ac:dyDescent="0.3">
      <c r="A18" s="129"/>
      <c r="B18" s="119" t="s">
        <v>68</v>
      </c>
      <c r="C18" s="97">
        <v>3</v>
      </c>
      <c r="D18" s="6">
        <v>1</v>
      </c>
      <c r="E18" s="7">
        <f t="shared" si="11"/>
        <v>3</v>
      </c>
      <c r="F18" s="7">
        <f t="shared" si="12"/>
        <v>0</v>
      </c>
      <c r="G18" s="8">
        <f t="shared" si="13"/>
        <v>0</v>
      </c>
      <c r="H18" s="9">
        <f t="shared" si="14"/>
        <v>3</v>
      </c>
      <c r="I18" s="10">
        <v>0.84</v>
      </c>
      <c r="J18" s="10">
        <f t="shared" si="15"/>
        <v>2.52</v>
      </c>
      <c r="K18" s="10">
        <f t="shared" si="16"/>
        <v>0</v>
      </c>
      <c r="L18" s="11">
        <f t="shared" si="17"/>
        <v>0</v>
      </c>
      <c r="M18" s="12">
        <f t="shared" si="18"/>
        <v>3</v>
      </c>
      <c r="N18" s="13">
        <v>0.55000000000000004</v>
      </c>
      <c r="O18" s="13">
        <f t="shared" si="19"/>
        <v>1.6500000000000001</v>
      </c>
      <c r="P18" s="13">
        <f t="shared" si="20"/>
        <v>0</v>
      </c>
      <c r="Q18" s="14">
        <f t="shared" si="21"/>
        <v>0</v>
      </c>
    </row>
    <row r="19" spans="1:25" x14ac:dyDescent="0.3">
      <c r="A19" s="129"/>
      <c r="B19" s="119" t="s">
        <v>69</v>
      </c>
      <c r="C19" s="97">
        <v>4.5</v>
      </c>
      <c r="D19" s="6">
        <v>1</v>
      </c>
      <c r="E19" s="7">
        <f t="shared" si="11"/>
        <v>4.5</v>
      </c>
      <c r="F19" s="7">
        <f t="shared" si="12"/>
        <v>0</v>
      </c>
      <c r="G19" s="8">
        <f t="shared" si="13"/>
        <v>0</v>
      </c>
      <c r="H19" s="9">
        <f t="shared" si="14"/>
        <v>4.5</v>
      </c>
      <c r="I19" s="10">
        <v>0.84</v>
      </c>
      <c r="J19" s="10">
        <f t="shared" si="15"/>
        <v>3.78</v>
      </c>
      <c r="K19" s="10">
        <f t="shared" si="16"/>
        <v>0</v>
      </c>
      <c r="L19" s="11">
        <f t="shared" si="17"/>
        <v>0</v>
      </c>
      <c r="M19" s="12">
        <f t="shared" si="18"/>
        <v>4.5</v>
      </c>
      <c r="N19" s="13">
        <v>0.55000000000000004</v>
      </c>
      <c r="O19" s="13">
        <f t="shared" si="19"/>
        <v>2.4750000000000001</v>
      </c>
      <c r="P19" s="13">
        <f t="shared" si="20"/>
        <v>0</v>
      </c>
      <c r="Q19" s="14">
        <f t="shared" si="21"/>
        <v>0</v>
      </c>
      <c r="T19" s="747" t="s">
        <v>79</v>
      </c>
      <c r="U19" s="748"/>
      <c r="V19" s="749"/>
      <c r="W19" s="681" t="s">
        <v>79</v>
      </c>
      <c r="X19" s="681"/>
      <c r="Y19" s="681"/>
    </row>
    <row r="20" spans="1:25" ht="15" customHeight="1" x14ac:dyDescent="0.3">
      <c r="A20" s="129"/>
      <c r="B20" s="119" t="s">
        <v>70</v>
      </c>
      <c r="C20" s="97">
        <v>6</v>
      </c>
      <c r="D20" s="6">
        <v>1</v>
      </c>
      <c r="E20" s="7">
        <f t="shared" si="11"/>
        <v>6</v>
      </c>
      <c r="F20" s="7">
        <f t="shared" si="12"/>
        <v>0</v>
      </c>
      <c r="G20" s="8">
        <f t="shared" si="13"/>
        <v>0</v>
      </c>
      <c r="H20" s="9">
        <f t="shared" si="14"/>
        <v>6</v>
      </c>
      <c r="I20" s="10">
        <v>0.84</v>
      </c>
      <c r="J20" s="10">
        <f t="shared" si="15"/>
        <v>5.04</v>
      </c>
      <c r="K20" s="10">
        <f t="shared" si="16"/>
        <v>0</v>
      </c>
      <c r="L20" s="11">
        <f t="shared" si="17"/>
        <v>0</v>
      </c>
      <c r="M20" s="12">
        <f t="shared" si="18"/>
        <v>6</v>
      </c>
      <c r="N20" s="13">
        <v>0.55000000000000004</v>
      </c>
      <c r="O20" s="13">
        <f t="shared" si="19"/>
        <v>3.3000000000000003</v>
      </c>
      <c r="P20" s="13">
        <f t="shared" si="20"/>
        <v>0</v>
      </c>
      <c r="Q20" s="14">
        <f t="shared" si="21"/>
        <v>0</v>
      </c>
      <c r="T20" s="750">
        <f>Q13+Q23+Q33</f>
        <v>0</v>
      </c>
      <c r="U20" s="751"/>
      <c r="V20" s="752"/>
      <c r="W20" s="682">
        <f>L13+L23+L33</f>
        <v>0</v>
      </c>
      <c r="X20" s="683"/>
      <c r="Y20" s="683"/>
    </row>
    <row r="21" spans="1:25" ht="15" customHeight="1" x14ac:dyDescent="0.3">
      <c r="A21" s="129"/>
      <c r="B21" s="127"/>
      <c r="C21" s="128"/>
      <c r="D21" s="6">
        <v>1</v>
      </c>
      <c r="E21" s="7">
        <f t="shared" si="11"/>
        <v>0</v>
      </c>
      <c r="F21" s="7">
        <f t="shared" si="12"/>
        <v>0</v>
      </c>
      <c r="G21" s="8">
        <f t="shared" si="13"/>
        <v>0</v>
      </c>
      <c r="H21" s="9">
        <f t="shared" si="14"/>
        <v>0</v>
      </c>
      <c r="I21" s="10">
        <v>0.84</v>
      </c>
      <c r="J21" s="10">
        <f t="shared" si="15"/>
        <v>0</v>
      </c>
      <c r="K21" s="10">
        <f t="shared" si="16"/>
        <v>0</v>
      </c>
      <c r="L21" s="11">
        <f t="shared" si="17"/>
        <v>0</v>
      </c>
      <c r="M21" s="12">
        <f t="shared" si="18"/>
        <v>0</v>
      </c>
      <c r="N21" s="13">
        <v>0.55000000000000004</v>
      </c>
      <c r="O21" s="13">
        <f t="shared" si="19"/>
        <v>0</v>
      </c>
      <c r="P21" s="13">
        <f t="shared" si="20"/>
        <v>0</v>
      </c>
      <c r="Q21" s="14">
        <f t="shared" si="21"/>
        <v>0</v>
      </c>
      <c r="T21" s="753"/>
      <c r="U21" s="754"/>
      <c r="V21" s="755"/>
      <c r="W21" s="683"/>
      <c r="X21" s="683"/>
      <c r="Y21" s="683"/>
    </row>
    <row r="22" spans="1:25" ht="15" customHeight="1" x14ac:dyDescent="0.3">
      <c r="A22" s="130"/>
      <c r="B22" s="127"/>
      <c r="C22" s="128"/>
      <c r="D22" s="6">
        <v>1</v>
      </c>
      <c r="E22" s="7">
        <f t="shared" si="11"/>
        <v>0</v>
      </c>
      <c r="F22" s="7">
        <f t="shared" si="12"/>
        <v>0</v>
      </c>
      <c r="G22" s="8">
        <f t="shared" si="13"/>
        <v>0</v>
      </c>
      <c r="H22" s="9">
        <f t="shared" si="14"/>
        <v>0</v>
      </c>
      <c r="I22" s="10">
        <v>0.84</v>
      </c>
      <c r="J22" s="10">
        <f t="shared" si="15"/>
        <v>0</v>
      </c>
      <c r="K22" s="10">
        <f t="shared" si="16"/>
        <v>0</v>
      </c>
      <c r="L22" s="11">
        <f t="shared" si="17"/>
        <v>0</v>
      </c>
      <c r="M22" s="12">
        <f t="shared" si="18"/>
        <v>0</v>
      </c>
      <c r="N22" s="13">
        <v>0.55000000000000004</v>
      </c>
      <c r="O22" s="13">
        <f t="shared" si="19"/>
        <v>0</v>
      </c>
      <c r="P22" s="13">
        <f t="shared" si="20"/>
        <v>0</v>
      </c>
      <c r="Q22" s="14">
        <f t="shared" si="21"/>
        <v>0</v>
      </c>
      <c r="T22" s="756"/>
      <c r="U22" s="757"/>
      <c r="V22" s="758"/>
      <c r="W22" s="683"/>
      <c r="X22" s="683"/>
      <c r="Y22" s="683"/>
    </row>
    <row r="23" spans="1:25" ht="15" thickBot="1" x14ac:dyDescent="0.35">
      <c r="A23" s="3"/>
      <c r="B23" s="4"/>
      <c r="C23" s="4"/>
      <c r="D23" s="644" t="s">
        <v>9</v>
      </c>
      <c r="E23" s="645"/>
      <c r="F23" s="645"/>
      <c r="G23" s="16">
        <f>SUM(G17:G22)</f>
        <v>0</v>
      </c>
      <c r="H23" s="1"/>
      <c r="I23" s="646" t="s">
        <v>10</v>
      </c>
      <c r="J23" s="646"/>
      <c r="K23" s="646"/>
      <c r="L23" s="17">
        <f>SUM(L17:L22)</f>
        <v>0</v>
      </c>
      <c r="M23" s="15"/>
      <c r="N23" s="647" t="s">
        <v>11</v>
      </c>
      <c r="O23" s="647"/>
      <c r="P23" s="647"/>
      <c r="Q23" s="18">
        <f>SUM(Q17:Q22)</f>
        <v>0</v>
      </c>
      <c r="S23" s="116"/>
      <c r="T23" s="116"/>
      <c r="U23" s="116"/>
    </row>
    <row r="24" spans="1:25" ht="15" thickBot="1" x14ac:dyDescent="0.35"/>
    <row r="25" spans="1:25" ht="15" customHeight="1" x14ac:dyDescent="0.3">
      <c r="A25" s="689" t="s">
        <v>67</v>
      </c>
      <c r="B25" s="689"/>
      <c r="C25" s="689"/>
      <c r="D25" s="698" t="s">
        <v>105</v>
      </c>
      <c r="E25" s="698"/>
      <c r="F25" s="698"/>
      <c r="G25" s="698"/>
      <c r="H25" s="2"/>
      <c r="I25" s="2"/>
      <c r="J25" s="2"/>
      <c r="K25" s="2"/>
      <c r="L25" s="2"/>
      <c r="M25" s="2"/>
      <c r="N25" s="2"/>
      <c r="O25" s="2"/>
      <c r="P25" s="2"/>
      <c r="Q25" s="5"/>
    </row>
    <row r="26" spans="1:25" ht="15" customHeight="1" x14ac:dyDescent="0.3">
      <c r="A26" s="690"/>
      <c r="B26" s="690"/>
      <c r="C26" s="690"/>
      <c r="D26" s="699"/>
      <c r="E26" s="699"/>
      <c r="F26" s="699"/>
      <c r="G26" s="69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25" ht="15" customHeight="1" x14ac:dyDescent="0.3">
      <c r="A27" s="129"/>
      <c r="B27" s="19" t="s">
        <v>71</v>
      </c>
      <c r="C27" s="114">
        <v>6</v>
      </c>
      <c r="D27" s="6">
        <v>1</v>
      </c>
      <c r="E27" s="7">
        <f t="shared" ref="E27:E32" si="22">C27*D27</f>
        <v>6</v>
      </c>
      <c r="F27" s="7">
        <f t="shared" ref="F27:F32" si="23">A27*E27</f>
        <v>0</v>
      </c>
      <c r="G27" s="8">
        <f t="shared" ref="G27:G32" si="24">F27/8</f>
        <v>0</v>
      </c>
      <c r="H27" s="9">
        <f t="shared" ref="H27:H32" si="25">C27</f>
        <v>6</v>
      </c>
      <c r="I27" s="10">
        <v>0.84</v>
      </c>
      <c r="J27" s="10">
        <f t="shared" ref="J27:J32" si="26">H27*I27</f>
        <v>5.04</v>
      </c>
      <c r="K27" s="10">
        <f t="shared" ref="K27:K32" si="27">A27*J27</f>
        <v>0</v>
      </c>
      <c r="L27" s="11">
        <f t="shared" ref="L27:L32" si="28">K27/8</f>
        <v>0</v>
      </c>
      <c r="M27" s="12">
        <f t="shared" ref="M27:M32" si="29">H27</f>
        <v>6</v>
      </c>
      <c r="N27" s="13">
        <v>0.55000000000000004</v>
      </c>
      <c r="O27" s="13">
        <f t="shared" ref="O27:O32" si="30">M27*N27</f>
        <v>3.3000000000000003</v>
      </c>
      <c r="P27" s="13">
        <f t="shared" ref="P27:P32" si="31">A27*O27</f>
        <v>0</v>
      </c>
      <c r="Q27" s="14">
        <f t="shared" ref="Q27:Q32" si="32">P27/8</f>
        <v>0</v>
      </c>
    </row>
    <row r="28" spans="1:25" ht="15.75" customHeight="1" x14ac:dyDescent="0.3">
      <c r="A28" s="129"/>
      <c r="B28" s="119" t="s">
        <v>72</v>
      </c>
      <c r="C28" s="97">
        <v>8</v>
      </c>
      <c r="D28" s="6">
        <v>1</v>
      </c>
      <c r="E28" s="7">
        <f t="shared" si="22"/>
        <v>8</v>
      </c>
      <c r="F28" s="7">
        <f t="shared" si="23"/>
        <v>0</v>
      </c>
      <c r="G28" s="8">
        <f t="shared" si="24"/>
        <v>0</v>
      </c>
      <c r="H28" s="9">
        <f t="shared" si="25"/>
        <v>8</v>
      </c>
      <c r="I28" s="10">
        <v>0.84</v>
      </c>
      <c r="J28" s="10">
        <f t="shared" si="26"/>
        <v>6.72</v>
      </c>
      <c r="K28" s="10">
        <f t="shared" si="27"/>
        <v>0</v>
      </c>
      <c r="L28" s="11">
        <f t="shared" si="28"/>
        <v>0</v>
      </c>
      <c r="M28" s="12">
        <f t="shared" si="29"/>
        <v>8</v>
      </c>
      <c r="N28" s="13">
        <v>0.55000000000000004</v>
      </c>
      <c r="O28" s="13">
        <f t="shared" si="30"/>
        <v>4.4000000000000004</v>
      </c>
      <c r="P28" s="13">
        <f t="shared" si="31"/>
        <v>0</v>
      </c>
      <c r="Q28" s="14">
        <f t="shared" si="32"/>
        <v>0</v>
      </c>
    </row>
    <row r="29" spans="1:25" x14ac:dyDescent="0.3">
      <c r="A29" s="129"/>
      <c r="B29" s="119" t="s">
        <v>73</v>
      </c>
      <c r="C29" s="97">
        <v>8</v>
      </c>
      <c r="D29" s="6">
        <v>1</v>
      </c>
      <c r="E29" s="7">
        <f t="shared" si="22"/>
        <v>8</v>
      </c>
      <c r="F29" s="7">
        <f t="shared" si="23"/>
        <v>0</v>
      </c>
      <c r="G29" s="8">
        <f t="shared" si="24"/>
        <v>0</v>
      </c>
      <c r="H29" s="9">
        <f t="shared" si="25"/>
        <v>8</v>
      </c>
      <c r="I29" s="10">
        <v>0.84</v>
      </c>
      <c r="J29" s="10">
        <f t="shared" si="26"/>
        <v>6.72</v>
      </c>
      <c r="K29" s="10">
        <f t="shared" si="27"/>
        <v>0</v>
      </c>
      <c r="L29" s="11">
        <f t="shared" si="28"/>
        <v>0</v>
      </c>
      <c r="M29" s="12">
        <f t="shared" si="29"/>
        <v>8</v>
      </c>
      <c r="N29" s="13">
        <v>0.55000000000000004</v>
      </c>
      <c r="O29" s="13">
        <f t="shared" si="30"/>
        <v>4.4000000000000004</v>
      </c>
      <c r="P29" s="13">
        <f t="shared" si="31"/>
        <v>0</v>
      </c>
      <c r="Q29" s="14">
        <f t="shared" si="32"/>
        <v>0</v>
      </c>
    </row>
    <row r="30" spans="1:25" x14ac:dyDescent="0.3">
      <c r="A30" s="129"/>
      <c r="B30" s="119" t="s">
        <v>74</v>
      </c>
      <c r="C30" s="97">
        <v>8</v>
      </c>
      <c r="D30" s="6">
        <v>1</v>
      </c>
      <c r="E30" s="7">
        <f t="shared" si="22"/>
        <v>8</v>
      </c>
      <c r="F30" s="7">
        <f t="shared" si="23"/>
        <v>0</v>
      </c>
      <c r="G30" s="8">
        <f t="shared" si="24"/>
        <v>0</v>
      </c>
      <c r="H30" s="9">
        <f t="shared" si="25"/>
        <v>8</v>
      </c>
      <c r="I30" s="10">
        <v>0.84</v>
      </c>
      <c r="J30" s="10">
        <f t="shared" si="26"/>
        <v>6.72</v>
      </c>
      <c r="K30" s="10">
        <f t="shared" si="27"/>
        <v>0</v>
      </c>
      <c r="L30" s="11">
        <f t="shared" si="28"/>
        <v>0</v>
      </c>
      <c r="M30" s="12">
        <f t="shared" si="29"/>
        <v>8</v>
      </c>
      <c r="N30" s="13">
        <v>0.55000000000000004</v>
      </c>
      <c r="O30" s="13">
        <f t="shared" si="30"/>
        <v>4.4000000000000004</v>
      </c>
      <c r="P30" s="13">
        <f t="shared" si="31"/>
        <v>0</v>
      </c>
      <c r="Q30" s="14">
        <f t="shared" si="32"/>
        <v>0</v>
      </c>
    </row>
    <row r="31" spans="1:25" x14ac:dyDescent="0.3">
      <c r="A31" s="129"/>
      <c r="B31" s="127"/>
      <c r="C31" s="128"/>
      <c r="D31" s="6">
        <v>1</v>
      </c>
      <c r="E31" s="7">
        <f t="shared" si="22"/>
        <v>0</v>
      </c>
      <c r="F31" s="7">
        <f t="shared" si="23"/>
        <v>0</v>
      </c>
      <c r="G31" s="8">
        <f t="shared" si="24"/>
        <v>0</v>
      </c>
      <c r="H31" s="9">
        <f t="shared" si="25"/>
        <v>0</v>
      </c>
      <c r="I31" s="10">
        <v>0.84</v>
      </c>
      <c r="J31" s="10">
        <f t="shared" si="26"/>
        <v>0</v>
      </c>
      <c r="K31" s="10">
        <f t="shared" si="27"/>
        <v>0</v>
      </c>
      <c r="L31" s="11">
        <f t="shared" si="28"/>
        <v>0</v>
      </c>
      <c r="M31" s="12">
        <f t="shared" si="29"/>
        <v>0</v>
      </c>
      <c r="N31" s="13">
        <v>0.55000000000000004</v>
      </c>
      <c r="O31" s="13">
        <f t="shared" si="30"/>
        <v>0</v>
      </c>
      <c r="P31" s="13">
        <f t="shared" si="31"/>
        <v>0</v>
      </c>
      <c r="Q31" s="14">
        <f t="shared" si="32"/>
        <v>0</v>
      </c>
    </row>
    <row r="32" spans="1:25" x14ac:dyDescent="0.3">
      <c r="A32" s="130"/>
      <c r="B32" s="127"/>
      <c r="C32" s="128"/>
      <c r="D32" s="6">
        <v>1</v>
      </c>
      <c r="E32" s="7">
        <f t="shared" si="22"/>
        <v>0</v>
      </c>
      <c r="F32" s="7">
        <f t="shared" si="23"/>
        <v>0</v>
      </c>
      <c r="G32" s="8">
        <f t="shared" si="24"/>
        <v>0</v>
      </c>
      <c r="H32" s="9">
        <f t="shared" si="25"/>
        <v>0</v>
      </c>
      <c r="I32" s="10">
        <v>0.84</v>
      </c>
      <c r="J32" s="10">
        <f t="shared" si="26"/>
        <v>0</v>
      </c>
      <c r="K32" s="10">
        <f t="shared" si="27"/>
        <v>0</v>
      </c>
      <c r="L32" s="11">
        <f t="shared" si="28"/>
        <v>0</v>
      </c>
      <c r="M32" s="12">
        <f t="shared" si="29"/>
        <v>0</v>
      </c>
      <c r="N32" s="13">
        <v>0.55000000000000004</v>
      </c>
      <c r="O32" s="13">
        <f t="shared" si="30"/>
        <v>0</v>
      </c>
      <c r="P32" s="13">
        <f t="shared" si="31"/>
        <v>0</v>
      </c>
      <c r="Q32" s="14">
        <f t="shared" si="32"/>
        <v>0</v>
      </c>
    </row>
    <row r="33" spans="1:22" ht="15" thickBot="1" x14ac:dyDescent="0.35">
      <c r="A33" s="3"/>
      <c r="B33" s="4"/>
      <c r="C33" s="4"/>
      <c r="D33" s="644" t="s">
        <v>9</v>
      </c>
      <c r="E33" s="645"/>
      <c r="F33" s="645"/>
      <c r="G33" s="16">
        <f>SUM(G27:G32)</f>
        <v>0</v>
      </c>
      <c r="H33" s="1"/>
      <c r="I33" s="646" t="s">
        <v>10</v>
      </c>
      <c r="J33" s="646"/>
      <c r="K33" s="646"/>
      <c r="L33" s="17">
        <f>SUM(L27:L32)</f>
        <v>0</v>
      </c>
      <c r="M33" s="15"/>
      <c r="N33" s="647" t="s">
        <v>11</v>
      </c>
      <c r="O33" s="647"/>
      <c r="P33" s="647"/>
      <c r="Q33" s="18">
        <f>SUM(Q27:Q32)</f>
        <v>0</v>
      </c>
      <c r="S33" s="116"/>
      <c r="T33" s="116"/>
      <c r="U33" s="116"/>
    </row>
    <row r="34" spans="1:22" ht="15" thickBot="1" x14ac:dyDescent="0.35"/>
    <row r="35" spans="1:22" ht="15" customHeight="1" x14ac:dyDescent="0.3">
      <c r="A35" s="687" t="s">
        <v>190</v>
      </c>
      <c r="B35" s="687"/>
      <c r="C35" s="687"/>
      <c r="D35" s="687"/>
      <c r="E35" s="687"/>
      <c r="F35" s="687"/>
      <c r="G35" s="687"/>
      <c r="H35" s="687"/>
      <c r="I35" s="687"/>
      <c r="J35" s="687"/>
      <c r="K35" s="23"/>
      <c r="L35" s="23"/>
      <c r="M35" s="23"/>
      <c r="N35" s="23"/>
      <c r="O35" s="23"/>
      <c r="P35" s="23"/>
      <c r="Q35" s="24"/>
    </row>
    <row r="36" spans="1:22" ht="15" customHeight="1" x14ac:dyDescent="0.3">
      <c r="A36" s="688"/>
      <c r="B36" s="688"/>
      <c r="C36" s="688"/>
      <c r="D36" s="688"/>
      <c r="E36" s="688"/>
      <c r="F36" s="688"/>
      <c r="G36" s="688"/>
      <c r="H36" s="688"/>
      <c r="I36" s="688"/>
      <c r="J36" s="688"/>
      <c r="K36" s="42"/>
      <c r="L36" s="42"/>
      <c r="M36" s="42"/>
      <c r="N36" s="42"/>
      <c r="O36" s="42"/>
      <c r="P36" s="42"/>
      <c r="Q36" s="43"/>
    </row>
    <row r="37" spans="1:22" ht="15" customHeight="1" x14ac:dyDescent="0.3">
      <c r="A37" s="129"/>
      <c r="B37" s="20" t="s">
        <v>115</v>
      </c>
      <c r="C37" s="110">
        <v>0.1</v>
      </c>
      <c r="D37" s="6">
        <v>1.1000000000000001</v>
      </c>
      <c r="E37" s="7">
        <f t="shared" ref="E37:E43" si="33">C37*D37</f>
        <v>0.11000000000000001</v>
      </c>
      <c r="F37" s="7">
        <f t="shared" ref="F37:F43" si="34">A37*E37</f>
        <v>0</v>
      </c>
      <c r="G37" s="8">
        <f t="shared" ref="G37:G43" si="35">F37/8</f>
        <v>0</v>
      </c>
      <c r="H37" s="9">
        <f t="shared" ref="H37:H43" si="36">C37</f>
        <v>0.1</v>
      </c>
      <c r="I37" s="10">
        <v>1.1000000000000001</v>
      </c>
      <c r="J37" s="10">
        <f t="shared" ref="J37:J43" si="37">H37*I37</f>
        <v>0.11000000000000001</v>
      </c>
      <c r="K37" s="10">
        <f t="shared" ref="K37:K43" si="38">A37*J37</f>
        <v>0</v>
      </c>
      <c r="L37" s="11">
        <f t="shared" ref="L37:L43" si="39">K37/8</f>
        <v>0</v>
      </c>
      <c r="M37" s="12">
        <f t="shared" ref="M37:M43" si="40">H37</f>
        <v>0.1</v>
      </c>
      <c r="N37" s="13">
        <v>1</v>
      </c>
      <c r="O37" s="13">
        <f t="shared" ref="O37:O43" si="41">M37*N37</f>
        <v>0.1</v>
      </c>
      <c r="P37" s="13">
        <f t="shared" ref="P37:P43" si="42">A37*O37</f>
        <v>0</v>
      </c>
      <c r="Q37" s="14">
        <f t="shared" ref="Q37:Q43" si="43">P37/8</f>
        <v>0</v>
      </c>
    </row>
    <row r="38" spans="1:22" ht="15.75" customHeight="1" x14ac:dyDescent="0.3">
      <c r="A38" s="129"/>
      <c r="B38" s="20" t="s">
        <v>76</v>
      </c>
      <c r="C38" s="110">
        <v>0.14000000000000001</v>
      </c>
      <c r="D38" s="6">
        <v>1.1000000000000001</v>
      </c>
      <c r="E38" s="7">
        <f t="shared" si="33"/>
        <v>0.15400000000000003</v>
      </c>
      <c r="F38" s="7">
        <f t="shared" si="34"/>
        <v>0</v>
      </c>
      <c r="G38" s="8">
        <f t="shared" si="35"/>
        <v>0</v>
      </c>
      <c r="H38" s="9">
        <f t="shared" si="36"/>
        <v>0.14000000000000001</v>
      </c>
      <c r="I38" s="10">
        <v>1.1000000000000001</v>
      </c>
      <c r="J38" s="10">
        <f t="shared" si="37"/>
        <v>0.15400000000000003</v>
      </c>
      <c r="K38" s="10">
        <f t="shared" si="38"/>
        <v>0</v>
      </c>
      <c r="L38" s="11">
        <f t="shared" si="39"/>
        <v>0</v>
      </c>
      <c r="M38" s="12">
        <f t="shared" si="40"/>
        <v>0.14000000000000001</v>
      </c>
      <c r="N38" s="13">
        <v>1</v>
      </c>
      <c r="O38" s="13">
        <f t="shared" si="41"/>
        <v>0.14000000000000001</v>
      </c>
      <c r="P38" s="13">
        <f t="shared" si="42"/>
        <v>0</v>
      </c>
      <c r="Q38" s="14">
        <f t="shared" si="43"/>
        <v>0</v>
      </c>
    </row>
    <row r="39" spans="1:22" x14ac:dyDescent="0.3">
      <c r="A39" s="129"/>
      <c r="B39" s="148" t="s">
        <v>77</v>
      </c>
      <c r="C39" s="99">
        <v>0.19</v>
      </c>
      <c r="D39" s="6">
        <v>1.1000000000000001</v>
      </c>
      <c r="E39" s="7">
        <f t="shared" si="33"/>
        <v>0.20900000000000002</v>
      </c>
      <c r="F39" s="7">
        <f t="shared" si="34"/>
        <v>0</v>
      </c>
      <c r="G39" s="8">
        <f t="shared" si="35"/>
        <v>0</v>
      </c>
      <c r="H39" s="9">
        <f t="shared" si="36"/>
        <v>0.19</v>
      </c>
      <c r="I39" s="10">
        <v>1.1000000000000001</v>
      </c>
      <c r="J39" s="10">
        <f t="shared" si="37"/>
        <v>0.20900000000000002</v>
      </c>
      <c r="K39" s="10">
        <f t="shared" si="38"/>
        <v>0</v>
      </c>
      <c r="L39" s="11">
        <f t="shared" si="39"/>
        <v>0</v>
      </c>
      <c r="M39" s="12">
        <f t="shared" si="40"/>
        <v>0.19</v>
      </c>
      <c r="N39" s="13">
        <v>1</v>
      </c>
      <c r="O39" s="13">
        <f t="shared" si="41"/>
        <v>0.19</v>
      </c>
      <c r="P39" s="13">
        <f t="shared" si="42"/>
        <v>0</v>
      </c>
      <c r="Q39" s="14">
        <f t="shared" si="43"/>
        <v>0</v>
      </c>
    </row>
    <row r="40" spans="1:22" x14ac:dyDescent="0.3">
      <c r="A40" s="129"/>
      <c r="B40" s="148" t="s">
        <v>78</v>
      </c>
      <c r="C40" s="99">
        <v>0.28000000000000003</v>
      </c>
      <c r="D40" s="6">
        <v>1.1000000000000001</v>
      </c>
      <c r="E40" s="7">
        <f t="shared" si="33"/>
        <v>0.30800000000000005</v>
      </c>
      <c r="F40" s="7">
        <f t="shared" si="34"/>
        <v>0</v>
      </c>
      <c r="G40" s="8">
        <f t="shared" si="35"/>
        <v>0</v>
      </c>
      <c r="H40" s="9">
        <f t="shared" si="36"/>
        <v>0.28000000000000003</v>
      </c>
      <c r="I40" s="10">
        <v>1.1000000000000001</v>
      </c>
      <c r="J40" s="10">
        <f t="shared" si="37"/>
        <v>0.30800000000000005</v>
      </c>
      <c r="K40" s="10">
        <f t="shared" si="38"/>
        <v>0</v>
      </c>
      <c r="L40" s="11">
        <f t="shared" si="39"/>
        <v>0</v>
      </c>
      <c r="M40" s="12">
        <f t="shared" si="40"/>
        <v>0.28000000000000003</v>
      </c>
      <c r="N40" s="13">
        <v>1</v>
      </c>
      <c r="O40" s="13">
        <f t="shared" si="41"/>
        <v>0.28000000000000003</v>
      </c>
      <c r="P40" s="13">
        <f t="shared" si="42"/>
        <v>0</v>
      </c>
      <c r="Q40" s="14">
        <f t="shared" si="43"/>
        <v>0</v>
      </c>
    </row>
    <row r="41" spans="1:22" x14ac:dyDescent="0.3">
      <c r="A41" s="129"/>
      <c r="B41" s="148" t="s">
        <v>141</v>
      </c>
      <c r="C41" s="99">
        <v>0.33</v>
      </c>
      <c r="D41" s="6">
        <v>1.1000000000000001</v>
      </c>
      <c r="E41" s="7">
        <f t="shared" si="33"/>
        <v>0.36300000000000004</v>
      </c>
      <c r="F41" s="7">
        <f t="shared" si="34"/>
        <v>0</v>
      </c>
      <c r="G41" s="8">
        <f t="shared" si="35"/>
        <v>0</v>
      </c>
      <c r="H41" s="9">
        <f t="shared" si="36"/>
        <v>0.33</v>
      </c>
      <c r="I41" s="10">
        <v>1.1000000000000001</v>
      </c>
      <c r="J41" s="10">
        <f t="shared" si="37"/>
        <v>0.36300000000000004</v>
      </c>
      <c r="K41" s="10">
        <f t="shared" si="38"/>
        <v>0</v>
      </c>
      <c r="L41" s="11">
        <f t="shared" si="39"/>
        <v>0</v>
      </c>
      <c r="M41" s="12">
        <f t="shared" si="40"/>
        <v>0.33</v>
      </c>
      <c r="N41" s="13">
        <v>1</v>
      </c>
      <c r="O41" s="13">
        <f t="shared" si="41"/>
        <v>0.33</v>
      </c>
      <c r="P41" s="13">
        <f t="shared" si="42"/>
        <v>0</v>
      </c>
      <c r="Q41" s="14">
        <f t="shared" si="43"/>
        <v>0</v>
      </c>
    </row>
    <row r="42" spans="1:22" x14ac:dyDescent="0.3">
      <c r="A42" s="130"/>
      <c r="B42" s="148" t="s">
        <v>123</v>
      </c>
      <c r="C42" s="99">
        <v>0.05</v>
      </c>
      <c r="D42" s="6">
        <v>1.1000000000000001</v>
      </c>
      <c r="E42" s="7">
        <f t="shared" si="33"/>
        <v>5.5000000000000007E-2</v>
      </c>
      <c r="F42" s="7">
        <f t="shared" si="34"/>
        <v>0</v>
      </c>
      <c r="G42" s="8">
        <f t="shared" si="35"/>
        <v>0</v>
      </c>
      <c r="H42" s="9">
        <f t="shared" si="36"/>
        <v>0.05</v>
      </c>
      <c r="I42" s="10">
        <v>1.1000000000000001</v>
      </c>
      <c r="J42" s="10">
        <f t="shared" si="37"/>
        <v>5.5000000000000007E-2</v>
      </c>
      <c r="K42" s="10">
        <f t="shared" si="38"/>
        <v>0</v>
      </c>
      <c r="L42" s="11">
        <f t="shared" si="39"/>
        <v>0</v>
      </c>
      <c r="M42" s="12">
        <f t="shared" si="40"/>
        <v>0.05</v>
      </c>
      <c r="N42" s="13">
        <v>1</v>
      </c>
      <c r="O42" s="13">
        <f t="shared" si="41"/>
        <v>0.05</v>
      </c>
      <c r="P42" s="13">
        <f t="shared" si="42"/>
        <v>0</v>
      </c>
      <c r="Q42" s="14">
        <f t="shared" si="43"/>
        <v>0</v>
      </c>
      <c r="T42" s="116"/>
      <c r="U42" s="116"/>
      <c r="V42" s="116"/>
    </row>
    <row r="43" spans="1:22" ht="15" customHeight="1" x14ac:dyDescent="0.3">
      <c r="A43" s="130"/>
      <c r="B43" s="148" t="s">
        <v>122</v>
      </c>
      <c r="C43" s="99">
        <v>0.09</v>
      </c>
      <c r="D43" s="6">
        <v>1.1000000000000001</v>
      </c>
      <c r="E43" s="7">
        <f t="shared" si="33"/>
        <v>9.9000000000000005E-2</v>
      </c>
      <c r="F43" s="7">
        <f t="shared" si="34"/>
        <v>0</v>
      </c>
      <c r="G43" s="8">
        <f t="shared" si="35"/>
        <v>0</v>
      </c>
      <c r="H43" s="9">
        <f t="shared" si="36"/>
        <v>0.09</v>
      </c>
      <c r="I43" s="10">
        <v>1.1000000000000001</v>
      </c>
      <c r="J43" s="10">
        <f t="shared" si="37"/>
        <v>9.9000000000000005E-2</v>
      </c>
      <c r="K43" s="10">
        <f t="shared" si="38"/>
        <v>0</v>
      </c>
      <c r="L43" s="11">
        <f t="shared" si="39"/>
        <v>0</v>
      </c>
      <c r="M43" s="12">
        <f t="shared" si="40"/>
        <v>0.09</v>
      </c>
      <c r="N43" s="13">
        <v>1</v>
      </c>
      <c r="O43" s="13">
        <f t="shared" si="41"/>
        <v>0.09</v>
      </c>
      <c r="P43" s="13">
        <f t="shared" si="42"/>
        <v>0</v>
      </c>
      <c r="Q43" s="14">
        <f t="shared" si="43"/>
        <v>0</v>
      </c>
      <c r="T43" s="117"/>
      <c r="U43" s="118"/>
      <c r="V43" s="118"/>
    </row>
    <row r="44" spans="1:22" ht="15.75" customHeight="1" thickBot="1" x14ac:dyDescent="0.35">
      <c r="A44" s="21"/>
      <c r="B44" s="22"/>
      <c r="C44" s="22"/>
      <c r="D44" s="644" t="s">
        <v>9</v>
      </c>
      <c r="E44" s="645"/>
      <c r="F44" s="645"/>
      <c r="G44" s="16">
        <f>SUM(G37:G43)</f>
        <v>0</v>
      </c>
      <c r="H44" s="1"/>
      <c r="I44" s="646" t="s">
        <v>10</v>
      </c>
      <c r="J44" s="646"/>
      <c r="K44" s="646"/>
      <c r="L44" s="17">
        <f>SUM(L37:L43)</f>
        <v>0</v>
      </c>
      <c r="M44" s="15"/>
      <c r="N44" s="647" t="s">
        <v>11</v>
      </c>
      <c r="O44" s="647"/>
      <c r="P44" s="647"/>
      <c r="Q44" s="18">
        <f>SUM(Q37:Q43)</f>
        <v>0</v>
      </c>
      <c r="T44" s="118"/>
      <c r="U44" s="118"/>
      <c r="V44" s="118"/>
    </row>
    <row r="45" spans="1:22" ht="15.75" customHeight="1" thickBot="1" x14ac:dyDescent="0.35">
      <c r="T45" s="118"/>
      <c r="U45" s="118"/>
      <c r="V45" s="118"/>
    </row>
    <row r="46" spans="1:22" ht="15" customHeight="1" x14ac:dyDescent="0.3">
      <c r="A46" s="687" t="s">
        <v>191</v>
      </c>
      <c r="B46" s="687"/>
      <c r="C46" s="687"/>
      <c r="D46" s="687"/>
      <c r="E46" s="687"/>
      <c r="F46" s="687"/>
      <c r="G46" s="687"/>
      <c r="H46" s="687"/>
      <c r="I46" s="687"/>
      <c r="J46" s="687"/>
      <c r="K46" s="687"/>
      <c r="L46" s="23"/>
      <c r="M46" s="23"/>
      <c r="N46" s="23"/>
      <c r="O46" s="23"/>
      <c r="P46" s="23"/>
      <c r="Q46" s="24"/>
    </row>
    <row r="47" spans="1:22" ht="15" customHeight="1" x14ac:dyDescent="0.3">
      <c r="A47" s="688"/>
      <c r="B47" s="688"/>
      <c r="C47" s="688"/>
      <c r="D47" s="688"/>
      <c r="E47" s="688"/>
      <c r="F47" s="688"/>
      <c r="G47" s="688"/>
      <c r="H47" s="688"/>
      <c r="I47" s="688"/>
      <c r="J47" s="688"/>
      <c r="K47" s="688"/>
      <c r="L47" s="42"/>
      <c r="M47" s="42"/>
      <c r="N47" s="42"/>
      <c r="O47" s="42"/>
      <c r="P47" s="42"/>
      <c r="Q47" s="43"/>
    </row>
    <row r="48" spans="1:22" ht="15" customHeight="1" x14ac:dyDescent="0.3">
      <c r="A48" s="129"/>
      <c r="B48" s="20" t="s">
        <v>115</v>
      </c>
      <c r="C48" s="110">
        <v>0.1</v>
      </c>
      <c r="D48" s="6">
        <v>1.1000000000000001</v>
      </c>
      <c r="E48" s="7">
        <f t="shared" ref="E48:E54" si="44">C48*D48</f>
        <v>0.11000000000000001</v>
      </c>
      <c r="F48" s="7">
        <f t="shared" ref="F48:F54" si="45">A48*E48</f>
        <v>0</v>
      </c>
      <c r="G48" s="8">
        <f t="shared" ref="G48:G54" si="46">F48/8</f>
        <v>0</v>
      </c>
      <c r="H48" s="9">
        <f t="shared" ref="H48:H54" si="47">C48</f>
        <v>0.1</v>
      </c>
      <c r="I48" s="10">
        <v>1.1000000000000001</v>
      </c>
      <c r="J48" s="10">
        <f t="shared" ref="J48:J54" si="48">H48*I48</f>
        <v>0.11000000000000001</v>
      </c>
      <c r="K48" s="10">
        <f t="shared" ref="K48:K54" si="49">A48*J48</f>
        <v>0</v>
      </c>
      <c r="L48" s="11">
        <f t="shared" ref="L48:L54" si="50">K48/8</f>
        <v>0</v>
      </c>
      <c r="M48" s="12">
        <f t="shared" ref="M48:M54" si="51">H48</f>
        <v>0.1</v>
      </c>
      <c r="N48" s="13">
        <v>1</v>
      </c>
      <c r="O48" s="13">
        <f t="shared" ref="O48:O54" si="52">M48*N48</f>
        <v>0.1</v>
      </c>
      <c r="P48" s="13">
        <f t="shared" ref="P48:P54" si="53">A48*O48</f>
        <v>0</v>
      </c>
      <c r="Q48" s="14">
        <f t="shared" ref="Q48:Q54" si="54">P48/8</f>
        <v>0</v>
      </c>
    </row>
    <row r="49" spans="1:22" ht="15.75" customHeight="1" x14ac:dyDescent="0.3">
      <c r="A49" s="129"/>
      <c r="B49" s="20" t="s">
        <v>76</v>
      </c>
      <c r="C49" s="110">
        <v>0.14000000000000001</v>
      </c>
      <c r="D49" s="6">
        <v>1.1000000000000001</v>
      </c>
      <c r="E49" s="7">
        <f t="shared" si="44"/>
        <v>0.15400000000000003</v>
      </c>
      <c r="F49" s="7">
        <f t="shared" si="45"/>
        <v>0</v>
      </c>
      <c r="G49" s="8">
        <f t="shared" si="46"/>
        <v>0</v>
      </c>
      <c r="H49" s="9">
        <f t="shared" si="47"/>
        <v>0.14000000000000001</v>
      </c>
      <c r="I49" s="10">
        <v>1.1000000000000001</v>
      </c>
      <c r="J49" s="10">
        <f t="shared" si="48"/>
        <v>0.15400000000000003</v>
      </c>
      <c r="K49" s="10">
        <f t="shared" si="49"/>
        <v>0</v>
      </c>
      <c r="L49" s="11">
        <f t="shared" si="50"/>
        <v>0</v>
      </c>
      <c r="M49" s="12">
        <f t="shared" si="51"/>
        <v>0.14000000000000001</v>
      </c>
      <c r="N49" s="13">
        <v>1</v>
      </c>
      <c r="O49" s="13">
        <f t="shared" si="52"/>
        <v>0.14000000000000001</v>
      </c>
      <c r="P49" s="13">
        <f t="shared" si="53"/>
        <v>0</v>
      </c>
      <c r="Q49" s="14">
        <f t="shared" si="54"/>
        <v>0</v>
      </c>
    </row>
    <row r="50" spans="1:22" x14ac:dyDescent="0.3">
      <c r="A50" s="129"/>
      <c r="B50" s="148" t="s">
        <v>77</v>
      </c>
      <c r="C50" s="99">
        <v>0.19</v>
      </c>
      <c r="D50" s="6">
        <v>1.1000000000000001</v>
      </c>
      <c r="E50" s="7">
        <f t="shared" si="44"/>
        <v>0.20900000000000002</v>
      </c>
      <c r="F50" s="7">
        <f t="shared" si="45"/>
        <v>0</v>
      </c>
      <c r="G50" s="8">
        <f t="shared" si="46"/>
        <v>0</v>
      </c>
      <c r="H50" s="9">
        <f t="shared" si="47"/>
        <v>0.19</v>
      </c>
      <c r="I50" s="10">
        <v>1.1000000000000001</v>
      </c>
      <c r="J50" s="10">
        <f t="shared" si="48"/>
        <v>0.20900000000000002</v>
      </c>
      <c r="K50" s="10">
        <f t="shared" si="49"/>
        <v>0</v>
      </c>
      <c r="L50" s="11">
        <f t="shared" si="50"/>
        <v>0</v>
      </c>
      <c r="M50" s="12">
        <f t="shared" si="51"/>
        <v>0.19</v>
      </c>
      <c r="N50" s="13">
        <v>1</v>
      </c>
      <c r="O50" s="13">
        <f t="shared" si="52"/>
        <v>0.19</v>
      </c>
      <c r="P50" s="13">
        <f t="shared" si="53"/>
        <v>0</v>
      </c>
      <c r="Q50" s="14">
        <f t="shared" si="54"/>
        <v>0</v>
      </c>
    </row>
    <row r="51" spans="1:22" x14ac:dyDescent="0.3">
      <c r="A51" s="129"/>
      <c r="B51" s="148" t="s">
        <v>78</v>
      </c>
      <c r="C51" s="99">
        <v>0.28000000000000003</v>
      </c>
      <c r="D51" s="6">
        <v>1.1000000000000001</v>
      </c>
      <c r="E51" s="7">
        <f t="shared" si="44"/>
        <v>0.30800000000000005</v>
      </c>
      <c r="F51" s="7">
        <f t="shared" si="45"/>
        <v>0</v>
      </c>
      <c r="G51" s="8">
        <f t="shared" si="46"/>
        <v>0</v>
      </c>
      <c r="H51" s="9">
        <f t="shared" si="47"/>
        <v>0.28000000000000003</v>
      </c>
      <c r="I51" s="10">
        <v>1.1000000000000001</v>
      </c>
      <c r="J51" s="10">
        <f t="shared" si="48"/>
        <v>0.30800000000000005</v>
      </c>
      <c r="K51" s="10">
        <f t="shared" si="49"/>
        <v>0</v>
      </c>
      <c r="L51" s="11">
        <f t="shared" si="50"/>
        <v>0</v>
      </c>
      <c r="M51" s="12">
        <f t="shared" si="51"/>
        <v>0.28000000000000003</v>
      </c>
      <c r="N51" s="13">
        <v>1</v>
      </c>
      <c r="O51" s="13">
        <f t="shared" si="52"/>
        <v>0.28000000000000003</v>
      </c>
      <c r="P51" s="13">
        <f t="shared" si="53"/>
        <v>0</v>
      </c>
      <c r="Q51" s="14">
        <f t="shared" si="54"/>
        <v>0</v>
      </c>
    </row>
    <row r="52" spans="1:22" x14ac:dyDescent="0.3">
      <c r="A52" s="129"/>
      <c r="B52" s="148" t="s">
        <v>141</v>
      </c>
      <c r="C52" s="99">
        <v>0.33</v>
      </c>
      <c r="D52" s="6">
        <v>1.1000000000000001</v>
      </c>
      <c r="E52" s="7">
        <f t="shared" si="44"/>
        <v>0.36300000000000004</v>
      </c>
      <c r="F52" s="7">
        <f t="shared" si="45"/>
        <v>0</v>
      </c>
      <c r="G52" s="8">
        <f t="shared" si="46"/>
        <v>0</v>
      </c>
      <c r="H52" s="9">
        <f t="shared" si="47"/>
        <v>0.33</v>
      </c>
      <c r="I52" s="10">
        <v>1.1000000000000001</v>
      </c>
      <c r="J52" s="10">
        <f t="shared" si="48"/>
        <v>0.36300000000000004</v>
      </c>
      <c r="K52" s="10">
        <f t="shared" si="49"/>
        <v>0</v>
      </c>
      <c r="L52" s="11">
        <f t="shared" si="50"/>
        <v>0</v>
      </c>
      <c r="M52" s="12">
        <f t="shared" si="51"/>
        <v>0.33</v>
      </c>
      <c r="N52" s="13">
        <v>1</v>
      </c>
      <c r="O52" s="13">
        <f t="shared" si="52"/>
        <v>0.33</v>
      </c>
      <c r="P52" s="13">
        <f t="shared" si="53"/>
        <v>0</v>
      </c>
      <c r="Q52" s="14">
        <f t="shared" si="54"/>
        <v>0</v>
      </c>
    </row>
    <row r="53" spans="1:22" x14ac:dyDescent="0.3">
      <c r="A53" s="130"/>
      <c r="B53" s="148" t="s">
        <v>123</v>
      </c>
      <c r="C53" s="99">
        <v>0.05</v>
      </c>
      <c r="D53" s="6">
        <v>1.1000000000000001</v>
      </c>
      <c r="E53" s="7">
        <f t="shared" si="44"/>
        <v>5.5000000000000007E-2</v>
      </c>
      <c r="F53" s="7">
        <f t="shared" si="45"/>
        <v>0</v>
      </c>
      <c r="G53" s="8">
        <f t="shared" si="46"/>
        <v>0</v>
      </c>
      <c r="H53" s="9">
        <f t="shared" si="47"/>
        <v>0.05</v>
      </c>
      <c r="I53" s="10">
        <v>1.1000000000000001</v>
      </c>
      <c r="J53" s="10">
        <f t="shared" si="48"/>
        <v>5.5000000000000007E-2</v>
      </c>
      <c r="K53" s="10">
        <f t="shared" si="49"/>
        <v>0</v>
      </c>
      <c r="L53" s="11">
        <f t="shared" si="50"/>
        <v>0</v>
      </c>
      <c r="M53" s="12">
        <f t="shared" si="51"/>
        <v>0.05</v>
      </c>
      <c r="N53" s="13">
        <v>1</v>
      </c>
      <c r="O53" s="13">
        <f t="shared" si="52"/>
        <v>0.05</v>
      </c>
      <c r="P53" s="13">
        <f t="shared" si="53"/>
        <v>0</v>
      </c>
      <c r="Q53" s="14">
        <f t="shared" si="54"/>
        <v>0</v>
      </c>
      <c r="T53" s="116"/>
      <c r="U53" s="116"/>
      <c r="V53" s="116"/>
    </row>
    <row r="54" spans="1:22" ht="15" customHeight="1" x14ac:dyDescent="0.3">
      <c r="A54" s="130"/>
      <c r="B54" s="148" t="s">
        <v>122</v>
      </c>
      <c r="C54" s="99">
        <v>0.09</v>
      </c>
      <c r="D54" s="6">
        <v>1.1000000000000001</v>
      </c>
      <c r="E54" s="7">
        <f t="shared" si="44"/>
        <v>9.9000000000000005E-2</v>
      </c>
      <c r="F54" s="7">
        <f t="shared" si="45"/>
        <v>0</v>
      </c>
      <c r="G54" s="8">
        <f t="shared" si="46"/>
        <v>0</v>
      </c>
      <c r="H54" s="9">
        <f t="shared" si="47"/>
        <v>0.09</v>
      </c>
      <c r="I54" s="10">
        <v>1.1000000000000001</v>
      </c>
      <c r="J54" s="10">
        <f t="shared" si="48"/>
        <v>9.9000000000000005E-2</v>
      </c>
      <c r="K54" s="10">
        <f t="shared" si="49"/>
        <v>0</v>
      </c>
      <c r="L54" s="11">
        <f t="shared" si="50"/>
        <v>0</v>
      </c>
      <c r="M54" s="12">
        <f t="shared" si="51"/>
        <v>0.09</v>
      </c>
      <c r="N54" s="13">
        <v>1</v>
      </c>
      <c r="O54" s="13">
        <f t="shared" si="52"/>
        <v>0.09</v>
      </c>
      <c r="P54" s="13">
        <f t="shared" si="53"/>
        <v>0</v>
      </c>
      <c r="Q54" s="14">
        <f t="shared" si="54"/>
        <v>0</v>
      </c>
      <c r="T54" s="117"/>
      <c r="U54" s="118"/>
      <c r="V54" s="118"/>
    </row>
    <row r="55" spans="1:22" ht="15.75" customHeight="1" thickBot="1" x14ac:dyDescent="0.35">
      <c r="A55" s="21"/>
      <c r="B55" s="22"/>
      <c r="C55" s="22"/>
      <c r="D55" s="644" t="s">
        <v>9</v>
      </c>
      <c r="E55" s="645"/>
      <c r="F55" s="645"/>
      <c r="G55" s="16">
        <f>SUM(G48:G54)</f>
        <v>0</v>
      </c>
      <c r="H55" s="1"/>
      <c r="I55" s="646" t="s">
        <v>10</v>
      </c>
      <c r="J55" s="646"/>
      <c r="K55" s="646"/>
      <c r="L55" s="17">
        <f>SUM(L48:L54)</f>
        <v>0</v>
      </c>
      <c r="M55" s="15"/>
      <c r="N55" s="647" t="s">
        <v>11</v>
      </c>
      <c r="O55" s="647"/>
      <c r="P55" s="647"/>
      <c r="Q55" s="18">
        <f>SUM(Q48:Q54)</f>
        <v>0</v>
      </c>
      <c r="T55" s="118"/>
      <c r="U55" s="118"/>
      <c r="V55" s="118"/>
    </row>
    <row r="56" spans="1:22" ht="15.75" customHeight="1" thickBot="1" x14ac:dyDescent="0.35">
      <c r="T56" s="118"/>
      <c r="U56" s="118"/>
      <c r="V56" s="118"/>
    </row>
    <row r="57" spans="1:22" ht="15" customHeight="1" x14ac:dyDescent="0.3">
      <c r="A57" s="689" t="s">
        <v>194</v>
      </c>
      <c r="B57" s="689"/>
      <c r="C57" s="689"/>
      <c r="D57" s="689"/>
      <c r="E57" s="689"/>
      <c r="F57" s="689"/>
      <c r="G57" s="689"/>
      <c r="H57" s="689"/>
      <c r="I57" s="689"/>
      <c r="J57" s="689"/>
      <c r="K57" s="2"/>
      <c r="L57" s="2"/>
      <c r="M57" s="2"/>
      <c r="N57" s="2"/>
      <c r="O57" s="2"/>
      <c r="P57" s="2"/>
      <c r="Q57" s="5"/>
    </row>
    <row r="58" spans="1:22" ht="15" customHeight="1" x14ac:dyDescent="0.3">
      <c r="A58" s="690"/>
      <c r="B58" s="690"/>
      <c r="C58" s="690"/>
      <c r="D58" s="690"/>
      <c r="E58" s="690"/>
      <c r="F58" s="690"/>
      <c r="G58" s="690"/>
      <c r="H58" s="690"/>
      <c r="I58" s="690"/>
      <c r="J58" s="690"/>
      <c r="K58" s="29"/>
      <c r="L58" s="29"/>
      <c r="M58" s="29"/>
      <c r="N58" s="29"/>
      <c r="O58" s="29"/>
      <c r="P58" s="29"/>
      <c r="Q58" s="30"/>
    </row>
    <row r="59" spans="1:22" x14ac:dyDescent="0.3">
      <c r="A59" s="129"/>
      <c r="B59" s="19" t="s">
        <v>115</v>
      </c>
      <c r="C59" s="114">
        <v>0.1</v>
      </c>
      <c r="D59" s="6">
        <v>1.1000000000000001</v>
      </c>
      <c r="E59" s="7">
        <f t="shared" ref="E59:E65" si="55">C59*D59</f>
        <v>0.11000000000000001</v>
      </c>
      <c r="F59" s="7">
        <f t="shared" ref="F59:F65" si="56">A59*E59</f>
        <v>0</v>
      </c>
      <c r="G59" s="8">
        <f t="shared" ref="G59:G65" si="57">F59/8</f>
        <v>0</v>
      </c>
      <c r="H59" s="9">
        <f t="shared" ref="H59:H65" si="58">C59</f>
        <v>0.1</v>
      </c>
      <c r="I59" s="10">
        <v>1.1000000000000001</v>
      </c>
      <c r="J59" s="10">
        <f t="shared" ref="J59:J65" si="59">H59*I59</f>
        <v>0.11000000000000001</v>
      </c>
      <c r="K59" s="10">
        <f t="shared" ref="K59:K65" si="60">A59*J59</f>
        <v>0</v>
      </c>
      <c r="L59" s="11">
        <f t="shared" ref="L59:L65" si="61">K59/8</f>
        <v>0</v>
      </c>
      <c r="M59" s="12">
        <f t="shared" ref="M59:M65" si="62">H59</f>
        <v>0.1</v>
      </c>
      <c r="N59" s="13">
        <v>1</v>
      </c>
      <c r="O59" s="13">
        <f t="shared" ref="O59:O65" si="63">M59*N59</f>
        <v>0.1</v>
      </c>
      <c r="P59" s="13">
        <f t="shared" ref="P59:P65" si="64">A59*O59</f>
        <v>0</v>
      </c>
      <c r="Q59" s="14">
        <f t="shared" ref="Q59:Q65" si="65">P59/8</f>
        <v>0</v>
      </c>
    </row>
    <row r="60" spans="1:22" x14ac:dyDescent="0.3">
      <c r="A60" s="129"/>
      <c r="B60" s="19" t="s">
        <v>76</v>
      </c>
      <c r="C60" s="114">
        <v>0.14000000000000001</v>
      </c>
      <c r="D60" s="6">
        <v>1.1000000000000001</v>
      </c>
      <c r="E60" s="7">
        <f t="shared" si="55"/>
        <v>0.15400000000000003</v>
      </c>
      <c r="F60" s="7">
        <f t="shared" si="56"/>
        <v>0</v>
      </c>
      <c r="G60" s="8">
        <f t="shared" si="57"/>
        <v>0</v>
      </c>
      <c r="H60" s="9">
        <f t="shared" si="58"/>
        <v>0.14000000000000001</v>
      </c>
      <c r="I60" s="10">
        <v>1.1000000000000001</v>
      </c>
      <c r="J60" s="10">
        <f t="shared" si="59"/>
        <v>0.15400000000000003</v>
      </c>
      <c r="K60" s="10">
        <f t="shared" si="60"/>
        <v>0</v>
      </c>
      <c r="L60" s="11">
        <f t="shared" si="61"/>
        <v>0</v>
      </c>
      <c r="M60" s="12">
        <f t="shared" si="62"/>
        <v>0.14000000000000001</v>
      </c>
      <c r="N60" s="13">
        <v>1</v>
      </c>
      <c r="O60" s="13">
        <f t="shared" si="63"/>
        <v>0.14000000000000001</v>
      </c>
      <c r="P60" s="13">
        <f t="shared" si="64"/>
        <v>0</v>
      </c>
      <c r="Q60" s="14">
        <f t="shared" si="65"/>
        <v>0</v>
      </c>
    </row>
    <row r="61" spans="1:22" x14ac:dyDescent="0.3">
      <c r="A61" s="129"/>
      <c r="B61" s="119" t="s">
        <v>77</v>
      </c>
      <c r="C61" s="97">
        <v>0.19</v>
      </c>
      <c r="D61" s="6">
        <v>1.1000000000000001</v>
      </c>
      <c r="E61" s="7">
        <f t="shared" si="55"/>
        <v>0.20900000000000002</v>
      </c>
      <c r="F61" s="7">
        <f t="shared" si="56"/>
        <v>0</v>
      </c>
      <c r="G61" s="8">
        <f t="shared" si="57"/>
        <v>0</v>
      </c>
      <c r="H61" s="9">
        <f t="shared" si="58"/>
        <v>0.19</v>
      </c>
      <c r="I61" s="10">
        <v>1.1000000000000001</v>
      </c>
      <c r="J61" s="10">
        <f t="shared" si="59"/>
        <v>0.20900000000000002</v>
      </c>
      <c r="K61" s="10">
        <f t="shared" si="60"/>
        <v>0</v>
      </c>
      <c r="L61" s="11">
        <f t="shared" si="61"/>
        <v>0</v>
      </c>
      <c r="M61" s="12">
        <f t="shared" si="62"/>
        <v>0.19</v>
      </c>
      <c r="N61" s="13">
        <v>1</v>
      </c>
      <c r="O61" s="13">
        <f t="shared" si="63"/>
        <v>0.19</v>
      </c>
      <c r="P61" s="13">
        <f t="shared" si="64"/>
        <v>0</v>
      </c>
      <c r="Q61" s="14">
        <f t="shared" si="65"/>
        <v>0</v>
      </c>
    </row>
    <row r="62" spans="1:22" x14ac:dyDescent="0.3">
      <c r="A62" s="129"/>
      <c r="B62" s="119" t="s">
        <v>78</v>
      </c>
      <c r="C62" s="97">
        <v>0.28000000000000003</v>
      </c>
      <c r="D62" s="6">
        <v>1.1000000000000001</v>
      </c>
      <c r="E62" s="7">
        <f t="shared" si="55"/>
        <v>0.30800000000000005</v>
      </c>
      <c r="F62" s="7">
        <f t="shared" si="56"/>
        <v>0</v>
      </c>
      <c r="G62" s="8">
        <f t="shared" si="57"/>
        <v>0</v>
      </c>
      <c r="H62" s="9">
        <f t="shared" si="58"/>
        <v>0.28000000000000003</v>
      </c>
      <c r="I62" s="10">
        <v>1.1000000000000001</v>
      </c>
      <c r="J62" s="10">
        <f t="shared" si="59"/>
        <v>0.30800000000000005</v>
      </c>
      <c r="K62" s="10">
        <f t="shared" si="60"/>
        <v>0</v>
      </c>
      <c r="L62" s="11">
        <f t="shared" si="61"/>
        <v>0</v>
      </c>
      <c r="M62" s="12">
        <f t="shared" si="62"/>
        <v>0.28000000000000003</v>
      </c>
      <c r="N62" s="13">
        <v>1</v>
      </c>
      <c r="O62" s="13">
        <f t="shared" si="63"/>
        <v>0.28000000000000003</v>
      </c>
      <c r="P62" s="13">
        <f t="shared" si="64"/>
        <v>0</v>
      </c>
      <c r="Q62" s="14">
        <f t="shared" si="65"/>
        <v>0</v>
      </c>
    </row>
    <row r="63" spans="1:22" x14ac:dyDescent="0.3">
      <c r="A63" s="129"/>
      <c r="B63" s="119" t="s">
        <v>141</v>
      </c>
      <c r="C63" s="97">
        <v>0.33</v>
      </c>
      <c r="D63" s="6">
        <v>1.1000000000000001</v>
      </c>
      <c r="E63" s="7">
        <f t="shared" si="55"/>
        <v>0.36300000000000004</v>
      </c>
      <c r="F63" s="7">
        <f t="shared" si="56"/>
        <v>0</v>
      </c>
      <c r="G63" s="8">
        <f t="shared" si="57"/>
        <v>0</v>
      </c>
      <c r="H63" s="9">
        <f t="shared" si="58"/>
        <v>0.33</v>
      </c>
      <c r="I63" s="10">
        <v>1.1000000000000001</v>
      </c>
      <c r="J63" s="10">
        <f t="shared" si="59"/>
        <v>0.36300000000000004</v>
      </c>
      <c r="K63" s="10">
        <f t="shared" si="60"/>
        <v>0</v>
      </c>
      <c r="L63" s="11">
        <f t="shared" si="61"/>
        <v>0</v>
      </c>
      <c r="M63" s="12">
        <f t="shared" si="62"/>
        <v>0.33</v>
      </c>
      <c r="N63" s="13">
        <v>1</v>
      </c>
      <c r="O63" s="13">
        <f t="shared" si="63"/>
        <v>0.33</v>
      </c>
      <c r="P63" s="13">
        <f t="shared" si="64"/>
        <v>0</v>
      </c>
      <c r="Q63" s="14">
        <f t="shared" si="65"/>
        <v>0</v>
      </c>
    </row>
    <row r="64" spans="1:22" x14ac:dyDescent="0.3">
      <c r="A64" s="130"/>
      <c r="B64" s="119" t="s">
        <v>123</v>
      </c>
      <c r="C64" s="97">
        <v>0.05</v>
      </c>
      <c r="D64" s="6">
        <v>1.1000000000000001</v>
      </c>
      <c r="E64" s="7">
        <f t="shared" si="55"/>
        <v>5.5000000000000007E-2</v>
      </c>
      <c r="F64" s="7">
        <f t="shared" si="56"/>
        <v>0</v>
      </c>
      <c r="G64" s="8">
        <f t="shared" si="57"/>
        <v>0</v>
      </c>
      <c r="H64" s="9">
        <f t="shared" si="58"/>
        <v>0.05</v>
      </c>
      <c r="I64" s="10">
        <v>1.1000000000000001</v>
      </c>
      <c r="J64" s="10">
        <f t="shared" si="59"/>
        <v>5.5000000000000007E-2</v>
      </c>
      <c r="K64" s="10">
        <f t="shared" si="60"/>
        <v>0</v>
      </c>
      <c r="L64" s="11">
        <f t="shared" si="61"/>
        <v>0</v>
      </c>
      <c r="M64" s="12">
        <f t="shared" si="62"/>
        <v>0.05</v>
      </c>
      <c r="N64" s="13">
        <v>1</v>
      </c>
      <c r="O64" s="13">
        <f t="shared" si="63"/>
        <v>0.05</v>
      </c>
      <c r="P64" s="13">
        <f t="shared" si="64"/>
        <v>0</v>
      </c>
      <c r="Q64" s="14">
        <f t="shared" si="65"/>
        <v>0</v>
      </c>
    </row>
    <row r="65" spans="1:17" x14ac:dyDescent="0.3">
      <c r="A65" s="130"/>
      <c r="B65" s="119" t="s">
        <v>122</v>
      </c>
      <c r="C65" s="97">
        <v>0.09</v>
      </c>
      <c r="D65" s="6">
        <v>1.1000000000000001</v>
      </c>
      <c r="E65" s="7">
        <f t="shared" si="55"/>
        <v>9.9000000000000005E-2</v>
      </c>
      <c r="F65" s="7">
        <f t="shared" si="56"/>
        <v>0</v>
      </c>
      <c r="G65" s="8">
        <f t="shared" si="57"/>
        <v>0</v>
      </c>
      <c r="H65" s="9">
        <f t="shared" si="58"/>
        <v>0.09</v>
      </c>
      <c r="I65" s="10">
        <v>1.1000000000000001</v>
      </c>
      <c r="J65" s="10">
        <f t="shared" si="59"/>
        <v>9.9000000000000005E-2</v>
      </c>
      <c r="K65" s="10">
        <f t="shared" si="60"/>
        <v>0</v>
      </c>
      <c r="L65" s="11">
        <f t="shared" si="61"/>
        <v>0</v>
      </c>
      <c r="M65" s="12">
        <f t="shared" si="62"/>
        <v>0.09</v>
      </c>
      <c r="N65" s="13">
        <v>1</v>
      </c>
      <c r="O65" s="13">
        <f t="shared" si="63"/>
        <v>0.09</v>
      </c>
      <c r="P65" s="13">
        <f t="shared" si="64"/>
        <v>0</v>
      </c>
      <c r="Q65" s="14">
        <f t="shared" si="65"/>
        <v>0</v>
      </c>
    </row>
    <row r="66" spans="1:17" ht="15" thickBot="1" x14ac:dyDescent="0.35">
      <c r="A66" s="3"/>
      <c r="B66" s="4"/>
      <c r="C66" s="4"/>
      <c r="D66" s="644" t="s">
        <v>9</v>
      </c>
      <c r="E66" s="645"/>
      <c r="F66" s="645"/>
      <c r="G66" s="16">
        <f>SUM(G59:G65)</f>
        <v>0</v>
      </c>
      <c r="H66" s="1"/>
      <c r="I66" s="646" t="s">
        <v>10</v>
      </c>
      <c r="J66" s="646"/>
      <c r="K66" s="646"/>
      <c r="L66" s="17">
        <f>SUM(L59:L65)</f>
        <v>0</v>
      </c>
      <c r="M66" s="15"/>
      <c r="N66" s="647" t="s">
        <v>11</v>
      </c>
      <c r="O66" s="647"/>
      <c r="P66" s="647"/>
      <c r="Q66" s="18">
        <f>SUM(Q59:Q65)</f>
        <v>0</v>
      </c>
    </row>
    <row r="67" spans="1:17" ht="15" thickBot="1" x14ac:dyDescent="0.35"/>
    <row r="68" spans="1:17" ht="15" customHeight="1" x14ac:dyDescent="0.3">
      <c r="A68" s="689" t="s">
        <v>195</v>
      </c>
      <c r="B68" s="689"/>
      <c r="C68" s="689"/>
      <c r="D68" s="689"/>
      <c r="E68" s="689"/>
      <c r="F68" s="689"/>
      <c r="G68" s="689"/>
      <c r="H68" s="689"/>
      <c r="I68" s="689"/>
      <c r="J68" s="689"/>
      <c r="K68" s="2"/>
      <c r="L68" s="2"/>
      <c r="M68" s="2"/>
      <c r="N68" s="2"/>
      <c r="O68" s="2"/>
      <c r="P68" s="2"/>
      <c r="Q68" s="5"/>
    </row>
    <row r="69" spans="1:17" ht="15" customHeight="1" x14ac:dyDescent="0.3">
      <c r="A69" s="690"/>
      <c r="B69" s="690"/>
      <c r="C69" s="690"/>
      <c r="D69" s="690"/>
      <c r="E69" s="690"/>
      <c r="F69" s="690"/>
      <c r="G69" s="690"/>
      <c r="H69" s="690"/>
      <c r="I69" s="690"/>
      <c r="J69" s="690"/>
      <c r="K69" s="29"/>
      <c r="L69" s="29"/>
      <c r="M69" s="29"/>
      <c r="N69" s="29"/>
      <c r="O69" s="29"/>
      <c r="P69" s="29"/>
      <c r="Q69" s="30"/>
    </row>
    <row r="70" spans="1:17" x14ac:dyDescent="0.3">
      <c r="A70" s="129"/>
      <c r="B70" s="19" t="s">
        <v>115</v>
      </c>
      <c r="C70" s="114">
        <v>0.1</v>
      </c>
      <c r="D70" s="6">
        <v>1.1000000000000001</v>
      </c>
      <c r="E70" s="7">
        <v>0.1</v>
      </c>
      <c r="F70" s="7">
        <f>A70*E70</f>
        <v>0</v>
      </c>
      <c r="G70" s="8">
        <f>F70/8</f>
        <v>0</v>
      </c>
      <c r="H70" s="9">
        <f>C70</f>
        <v>0.1</v>
      </c>
      <c r="I70" s="10">
        <v>1.1000000000000001</v>
      </c>
      <c r="J70" s="10">
        <f>H70*I70</f>
        <v>0.11000000000000001</v>
      </c>
      <c r="K70" s="10">
        <f t="shared" ref="K70:K76" si="66">A70*J70</f>
        <v>0</v>
      </c>
      <c r="L70" s="11">
        <f>K70/8</f>
        <v>0</v>
      </c>
      <c r="M70" s="12">
        <f>H70</f>
        <v>0.1</v>
      </c>
      <c r="N70" s="13">
        <v>1</v>
      </c>
      <c r="O70" s="13">
        <f>M70*N70</f>
        <v>0.1</v>
      </c>
      <c r="P70" s="13">
        <f>A70*O70</f>
        <v>0</v>
      </c>
      <c r="Q70" s="14">
        <f>P70/8</f>
        <v>0</v>
      </c>
    </row>
    <row r="71" spans="1:17" x14ac:dyDescent="0.3">
      <c r="A71" s="129"/>
      <c r="B71" s="19" t="s">
        <v>76</v>
      </c>
      <c r="C71" s="114">
        <v>0.14000000000000001</v>
      </c>
      <c r="D71" s="6">
        <v>1.1000000000000001</v>
      </c>
      <c r="E71" s="7">
        <v>0.14000000000000001</v>
      </c>
      <c r="F71" s="7">
        <f t="shared" ref="F71:F76" si="67">A71*E71</f>
        <v>0</v>
      </c>
      <c r="G71" s="8">
        <f t="shared" ref="G71:G76" si="68">F71/8</f>
        <v>0</v>
      </c>
      <c r="H71" s="9">
        <f t="shared" ref="H71:H76" si="69">C71</f>
        <v>0.14000000000000001</v>
      </c>
      <c r="I71" s="10">
        <v>1.1000000000000001</v>
      </c>
      <c r="J71" s="10">
        <f t="shared" ref="J71:J76" si="70">H71*I71</f>
        <v>0.15400000000000003</v>
      </c>
      <c r="K71" s="10">
        <f t="shared" si="66"/>
        <v>0</v>
      </c>
      <c r="L71" s="11">
        <f t="shared" ref="L71:L76" si="71">K71/8</f>
        <v>0</v>
      </c>
      <c r="M71" s="12">
        <f t="shared" ref="M71:M76" si="72">H71</f>
        <v>0.14000000000000001</v>
      </c>
      <c r="N71" s="13">
        <v>1</v>
      </c>
      <c r="O71" s="13">
        <f t="shared" ref="O71:O76" si="73">M71*N71</f>
        <v>0.14000000000000001</v>
      </c>
      <c r="P71" s="13">
        <f t="shared" ref="P71:P76" si="74">A71*O71</f>
        <v>0</v>
      </c>
      <c r="Q71" s="14">
        <f t="shared" ref="Q71:Q76" si="75">P71/8</f>
        <v>0</v>
      </c>
    </row>
    <row r="72" spans="1:17" x14ac:dyDescent="0.3">
      <c r="A72" s="129"/>
      <c r="B72" s="119" t="s">
        <v>77</v>
      </c>
      <c r="C72" s="97">
        <v>0.19</v>
      </c>
      <c r="D72" s="6">
        <v>1.1000000000000001</v>
      </c>
      <c r="E72" s="7">
        <v>0.19</v>
      </c>
      <c r="F72" s="7">
        <f t="shared" si="67"/>
        <v>0</v>
      </c>
      <c r="G72" s="8">
        <f t="shared" si="68"/>
        <v>0</v>
      </c>
      <c r="H72" s="9">
        <f t="shared" si="69"/>
        <v>0.19</v>
      </c>
      <c r="I72" s="10">
        <v>1.1000000000000001</v>
      </c>
      <c r="J72" s="10">
        <f t="shared" si="70"/>
        <v>0.20900000000000002</v>
      </c>
      <c r="K72" s="10">
        <f t="shared" si="66"/>
        <v>0</v>
      </c>
      <c r="L72" s="11">
        <f t="shared" si="71"/>
        <v>0</v>
      </c>
      <c r="M72" s="12">
        <f t="shared" si="72"/>
        <v>0.19</v>
      </c>
      <c r="N72" s="13">
        <v>1</v>
      </c>
      <c r="O72" s="13">
        <f t="shared" si="73"/>
        <v>0.19</v>
      </c>
      <c r="P72" s="13">
        <f t="shared" si="74"/>
        <v>0</v>
      </c>
      <c r="Q72" s="14">
        <f t="shared" si="75"/>
        <v>0</v>
      </c>
    </row>
    <row r="73" spans="1:17" x14ac:dyDescent="0.3">
      <c r="A73" s="129"/>
      <c r="B73" s="119" t="s">
        <v>78</v>
      </c>
      <c r="C73" s="97">
        <v>0.28000000000000003</v>
      </c>
      <c r="D73" s="6">
        <v>1.1000000000000001</v>
      </c>
      <c r="E73" s="7">
        <v>0.28000000000000003</v>
      </c>
      <c r="F73" s="7">
        <f t="shared" si="67"/>
        <v>0</v>
      </c>
      <c r="G73" s="8">
        <f t="shared" si="68"/>
        <v>0</v>
      </c>
      <c r="H73" s="9">
        <f t="shared" si="69"/>
        <v>0.28000000000000003</v>
      </c>
      <c r="I73" s="10">
        <v>1.1000000000000001</v>
      </c>
      <c r="J73" s="10">
        <f t="shared" si="70"/>
        <v>0.30800000000000005</v>
      </c>
      <c r="K73" s="10">
        <f t="shared" si="66"/>
        <v>0</v>
      </c>
      <c r="L73" s="11">
        <f t="shared" si="71"/>
        <v>0</v>
      </c>
      <c r="M73" s="12">
        <f t="shared" si="72"/>
        <v>0.28000000000000003</v>
      </c>
      <c r="N73" s="13">
        <v>1</v>
      </c>
      <c r="O73" s="13">
        <f t="shared" si="73"/>
        <v>0.28000000000000003</v>
      </c>
      <c r="P73" s="13">
        <f t="shared" si="74"/>
        <v>0</v>
      </c>
      <c r="Q73" s="14">
        <f t="shared" si="75"/>
        <v>0</v>
      </c>
    </row>
    <row r="74" spans="1:17" x14ac:dyDescent="0.3">
      <c r="A74" s="129"/>
      <c r="B74" s="119" t="s">
        <v>141</v>
      </c>
      <c r="C74" s="97">
        <v>0.33</v>
      </c>
      <c r="D74" s="6">
        <v>1.1000000000000001</v>
      </c>
      <c r="E74" s="7">
        <v>0.33</v>
      </c>
      <c r="F74" s="7">
        <f t="shared" si="67"/>
        <v>0</v>
      </c>
      <c r="G74" s="8">
        <f t="shared" si="68"/>
        <v>0</v>
      </c>
      <c r="H74" s="9">
        <f t="shared" si="69"/>
        <v>0.33</v>
      </c>
      <c r="I74" s="10">
        <v>1.1000000000000001</v>
      </c>
      <c r="J74" s="10">
        <f t="shared" si="70"/>
        <v>0.36300000000000004</v>
      </c>
      <c r="K74" s="10">
        <f t="shared" si="66"/>
        <v>0</v>
      </c>
      <c r="L74" s="11">
        <f t="shared" si="71"/>
        <v>0</v>
      </c>
      <c r="M74" s="12">
        <f t="shared" si="72"/>
        <v>0.33</v>
      </c>
      <c r="N74" s="13">
        <v>1</v>
      </c>
      <c r="O74" s="13">
        <f t="shared" si="73"/>
        <v>0.33</v>
      </c>
      <c r="P74" s="13">
        <f t="shared" si="74"/>
        <v>0</v>
      </c>
      <c r="Q74" s="14">
        <f t="shared" si="75"/>
        <v>0</v>
      </c>
    </row>
    <row r="75" spans="1:17" x14ac:dyDescent="0.3">
      <c r="A75" s="130"/>
      <c r="B75" s="119" t="s">
        <v>123</v>
      </c>
      <c r="C75" s="97">
        <v>0.05</v>
      </c>
      <c r="D75" s="6">
        <v>1.1000000000000001</v>
      </c>
      <c r="E75" s="7">
        <v>0.05</v>
      </c>
      <c r="F75" s="7">
        <f t="shared" si="67"/>
        <v>0</v>
      </c>
      <c r="G75" s="8">
        <f t="shared" si="68"/>
        <v>0</v>
      </c>
      <c r="H75" s="9">
        <f t="shared" si="69"/>
        <v>0.05</v>
      </c>
      <c r="I75" s="10">
        <v>1.1000000000000001</v>
      </c>
      <c r="J75" s="10">
        <f t="shared" si="70"/>
        <v>5.5000000000000007E-2</v>
      </c>
      <c r="K75" s="10">
        <f t="shared" si="66"/>
        <v>0</v>
      </c>
      <c r="L75" s="11">
        <f t="shared" si="71"/>
        <v>0</v>
      </c>
      <c r="M75" s="12">
        <f t="shared" si="72"/>
        <v>0.05</v>
      </c>
      <c r="N75" s="13">
        <v>1</v>
      </c>
      <c r="O75" s="13">
        <f t="shared" si="73"/>
        <v>0.05</v>
      </c>
      <c r="P75" s="13">
        <f t="shared" si="74"/>
        <v>0</v>
      </c>
      <c r="Q75" s="14">
        <f t="shared" si="75"/>
        <v>0</v>
      </c>
    </row>
    <row r="76" spans="1:17" x14ac:dyDescent="0.3">
      <c r="A76" s="130"/>
      <c r="B76" s="119" t="s">
        <v>122</v>
      </c>
      <c r="C76" s="97">
        <v>0.09</v>
      </c>
      <c r="D76" s="6">
        <v>1.1000000000000001</v>
      </c>
      <c r="E76" s="7">
        <v>0.09</v>
      </c>
      <c r="F76" s="7">
        <f t="shared" si="67"/>
        <v>0</v>
      </c>
      <c r="G76" s="8">
        <f t="shared" si="68"/>
        <v>0</v>
      </c>
      <c r="H76" s="9">
        <f t="shared" si="69"/>
        <v>0.09</v>
      </c>
      <c r="I76" s="10">
        <v>1.1000000000000001</v>
      </c>
      <c r="J76" s="10">
        <f t="shared" si="70"/>
        <v>9.9000000000000005E-2</v>
      </c>
      <c r="K76" s="10">
        <f t="shared" si="66"/>
        <v>0</v>
      </c>
      <c r="L76" s="11">
        <f t="shared" si="71"/>
        <v>0</v>
      </c>
      <c r="M76" s="12">
        <f t="shared" si="72"/>
        <v>0.09</v>
      </c>
      <c r="N76" s="13">
        <v>1</v>
      </c>
      <c r="O76" s="13">
        <f t="shared" si="73"/>
        <v>0.09</v>
      </c>
      <c r="P76" s="13">
        <f t="shared" si="74"/>
        <v>0</v>
      </c>
      <c r="Q76" s="14">
        <f t="shared" si="75"/>
        <v>0</v>
      </c>
    </row>
    <row r="77" spans="1:17" ht="15" thickBot="1" x14ac:dyDescent="0.35">
      <c r="A77" s="3"/>
      <c r="B77" s="4"/>
      <c r="C77" s="4"/>
      <c r="D77" s="644" t="s">
        <v>9</v>
      </c>
      <c r="E77" s="645"/>
      <c r="F77" s="645"/>
      <c r="G77" s="16">
        <f>SUM(G70:G76)</f>
        <v>0</v>
      </c>
      <c r="H77" s="1"/>
      <c r="I77" s="646" t="s">
        <v>10</v>
      </c>
      <c r="J77" s="646"/>
      <c r="K77" s="646"/>
      <c r="L77" s="17">
        <f>SUM(L70:L76)</f>
        <v>0</v>
      </c>
      <c r="M77" s="15"/>
      <c r="N77" s="647" t="s">
        <v>11</v>
      </c>
      <c r="O77" s="647"/>
      <c r="P77" s="647"/>
      <c r="Q77" s="18">
        <f>SUM(Q70:Q76)</f>
        <v>0</v>
      </c>
    </row>
    <row r="78" spans="1:17" ht="15" thickBot="1" x14ac:dyDescent="0.35"/>
    <row r="79" spans="1:17" ht="15" customHeight="1" x14ac:dyDescent="0.3">
      <c r="A79" s="743" t="s">
        <v>142</v>
      </c>
      <c r="B79" s="743"/>
      <c r="C79" s="743"/>
      <c r="D79" s="743"/>
      <c r="E79" s="743"/>
      <c r="F79" s="743"/>
      <c r="G79" s="743"/>
      <c r="H79" s="743"/>
      <c r="I79" s="138"/>
      <c r="J79" s="138"/>
      <c r="K79" s="138"/>
      <c r="L79" s="138"/>
      <c r="M79" s="138"/>
      <c r="N79" s="138"/>
      <c r="O79" s="138"/>
      <c r="P79" s="138"/>
      <c r="Q79" s="139"/>
    </row>
    <row r="80" spans="1:17" ht="15" customHeight="1" x14ac:dyDescent="0.3">
      <c r="A80" s="744"/>
      <c r="B80" s="744"/>
      <c r="C80" s="744"/>
      <c r="D80" s="744"/>
      <c r="E80" s="744"/>
      <c r="F80" s="744"/>
      <c r="G80" s="744"/>
      <c r="H80" s="744"/>
      <c r="I80" s="140"/>
      <c r="J80" s="140"/>
      <c r="K80" s="140"/>
      <c r="L80" s="140"/>
      <c r="M80" s="140"/>
      <c r="N80" s="140"/>
      <c r="O80" s="140"/>
      <c r="P80" s="140"/>
      <c r="Q80" s="141"/>
    </row>
    <row r="81" spans="1:21" x14ac:dyDescent="0.3">
      <c r="A81" s="129"/>
      <c r="B81" s="142" t="s">
        <v>143</v>
      </c>
      <c r="C81" s="143">
        <v>0.13</v>
      </c>
      <c r="D81" s="6">
        <v>1.1000000000000001</v>
      </c>
      <c r="E81" s="7">
        <f>C81*D81</f>
        <v>0.14300000000000002</v>
      </c>
      <c r="F81" s="7">
        <f>A81*E81</f>
        <v>0</v>
      </c>
      <c r="G81" s="8">
        <f>F81/8</f>
        <v>0</v>
      </c>
      <c r="H81" s="9">
        <f>C81</f>
        <v>0.13</v>
      </c>
      <c r="I81" s="10">
        <v>1.1000000000000001</v>
      </c>
      <c r="J81" s="10">
        <f>H81*I81</f>
        <v>0.14300000000000002</v>
      </c>
      <c r="K81" s="10">
        <f>A81*J81</f>
        <v>0</v>
      </c>
      <c r="L81" s="11">
        <f>K81/8</f>
        <v>0</v>
      </c>
      <c r="M81" s="12">
        <f>H81</f>
        <v>0.13</v>
      </c>
      <c r="N81" s="13">
        <v>1</v>
      </c>
      <c r="O81" s="13">
        <f>M81*N81</f>
        <v>0.13</v>
      </c>
      <c r="P81" s="13">
        <f>A81*O81</f>
        <v>0</v>
      </c>
      <c r="Q81" s="14">
        <f>P81/8</f>
        <v>0</v>
      </c>
    </row>
    <row r="82" spans="1:21" x14ac:dyDescent="0.3">
      <c r="A82" s="130"/>
      <c r="B82" s="144" t="s">
        <v>144</v>
      </c>
      <c r="C82" s="145">
        <v>0.23</v>
      </c>
      <c r="D82" s="6">
        <v>1.1000000000000001</v>
      </c>
      <c r="E82" s="7">
        <f>C82*D82</f>
        <v>0.25300000000000006</v>
      </c>
      <c r="F82" s="7">
        <f>A82*E82</f>
        <v>0</v>
      </c>
      <c r="G82" s="8">
        <f>F82/8</f>
        <v>0</v>
      </c>
      <c r="H82" s="9">
        <f>C82</f>
        <v>0.23</v>
      </c>
      <c r="I82" s="10">
        <v>1.1000000000000001</v>
      </c>
      <c r="J82" s="10">
        <f>H82*I82</f>
        <v>0.25300000000000006</v>
      </c>
      <c r="K82" s="10">
        <f>A82*J82</f>
        <v>0</v>
      </c>
      <c r="L82" s="11">
        <f>K82/8</f>
        <v>0</v>
      </c>
      <c r="M82" s="12">
        <f>H82</f>
        <v>0.23</v>
      </c>
      <c r="N82" s="13">
        <v>1</v>
      </c>
      <c r="O82" s="13">
        <f>M82*N82</f>
        <v>0.23</v>
      </c>
      <c r="P82" s="13">
        <f>A82*O82</f>
        <v>0</v>
      </c>
      <c r="Q82" s="14">
        <f>P82/8</f>
        <v>0</v>
      </c>
    </row>
    <row r="83" spans="1:21" x14ac:dyDescent="0.3">
      <c r="A83" s="130"/>
      <c r="B83" s="144" t="s">
        <v>145</v>
      </c>
      <c r="C83" s="145">
        <v>0.31</v>
      </c>
      <c r="D83" s="6">
        <v>1.1000000000000001</v>
      </c>
      <c r="E83" s="7">
        <f>C83*D83</f>
        <v>0.34100000000000003</v>
      </c>
      <c r="F83" s="7">
        <f>A83*E83</f>
        <v>0</v>
      </c>
      <c r="G83" s="8">
        <f>F83/8</f>
        <v>0</v>
      </c>
      <c r="H83" s="9">
        <f>C83</f>
        <v>0.31</v>
      </c>
      <c r="I83" s="10">
        <v>1.1000000000000001</v>
      </c>
      <c r="J83" s="10">
        <f>H83*I83</f>
        <v>0.34100000000000003</v>
      </c>
      <c r="K83" s="10">
        <f>A83*J83</f>
        <v>0</v>
      </c>
      <c r="L83" s="11">
        <f>K83/8</f>
        <v>0</v>
      </c>
      <c r="M83" s="12">
        <f>H83</f>
        <v>0.31</v>
      </c>
      <c r="N83" s="13">
        <v>1</v>
      </c>
      <c r="O83" s="13">
        <f>M83*N83</f>
        <v>0.31</v>
      </c>
      <c r="P83" s="13">
        <f>A83*O83</f>
        <v>0</v>
      </c>
      <c r="Q83" s="14">
        <f>P83/8</f>
        <v>0</v>
      </c>
    </row>
    <row r="84" spans="1:21" ht="15" thickBot="1" x14ac:dyDescent="0.35">
      <c r="A84" s="147"/>
      <c r="B84" s="146"/>
      <c r="C84" s="146"/>
      <c r="D84" s="644" t="s">
        <v>9</v>
      </c>
      <c r="E84" s="645"/>
      <c r="F84" s="645"/>
      <c r="G84" s="16">
        <f>SUM(G81:G83)</f>
        <v>0</v>
      </c>
      <c r="H84" s="1"/>
      <c r="I84" s="646" t="s">
        <v>10</v>
      </c>
      <c r="J84" s="646"/>
      <c r="K84" s="646"/>
      <c r="L84" s="17">
        <f>SUM(L81:L83)</f>
        <v>0</v>
      </c>
      <c r="M84" s="15"/>
      <c r="N84" s="647" t="s">
        <v>11</v>
      </c>
      <c r="O84" s="647"/>
      <c r="P84" s="647"/>
      <c r="Q84" s="18">
        <f>SUM(Q81:Q83)</f>
        <v>0</v>
      </c>
    </row>
    <row r="85" spans="1:21" ht="15" thickBot="1" x14ac:dyDescent="0.35"/>
    <row r="86" spans="1:21" x14ac:dyDescent="0.3">
      <c r="A86" s="689" t="s">
        <v>75</v>
      </c>
      <c r="B86" s="689"/>
      <c r="C86" s="689"/>
      <c r="D86" s="689"/>
      <c r="E86" s="689"/>
      <c r="F86" s="745" t="s">
        <v>196</v>
      </c>
      <c r="G86" s="745"/>
      <c r="H86" s="745"/>
      <c r="I86" s="745"/>
      <c r="J86" s="2"/>
      <c r="K86" s="2"/>
      <c r="L86" s="2"/>
      <c r="M86" s="2"/>
      <c r="N86" s="2"/>
      <c r="O86" s="2"/>
      <c r="P86" s="2"/>
      <c r="Q86" s="5"/>
    </row>
    <row r="87" spans="1:21" x14ac:dyDescent="0.3">
      <c r="A87" s="690"/>
      <c r="B87" s="690"/>
      <c r="C87" s="690"/>
      <c r="D87" s="690"/>
      <c r="E87" s="690"/>
      <c r="F87" s="746"/>
      <c r="G87" s="746"/>
      <c r="H87" s="746"/>
      <c r="I87" s="746"/>
      <c r="J87" s="29"/>
      <c r="K87" s="29"/>
      <c r="L87" s="29"/>
      <c r="M87" s="29"/>
      <c r="N87" s="29"/>
      <c r="O87" s="29"/>
      <c r="P87" s="29"/>
      <c r="Q87" s="30"/>
    </row>
    <row r="88" spans="1:21" x14ac:dyDescent="0.3">
      <c r="A88" s="129"/>
      <c r="B88" s="19" t="s">
        <v>115</v>
      </c>
      <c r="C88" s="114">
        <v>0.1</v>
      </c>
      <c r="D88" s="6">
        <v>1.1000000000000001</v>
      </c>
      <c r="E88" s="7">
        <f>C88*D88</f>
        <v>0.11000000000000001</v>
      </c>
      <c r="F88" s="7">
        <f>A88*E88</f>
        <v>0</v>
      </c>
      <c r="G88" s="8">
        <f>F88/8</f>
        <v>0</v>
      </c>
      <c r="H88" s="9">
        <f>C88</f>
        <v>0.1</v>
      </c>
      <c r="I88" s="10">
        <v>1.1000000000000001</v>
      </c>
      <c r="J88" s="10">
        <f>H88*I88</f>
        <v>0.11000000000000001</v>
      </c>
      <c r="K88" s="10">
        <f>A88*J88</f>
        <v>0</v>
      </c>
      <c r="L88" s="11">
        <f>K88/8</f>
        <v>0</v>
      </c>
      <c r="M88" s="12">
        <f>H88</f>
        <v>0.1</v>
      </c>
      <c r="N88" s="13">
        <v>1</v>
      </c>
      <c r="O88" s="13">
        <f>M88*N88</f>
        <v>0.1</v>
      </c>
      <c r="P88" s="13">
        <f>A88*O88</f>
        <v>0</v>
      </c>
      <c r="Q88" s="14">
        <f>P88/8</f>
        <v>0</v>
      </c>
    </row>
    <row r="89" spans="1:21" ht="15" customHeight="1" x14ac:dyDescent="0.3">
      <c r="A89" s="130"/>
      <c r="B89" s="119" t="s">
        <v>76</v>
      </c>
      <c r="C89" s="97">
        <v>0.14000000000000001</v>
      </c>
      <c r="D89" s="6">
        <v>1.1000000000000001</v>
      </c>
      <c r="E89" s="7">
        <f>C89*D89</f>
        <v>0.15400000000000003</v>
      </c>
      <c r="F89" s="7">
        <f>A89*E89</f>
        <v>0</v>
      </c>
      <c r="G89" s="8">
        <f>F89/8</f>
        <v>0</v>
      </c>
      <c r="H89" s="9">
        <f>C89</f>
        <v>0.14000000000000001</v>
      </c>
      <c r="I89" s="10">
        <v>1.1000000000000001</v>
      </c>
      <c r="J89" s="10">
        <f>H89*I89</f>
        <v>0.15400000000000003</v>
      </c>
      <c r="K89" s="10">
        <f>A89*J89</f>
        <v>0</v>
      </c>
      <c r="L89" s="11">
        <f>K89/8</f>
        <v>0</v>
      </c>
      <c r="M89" s="12">
        <f>H89</f>
        <v>0.14000000000000001</v>
      </c>
      <c r="N89" s="13">
        <v>1</v>
      </c>
      <c r="O89" s="13">
        <f>M89*N89</f>
        <v>0.14000000000000001</v>
      </c>
      <c r="P89" s="13">
        <f>A89*O89</f>
        <v>0</v>
      </c>
      <c r="Q89" s="14">
        <f>P89/8</f>
        <v>0</v>
      </c>
    </row>
    <row r="90" spans="1:21" ht="15" customHeight="1" x14ac:dyDescent="0.3">
      <c r="A90" s="130"/>
      <c r="B90" s="119" t="s">
        <v>77</v>
      </c>
      <c r="C90" s="97">
        <v>0.19</v>
      </c>
      <c r="D90" s="6">
        <v>1.1000000000000001</v>
      </c>
      <c r="E90" s="7">
        <f>C90*D90</f>
        <v>0.20900000000000002</v>
      </c>
      <c r="F90" s="7">
        <f>A90*E90</f>
        <v>0</v>
      </c>
      <c r="G90" s="8">
        <f>F90/8</f>
        <v>0</v>
      </c>
      <c r="H90" s="9">
        <f>C90</f>
        <v>0.19</v>
      </c>
      <c r="I90" s="10">
        <v>1.1000000000000001</v>
      </c>
      <c r="J90" s="10">
        <f>H90*I90</f>
        <v>0.20900000000000002</v>
      </c>
      <c r="K90" s="10">
        <f>A90*J90</f>
        <v>0</v>
      </c>
      <c r="L90" s="11">
        <f>K90/8</f>
        <v>0</v>
      </c>
      <c r="M90" s="12">
        <f>H90</f>
        <v>0.19</v>
      </c>
      <c r="N90" s="13">
        <v>1</v>
      </c>
      <c r="O90" s="13">
        <f>M90*N90</f>
        <v>0.19</v>
      </c>
      <c r="P90" s="13">
        <f>A90*O90</f>
        <v>0</v>
      </c>
      <c r="Q90" s="14">
        <f>P90/8</f>
        <v>0</v>
      </c>
    </row>
    <row r="91" spans="1:21" ht="15" customHeight="1" x14ac:dyDescent="0.3">
      <c r="A91" s="130"/>
      <c r="B91" s="119" t="s">
        <v>78</v>
      </c>
      <c r="C91" s="97">
        <v>0.28000000000000003</v>
      </c>
      <c r="D91" s="6">
        <v>1.1000000000000001</v>
      </c>
      <c r="E91" s="7">
        <f>C91*D91</f>
        <v>0.30800000000000005</v>
      </c>
      <c r="F91" s="7">
        <f>A91*E91</f>
        <v>0</v>
      </c>
      <c r="G91" s="8">
        <f>F91/8</f>
        <v>0</v>
      </c>
      <c r="H91" s="9">
        <f>C91</f>
        <v>0.28000000000000003</v>
      </c>
      <c r="I91" s="10">
        <v>1.1000000000000001</v>
      </c>
      <c r="J91" s="10">
        <f>H91*I91</f>
        <v>0.30800000000000005</v>
      </c>
      <c r="K91" s="10">
        <f>A91*J91</f>
        <v>0</v>
      </c>
      <c r="L91" s="11">
        <f>K91/8</f>
        <v>0</v>
      </c>
      <c r="M91" s="12">
        <f>H91</f>
        <v>0.28000000000000003</v>
      </c>
      <c r="N91" s="13">
        <v>1</v>
      </c>
      <c r="O91" s="13">
        <f>M91*N91</f>
        <v>0.28000000000000003</v>
      </c>
      <c r="P91" s="13">
        <f>A91*O91</f>
        <v>0</v>
      </c>
      <c r="Q91" s="14">
        <f>P91/8</f>
        <v>0</v>
      </c>
    </row>
    <row r="92" spans="1:21" ht="15.75" customHeight="1" x14ac:dyDescent="0.3">
      <c r="A92" s="130"/>
      <c r="B92" s="127" t="s">
        <v>116</v>
      </c>
      <c r="C92" s="128">
        <v>0.33</v>
      </c>
      <c r="D92" s="6">
        <v>1.1000000000000001</v>
      </c>
      <c r="E92" s="7">
        <f>C92*D92</f>
        <v>0.36300000000000004</v>
      </c>
      <c r="F92" s="7">
        <f>A92*E92</f>
        <v>0</v>
      </c>
      <c r="G92" s="8">
        <f>F92/8</f>
        <v>0</v>
      </c>
      <c r="H92" s="9">
        <f>C92</f>
        <v>0.33</v>
      </c>
      <c r="I92" s="10">
        <v>1.1000000000000001</v>
      </c>
      <c r="J92" s="10">
        <f>H92*I92</f>
        <v>0.36300000000000004</v>
      </c>
      <c r="K92" s="10">
        <f>A92*J92</f>
        <v>0</v>
      </c>
      <c r="L92" s="11">
        <f>K92/8</f>
        <v>0</v>
      </c>
      <c r="M92" s="12">
        <f>H92</f>
        <v>0.33</v>
      </c>
      <c r="N92" s="13">
        <v>1</v>
      </c>
      <c r="O92" s="13">
        <f>M92*N92</f>
        <v>0.33</v>
      </c>
      <c r="P92" s="13">
        <f>A92*O92</f>
        <v>0</v>
      </c>
      <c r="Q92" s="14">
        <f>P92/8</f>
        <v>0</v>
      </c>
    </row>
    <row r="93" spans="1:21" ht="15" thickBot="1" x14ac:dyDescent="0.35">
      <c r="A93" s="3"/>
      <c r="B93" s="4"/>
      <c r="C93" s="4"/>
      <c r="D93" s="644" t="s">
        <v>9</v>
      </c>
      <c r="E93" s="645"/>
      <c r="F93" s="645"/>
      <c r="G93" s="16">
        <f>SUM(G88:G92)</f>
        <v>0</v>
      </c>
      <c r="H93" s="1"/>
      <c r="I93" s="646" t="s">
        <v>10</v>
      </c>
      <c r="J93" s="646"/>
      <c r="K93" s="646"/>
      <c r="L93" s="17">
        <f>SUM(L88:L92)</f>
        <v>0</v>
      </c>
      <c r="M93" s="15"/>
      <c r="N93" s="647" t="s">
        <v>11</v>
      </c>
      <c r="O93" s="647"/>
      <c r="P93" s="647"/>
      <c r="Q93" s="18">
        <f>SUM(Q88:Q92)</f>
        <v>0</v>
      </c>
    </row>
    <row r="94" spans="1:21" ht="15" thickBot="1" x14ac:dyDescent="0.35"/>
    <row r="95" spans="1:21" ht="15" customHeight="1" x14ac:dyDescent="0.3">
      <c r="A95" s="689" t="s">
        <v>197</v>
      </c>
      <c r="B95" s="689"/>
      <c r="C95" s="689"/>
      <c r="D95" s="689"/>
      <c r="E95" s="689"/>
      <c r="F95" s="689"/>
      <c r="G95" s="689"/>
      <c r="H95" s="689"/>
      <c r="I95" s="122"/>
      <c r="J95" s="122"/>
      <c r="K95" s="122"/>
      <c r="L95" s="730" t="s">
        <v>106</v>
      </c>
      <c r="M95" s="730"/>
      <c r="N95" s="730"/>
      <c r="O95" s="730"/>
      <c r="P95" s="730"/>
      <c r="Q95" s="5"/>
    </row>
    <row r="96" spans="1:21" ht="15" customHeight="1" x14ac:dyDescent="0.3">
      <c r="A96" s="690"/>
      <c r="B96" s="690"/>
      <c r="C96" s="690"/>
      <c r="D96" s="690"/>
      <c r="E96" s="690"/>
      <c r="F96" s="690"/>
      <c r="G96" s="690"/>
      <c r="H96" s="690"/>
      <c r="I96" s="123"/>
      <c r="J96" s="123"/>
      <c r="K96" s="123"/>
      <c r="L96" s="732"/>
      <c r="M96" s="732"/>
      <c r="N96" s="732"/>
      <c r="O96" s="732"/>
      <c r="P96" s="732"/>
      <c r="Q96" s="30"/>
      <c r="S96" s="116"/>
      <c r="T96" s="116"/>
      <c r="U96" s="116"/>
    </row>
    <row r="97" spans="1:17" ht="14.4" customHeight="1" x14ac:dyDescent="0.3">
      <c r="A97" s="250">
        <f>VLOOKUP($B97,Reporting!$BL:$CD,MATCH($A$95,Reporting!$BM$4:$CD$4,0)+1,FALSE)</f>
        <v>0</v>
      </c>
      <c r="B97" s="266" t="s">
        <v>376</v>
      </c>
      <c r="C97" s="114">
        <v>0.95</v>
      </c>
      <c r="D97" s="6">
        <v>0.61</v>
      </c>
      <c r="E97" s="7">
        <f>C97*D97</f>
        <v>0.57950000000000002</v>
      </c>
      <c r="F97" s="7">
        <f>A97*E97</f>
        <v>0</v>
      </c>
      <c r="G97" s="8">
        <f>F97/8</f>
        <v>0</v>
      </c>
      <c r="H97" s="9">
        <f>C97</f>
        <v>0.95</v>
      </c>
      <c r="I97" s="10">
        <v>0.61</v>
      </c>
      <c r="J97" s="10">
        <f>H97*I97</f>
        <v>0.57950000000000002</v>
      </c>
      <c r="K97" s="10">
        <f>A97*J97</f>
        <v>0</v>
      </c>
      <c r="L97" s="11">
        <f>K97/8</f>
        <v>0</v>
      </c>
      <c r="M97" s="12">
        <f>H97</f>
        <v>0.95</v>
      </c>
      <c r="N97" s="13">
        <v>0.55000000000000004</v>
      </c>
      <c r="O97" s="13">
        <f>M97*N97</f>
        <v>0.52249999999999996</v>
      </c>
      <c r="P97" s="13">
        <f>A97*O97</f>
        <v>0</v>
      </c>
      <c r="Q97" s="14">
        <f>P97/8</f>
        <v>0</v>
      </c>
    </row>
    <row r="98" spans="1:17" ht="15" customHeight="1" x14ac:dyDescent="0.3">
      <c r="A98" s="250">
        <f>VLOOKUP($B98,Reporting!$BL:$CD,MATCH($A$95,Reporting!$BM$4:$CD$4,0)+1,FALSE)</f>
        <v>0</v>
      </c>
      <c r="B98" s="266" t="s">
        <v>391</v>
      </c>
      <c r="C98" s="97">
        <v>0.95</v>
      </c>
      <c r="D98" s="6">
        <v>0.61</v>
      </c>
      <c r="E98" s="7">
        <f>C98*D98</f>
        <v>0.57950000000000002</v>
      </c>
      <c r="F98" s="7">
        <f t="shared" ref="F98:F109" si="76">A98*E98</f>
        <v>0</v>
      </c>
      <c r="G98" s="8">
        <f>F98/8</f>
        <v>0</v>
      </c>
      <c r="H98" s="9">
        <f t="shared" ref="H98:H109" si="77">C98</f>
        <v>0.95</v>
      </c>
      <c r="I98" s="10">
        <v>0.61</v>
      </c>
      <c r="J98" s="10">
        <f>H98*I98</f>
        <v>0.57950000000000002</v>
      </c>
      <c r="K98" s="10">
        <f t="shared" ref="K98:K109" si="78">A98*J98</f>
        <v>0</v>
      </c>
      <c r="L98" s="11">
        <f>K98/8</f>
        <v>0</v>
      </c>
      <c r="M98" s="12">
        <f>H98</f>
        <v>0.95</v>
      </c>
      <c r="N98" s="13">
        <v>0.55000000000000004</v>
      </c>
      <c r="O98" s="13">
        <f>M98*N98</f>
        <v>0.52249999999999996</v>
      </c>
      <c r="P98" s="13">
        <f t="shared" ref="P98:P109" si="79">A98*O98</f>
        <v>0</v>
      </c>
      <c r="Q98" s="14">
        <f>P98/8</f>
        <v>0</v>
      </c>
    </row>
    <row r="99" spans="1:17" ht="15" customHeight="1" x14ac:dyDescent="0.3">
      <c r="A99" s="250">
        <f>VLOOKUP($B99,Reporting!$BL:$CD,MATCH($A$95,Reporting!$BM$4:$CD$4,0)+1,FALSE)</f>
        <v>0</v>
      </c>
      <c r="B99" s="266" t="s">
        <v>392</v>
      </c>
      <c r="C99" s="97">
        <v>1.89</v>
      </c>
      <c r="D99" s="6">
        <v>0.61</v>
      </c>
      <c r="E99" s="7">
        <f t="shared" ref="E99:E109" si="80">C99*D99</f>
        <v>1.1528999999999998</v>
      </c>
      <c r="F99" s="7">
        <f t="shared" si="76"/>
        <v>0</v>
      </c>
      <c r="G99" s="8">
        <f t="shared" ref="G99:G109" si="81">F99/8</f>
        <v>0</v>
      </c>
      <c r="H99" s="9">
        <f t="shared" si="77"/>
        <v>1.89</v>
      </c>
      <c r="I99" s="10">
        <v>0.61</v>
      </c>
      <c r="J99" s="10">
        <f t="shared" ref="J99:J109" si="82">H99*I99</f>
        <v>1.1528999999999998</v>
      </c>
      <c r="K99" s="10">
        <f t="shared" si="78"/>
        <v>0</v>
      </c>
      <c r="L99" s="11">
        <f t="shared" ref="L99:L109" si="83">K99/8</f>
        <v>0</v>
      </c>
      <c r="M99" s="12">
        <f t="shared" ref="M99:M109" si="84">H99</f>
        <v>1.89</v>
      </c>
      <c r="N99" s="13">
        <v>0.55000000000000004</v>
      </c>
      <c r="O99" s="13">
        <f t="shared" ref="O99:O109" si="85">M99*N99</f>
        <v>1.0395000000000001</v>
      </c>
      <c r="P99" s="13">
        <f t="shared" si="79"/>
        <v>0</v>
      </c>
      <c r="Q99" s="14">
        <f t="shared" ref="Q99:Q109" si="86">P99/8</f>
        <v>0</v>
      </c>
    </row>
    <row r="100" spans="1:17" ht="15" customHeight="1" x14ac:dyDescent="0.3">
      <c r="A100" s="250">
        <f>VLOOKUP($B100,Reporting!$BL:$CD,MATCH($A$95,Reporting!$BM$4:$CD$4,0)+1,FALSE)</f>
        <v>0</v>
      </c>
      <c r="B100" s="266" t="s">
        <v>393</v>
      </c>
      <c r="C100" s="97">
        <v>2.1800000000000002</v>
      </c>
      <c r="D100" s="6">
        <v>0.61</v>
      </c>
      <c r="E100" s="7">
        <f t="shared" si="80"/>
        <v>1.3298000000000001</v>
      </c>
      <c r="F100" s="7">
        <f t="shared" si="76"/>
        <v>0</v>
      </c>
      <c r="G100" s="8">
        <f t="shared" si="81"/>
        <v>0</v>
      </c>
      <c r="H100" s="9">
        <f t="shared" si="77"/>
        <v>2.1800000000000002</v>
      </c>
      <c r="I100" s="10">
        <v>0.61</v>
      </c>
      <c r="J100" s="10">
        <f t="shared" si="82"/>
        <v>1.3298000000000001</v>
      </c>
      <c r="K100" s="10">
        <f t="shared" si="78"/>
        <v>0</v>
      </c>
      <c r="L100" s="11">
        <f t="shared" si="83"/>
        <v>0</v>
      </c>
      <c r="M100" s="12">
        <f t="shared" si="84"/>
        <v>2.1800000000000002</v>
      </c>
      <c r="N100" s="13">
        <v>0.55000000000000004</v>
      </c>
      <c r="O100" s="13">
        <f t="shared" si="85"/>
        <v>1.1990000000000003</v>
      </c>
      <c r="P100" s="13">
        <f t="shared" si="79"/>
        <v>0</v>
      </c>
      <c r="Q100" s="14">
        <f t="shared" si="86"/>
        <v>0</v>
      </c>
    </row>
    <row r="101" spans="1:17" ht="15.75" customHeight="1" x14ac:dyDescent="0.3">
      <c r="A101" s="250">
        <f>VLOOKUP($B101,Reporting!$BL:$CD,MATCH($A$95,Reporting!$BM$4:$CD$4,0)+1,FALSE)</f>
        <v>0</v>
      </c>
      <c r="B101" s="266" t="s">
        <v>394</v>
      </c>
      <c r="C101" s="97">
        <v>2.2999999999999998</v>
      </c>
      <c r="D101" s="6">
        <v>0.61</v>
      </c>
      <c r="E101" s="7">
        <f t="shared" si="80"/>
        <v>1.4029999999999998</v>
      </c>
      <c r="F101" s="7">
        <f t="shared" si="76"/>
        <v>0</v>
      </c>
      <c r="G101" s="8">
        <f t="shared" si="81"/>
        <v>0</v>
      </c>
      <c r="H101" s="9">
        <f t="shared" si="77"/>
        <v>2.2999999999999998</v>
      </c>
      <c r="I101" s="10">
        <v>0.61</v>
      </c>
      <c r="J101" s="10">
        <f t="shared" si="82"/>
        <v>1.4029999999999998</v>
      </c>
      <c r="K101" s="10">
        <f t="shared" si="78"/>
        <v>0</v>
      </c>
      <c r="L101" s="11">
        <f t="shared" si="83"/>
        <v>0</v>
      </c>
      <c r="M101" s="12">
        <f t="shared" si="84"/>
        <v>2.2999999999999998</v>
      </c>
      <c r="N101" s="13">
        <v>0.55000000000000004</v>
      </c>
      <c r="O101" s="13">
        <f t="shared" si="85"/>
        <v>1.2649999999999999</v>
      </c>
      <c r="P101" s="13">
        <f t="shared" si="79"/>
        <v>0</v>
      </c>
      <c r="Q101" s="14">
        <f t="shared" si="86"/>
        <v>0</v>
      </c>
    </row>
    <row r="102" spans="1:17" x14ac:dyDescent="0.3">
      <c r="A102" s="250">
        <f>VLOOKUP($B102,Reporting!$BL:$CD,MATCH($A$95,Reporting!$BM$4:$CD$4,0)+1,FALSE)</f>
        <v>0</v>
      </c>
      <c r="B102" s="266" t="s">
        <v>395</v>
      </c>
      <c r="C102" s="97">
        <v>3.03</v>
      </c>
      <c r="D102" s="6">
        <v>0.61</v>
      </c>
      <c r="E102" s="7">
        <f t="shared" si="80"/>
        <v>1.8482999999999998</v>
      </c>
      <c r="F102" s="7">
        <f t="shared" si="76"/>
        <v>0</v>
      </c>
      <c r="G102" s="8">
        <f t="shared" si="81"/>
        <v>0</v>
      </c>
      <c r="H102" s="9">
        <f t="shared" si="77"/>
        <v>3.03</v>
      </c>
      <c r="I102" s="10">
        <v>0.61</v>
      </c>
      <c r="J102" s="10">
        <f t="shared" si="82"/>
        <v>1.8482999999999998</v>
      </c>
      <c r="K102" s="10">
        <f t="shared" si="78"/>
        <v>0</v>
      </c>
      <c r="L102" s="11">
        <f t="shared" si="83"/>
        <v>0</v>
      </c>
      <c r="M102" s="12">
        <f t="shared" si="84"/>
        <v>3.03</v>
      </c>
      <c r="N102" s="13">
        <v>0.55000000000000004</v>
      </c>
      <c r="O102" s="13">
        <f t="shared" si="85"/>
        <v>1.6665000000000001</v>
      </c>
      <c r="P102" s="13">
        <f t="shared" si="79"/>
        <v>0</v>
      </c>
      <c r="Q102" s="14">
        <f t="shared" si="86"/>
        <v>0</v>
      </c>
    </row>
    <row r="103" spans="1:17" x14ac:dyDescent="0.3">
      <c r="A103" s="250">
        <f>VLOOKUP($B103,Reporting!$BL:$CD,MATCH($A$95,Reporting!$BM$4:$CD$4,0)+1,FALSE)</f>
        <v>0</v>
      </c>
      <c r="B103" s="266" t="s">
        <v>396</v>
      </c>
      <c r="C103" s="97">
        <v>4.3499999999999996</v>
      </c>
      <c r="D103" s="6">
        <v>0.61</v>
      </c>
      <c r="E103" s="7">
        <f t="shared" si="80"/>
        <v>2.6534999999999997</v>
      </c>
      <c r="F103" s="7">
        <f t="shared" si="76"/>
        <v>0</v>
      </c>
      <c r="G103" s="8">
        <f t="shared" si="81"/>
        <v>0</v>
      </c>
      <c r="H103" s="9">
        <f t="shared" si="77"/>
        <v>4.3499999999999996</v>
      </c>
      <c r="I103" s="10">
        <v>0.61</v>
      </c>
      <c r="J103" s="10">
        <f t="shared" si="82"/>
        <v>2.6534999999999997</v>
      </c>
      <c r="K103" s="10">
        <f t="shared" si="78"/>
        <v>0</v>
      </c>
      <c r="L103" s="11">
        <f t="shared" si="83"/>
        <v>0</v>
      </c>
      <c r="M103" s="12">
        <f t="shared" si="84"/>
        <v>4.3499999999999996</v>
      </c>
      <c r="N103" s="13">
        <v>0.55000000000000004</v>
      </c>
      <c r="O103" s="13">
        <f t="shared" si="85"/>
        <v>2.3925000000000001</v>
      </c>
      <c r="P103" s="13">
        <f t="shared" si="79"/>
        <v>0</v>
      </c>
      <c r="Q103" s="14">
        <f t="shared" si="86"/>
        <v>0</v>
      </c>
    </row>
    <row r="104" spans="1:17" x14ac:dyDescent="0.3">
      <c r="A104" s="250">
        <f>VLOOKUP($B104,Reporting!$BL:$CD,MATCH($A$95,Reporting!$BM$4:$CD$4,0)+1,FALSE)</f>
        <v>0</v>
      </c>
      <c r="B104" s="266" t="s">
        <v>397</v>
      </c>
      <c r="C104" s="97">
        <v>4.78</v>
      </c>
      <c r="D104" s="6">
        <v>0.61</v>
      </c>
      <c r="E104" s="7">
        <f t="shared" si="80"/>
        <v>2.9157999999999999</v>
      </c>
      <c r="F104" s="7">
        <f t="shared" si="76"/>
        <v>0</v>
      </c>
      <c r="G104" s="8">
        <f t="shared" si="81"/>
        <v>0</v>
      </c>
      <c r="H104" s="9">
        <f t="shared" si="77"/>
        <v>4.78</v>
      </c>
      <c r="I104" s="10">
        <v>0.61</v>
      </c>
      <c r="J104" s="10">
        <f t="shared" si="82"/>
        <v>2.9157999999999999</v>
      </c>
      <c r="K104" s="10">
        <f t="shared" si="78"/>
        <v>0</v>
      </c>
      <c r="L104" s="11">
        <f t="shared" si="83"/>
        <v>0</v>
      </c>
      <c r="M104" s="12">
        <f t="shared" si="84"/>
        <v>4.78</v>
      </c>
      <c r="N104" s="13">
        <v>0.55000000000000004</v>
      </c>
      <c r="O104" s="13">
        <f t="shared" si="85"/>
        <v>2.6290000000000004</v>
      </c>
      <c r="P104" s="13">
        <f t="shared" si="79"/>
        <v>0</v>
      </c>
      <c r="Q104" s="14">
        <f t="shared" si="86"/>
        <v>0</v>
      </c>
    </row>
    <row r="105" spans="1:17" x14ac:dyDescent="0.3">
      <c r="A105" s="250">
        <f>VLOOKUP($B105,Reporting!$BL:$CD,MATCH($A$95,Reporting!$BM$4:$CD$4,0)+1,FALSE)</f>
        <v>0</v>
      </c>
      <c r="B105" s="266" t="s">
        <v>398</v>
      </c>
      <c r="C105" s="97">
        <v>6.62</v>
      </c>
      <c r="D105" s="6">
        <v>0.61</v>
      </c>
      <c r="E105" s="7">
        <f t="shared" si="80"/>
        <v>4.0381999999999998</v>
      </c>
      <c r="F105" s="7">
        <f t="shared" si="76"/>
        <v>0</v>
      </c>
      <c r="G105" s="8">
        <f t="shared" si="81"/>
        <v>0</v>
      </c>
      <c r="H105" s="9">
        <f t="shared" si="77"/>
        <v>6.62</v>
      </c>
      <c r="I105" s="10">
        <v>0.61</v>
      </c>
      <c r="J105" s="10">
        <f t="shared" si="82"/>
        <v>4.0381999999999998</v>
      </c>
      <c r="K105" s="10">
        <f t="shared" si="78"/>
        <v>0</v>
      </c>
      <c r="L105" s="11">
        <f t="shared" si="83"/>
        <v>0</v>
      </c>
      <c r="M105" s="12">
        <f t="shared" si="84"/>
        <v>6.62</v>
      </c>
      <c r="N105" s="13">
        <v>0.55000000000000004</v>
      </c>
      <c r="O105" s="13">
        <f t="shared" si="85"/>
        <v>3.6410000000000005</v>
      </c>
      <c r="P105" s="13">
        <f t="shared" si="79"/>
        <v>0</v>
      </c>
      <c r="Q105" s="14">
        <f t="shared" si="86"/>
        <v>0</v>
      </c>
    </row>
    <row r="106" spans="1:17" x14ac:dyDescent="0.3">
      <c r="A106" s="250">
        <f>VLOOKUP($B106,Reporting!$BL:$CD,MATCH($A$95,Reporting!$BM$4:$CD$4,0)+1,FALSE)</f>
        <v>0</v>
      </c>
      <c r="B106" s="266" t="s">
        <v>399</v>
      </c>
      <c r="C106" s="97">
        <v>8.5</v>
      </c>
      <c r="D106" s="6">
        <v>0.61</v>
      </c>
      <c r="E106" s="7">
        <f>C106*D106</f>
        <v>5.1849999999999996</v>
      </c>
      <c r="F106" s="7">
        <f>A106*E106</f>
        <v>0</v>
      </c>
      <c r="G106" s="8">
        <f>F106/8</f>
        <v>0</v>
      </c>
      <c r="H106" s="9">
        <f>C106</f>
        <v>8.5</v>
      </c>
      <c r="I106" s="10">
        <v>0.61</v>
      </c>
      <c r="J106" s="10">
        <f>H106*I106</f>
        <v>5.1849999999999996</v>
      </c>
      <c r="K106" s="10">
        <f>A106*J106</f>
        <v>0</v>
      </c>
      <c r="L106" s="11">
        <f>K106/8</f>
        <v>0</v>
      </c>
      <c r="M106" s="12">
        <f>H106</f>
        <v>8.5</v>
      </c>
      <c r="N106" s="13">
        <v>0.55000000000000004</v>
      </c>
      <c r="O106" s="13">
        <f>M106*N106</f>
        <v>4.6750000000000007</v>
      </c>
      <c r="P106" s="13">
        <f>A106*O106</f>
        <v>0</v>
      </c>
      <c r="Q106" s="14">
        <f>P106/8</f>
        <v>0</v>
      </c>
    </row>
    <row r="107" spans="1:17" x14ac:dyDescent="0.3">
      <c r="A107" s="250">
        <f>VLOOKUP($B107,Reporting!$BL:$CD,MATCH($A$95,Reporting!$BM$4:$CD$4,0)+1,FALSE)</f>
        <v>0</v>
      </c>
      <c r="B107" s="266" t="s">
        <v>400</v>
      </c>
      <c r="C107" s="97">
        <v>9.35</v>
      </c>
      <c r="D107" s="6">
        <v>0.61</v>
      </c>
      <c r="E107" s="7">
        <f>C107*D107</f>
        <v>5.7035</v>
      </c>
      <c r="F107" s="7">
        <f>A107*E107</f>
        <v>0</v>
      </c>
      <c r="G107" s="8">
        <f>F107/8</f>
        <v>0</v>
      </c>
      <c r="H107" s="9">
        <f>C107</f>
        <v>9.35</v>
      </c>
      <c r="I107" s="10">
        <v>0.61</v>
      </c>
      <c r="J107" s="10">
        <f>H107*I107</f>
        <v>5.7035</v>
      </c>
      <c r="K107" s="10">
        <f>A107*J107</f>
        <v>0</v>
      </c>
      <c r="L107" s="11">
        <f>K107/8</f>
        <v>0</v>
      </c>
      <c r="M107" s="12">
        <f>H107</f>
        <v>9.35</v>
      </c>
      <c r="N107" s="13">
        <v>0.55000000000000004</v>
      </c>
      <c r="O107" s="13">
        <f>M107*N107</f>
        <v>5.1425000000000001</v>
      </c>
      <c r="P107" s="13">
        <f>A107*O107</f>
        <v>0</v>
      </c>
      <c r="Q107" s="14">
        <f>P107/8</f>
        <v>0</v>
      </c>
    </row>
    <row r="108" spans="1:17" x14ac:dyDescent="0.3">
      <c r="A108" s="250">
        <f>VLOOKUP($B108,Reporting!$BL:$CD,MATCH($A$95,Reporting!$BM$4:$CD$4,0)+1,FALSE)</f>
        <v>0</v>
      </c>
      <c r="B108" s="266" t="s">
        <v>401</v>
      </c>
      <c r="C108" s="97">
        <v>9.68</v>
      </c>
      <c r="D108" s="6">
        <v>0.61</v>
      </c>
      <c r="E108" s="7">
        <f>C108*D108</f>
        <v>5.9047999999999998</v>
      </c>
      <c r="F108" s="7">
        <f>A108*E108</f>
        <v>0</v>
      </c>
      <c r="G108" s="8">
        <f>F108/8</f>
        <v>0</v>
      </c>
      <c r="H108" s="9">
        <f>C108</f>
        <v>9.68</v>
      </c>
      <c r="I108" s="10">
        <v>0.61</v>
      </c>
      <c r="J108" s="10">
        <f>H108*I108</f>
        <v>5.9047999999999998</v>
      </c>
      <c r="K108" s="10">
        <f>A108*J108</f>
        <v>0</v>
      </c>
      <c r="L108" s="11">
        <f>K108/8</f>
        <v>0</v>
      </c>
      <c r="M108" s="12">
        <f>H108</f>
        <v>9.68</v>
      </c>
      <c r="N108" s="13">
        <v>0.55000000000000004</v>
      </c>
      <c r="O108" s="13">
        <f>M108*N108</f>
        <v>5.3239999999999998</v>
      </c>
      <c r="P108" s="13">
        <f>A108*O108</f>
        <v>0</v>
      </c>
      <c r="Q108" s="14">
        <f>P108/8</f>
        <v>0</v>
      </c>
    </row>
    <row r="109" spans="1:17" x14ac:dyDescent="0.3">
      <c r="A109" s="250">
        <f>VLOOKUP($B109,Reporting!$BL:$CD,MATCH($A$95,Reporting!$BM$4:$CD$4,0)+1,FALSE)</f>
        <v>0</v>
      </c>
      <c r="B109" s="266" t="s">
        <v>402</v>
      </c>
      <c r="C109" s="97">
        <v>12.4</v>
      </c>
      <c r="D109" s="6">
        <v>0.61</v>
      </c>
      <c r="E109" s="7">
        <f t="shared" si="80"/>
        <v>7.5640000000000001</v>
      </c>
      <c r="F109" s="7">
        <f t="shared" si="76"/>
        <v>0</v>
      </c>
      <c r="G109" s="8">
        <f t="shared" si="81"/>
        <v>0</v>
      </c>
      <c r="H109" s="9">
        <f t="shared" si="77"/>
        <v>12.4</v>
      </c>
      <c r="I109" s="10">
        <v>0.61</v>
      </c>
      <c r="J109" s="10">
        <f t="shared" si="82"/>
        <v>7.5640000000000001</v>
      </c>
      <c r="K109" s="10">
        <f t="shared" si="78"/>
        <v>0</v>
      </c>
      <c r="L109" s="11">
        <f t="shared" si="83"/>
        <v>0</v>
      </c>
      <c r="M109" s="12">
        <f t="shared" si="84"/>
        <v>12.4</v>
      </c>
      <c r="N109" s="13">
        <v>0.55000000000000004</v>
      </c>
      <c r="O109" s="13">
        <f t="shared" si="85"/>
        <v>6.8200000000000012</v>
      </c>
      <c r="P109" s="13">
        <f t="shared" si="79"/>
        <v>0</v>
      </c>
      <c r="Q109" s="14">
        <f t="shared" si="86"/>
        <v>0</v>
      </c>
    </row>
    <row r="110" spans="1:17" ht="15" thickBot="1" x14ac:dyDescent="0.35">
      <c r="A110" s="253">
        <f>SUM(A97:A109)</f>
        <v>0</v>
      </c>
      <c r="B110" s="4"/>
      <c r="C110" s="4"/>
      <c r="D110" s="644" t="s">
        <v>9</v>
      </c>
      <c r="E110" s="645"/>
      <c r="F110" s="645"/>
      <c r="G110" s="16">
        <f>SUM(G97:G109)</f>
        <v>0</v>
      </c>
      <c r="H110" s="1"/>
      <c r="I110" s="646" t="s">
        <v>10</v>
      </c>
      <c r="J110" s="646"/>
      <c r="K110" s="646"/>
      <c r="L110" s="17">
        <f>SUM(L97:L109)</f>
        <v>0</v>
      </c>
      <c r="M110" s="15"/>
      <c r="N110" s="647" t="s">
        <v>11</v>
      </c>
      <c r="O110" s="647"/>
      <c r="P110" s="647"/>
      <c r="Q110" s="18">
        <f>SUM(Q97:Q109)</f>
        <v>0</v>
      </c>
    </row>
    <row r="111" spans="1:17" ht="15" thickBot="1" x14ac:dyDescent="0.35"/>
    <row r="112" spans="1:17" ht="15" customHeight="1" x14ac:dyDescent="0.3">
      <c r="A112" s="689" t="s">
        <v>198</v>
      </c>
      <c r="B112" s="689"/>
      <c r="C112" s="689"/>
      <c r="D112" s="689"/>
      <c r="E112" s="689"/>
      <c r="F112" s="689"/>
      <c r="G112" s="689"/>
      <c r="H112" s="730" t="s">
        <v>106</v>
      </c>
      <c r="I112" s="730"/>
      <c r="J112" s="730"/>
      <c r="K112" s="730"/>
      <c r="L112" s="730"/>
      <c r="M112" s="730"/>
      <c r="N112" s="730"/>
      <c r="O112" s="730"/>
      <c r="P112" s="122"/>
      <c r="Q112" s="154"/>
    </row>
    <row r="113" spans="1:25" ht="15" customHeight="1" x14ac:dyDescent="0.3">
      <c r="A113" s="690"/>
      <c r="B113" s="690"/>
      <c r="C113" s="690"/>
      <c r="D113" s="690"/>
      <c r="E113" s="690"/>
      <c r="F113" s="690"/>
      <c r="G113" s="690"/>
      <c r="H113" s="732"/>
      <c r="I113" s="732"/>
      <c r="J113" s="732"/>
      <c r="K113" s="732"/>
      <c r="L113" s="732"/>
      <c r="M113" s="732"/>
      <c r="N113" s="732"/>
      <c r="O113" s="732"/>
      <c r="P113" s="123"/>
      <c r="Q113" s="155"/>
      <c r="S113" s="116"/>
      <c r="T113" s="116"/>
      <c r="U113" s="116"/>
    </row>
    <row r="114" spans="1:25" x14ac:dyDescent="0.3">
      <c r="A114" s="250">
        <f>VLOOKUP($B114,Reporting!$BL:$CD,MATCH($A$112,Reporting!$BM$4:$CD$4,0)+1,FALSE)</f>
        <v>0</v>
      </c>
      <c r="B114" s="266" t="s">
        <v>376</v>
      </c>
      <c r="C114" s="114">
        <v>1.58</v>
      </c>
      <c r="D114" s="6">
        <v>0.61</v>
      </c>
      <c r="E114" s="7">
        <f>C114*D114</f>
        <v>0.96379999999999999</v>
      </c>
      <c r="F114" s="7">
        <f>A114*E114</f>
        <v>0</v>
      </c>
      <c r="G114" s="8">
        <f>F114/8</f>
        <v>0</v>
      </c>
      <c r="H114" s="9">
        <f>C114</f>
        <v>1.58</v>
      </c>
      <c r="I114" s="10">
        <v>0.61</v>
      </c>
      <c r="J114" s="10">
        <f>H114*I114</f>
        <v>0.96379999999999999</v>
      </c>
      <c r="K114" s="10">
        <f>A114*J114</f>
        <v>0</v>
      </c>
      <c r="L114" s="11">
        <f>K114/8</f>
        <v>0</v>
      </c>
      <c r="M114" s="12">
        <f>H114</f>
        <v>1.58</v>
      </c>
      <c r="N114" s="13">
        <v>0.55000000000000004</v>
      </c>
      <c r="O114" s="13">
        <f>M114*N114</f>
        <v>0.86900000000000011</v>
      </c>
      <c r="P114" s="13">
        <f>A114*O114</f>
        <v>0</v>
      </c>
      <c r="Q114" s="14">
        <f>P114/8</f>
        <v>0</v>
      </c>
    </row>
    <row r="115" spans="1:25" ht="15" customHeight="1" x14ac:dyDescent="0.3">
      <c r="A115" s="250">
        <f>VLOOKUP($B115,Reporting!$BL:$CD,MATCH($A$95,Reporting!$BM$4:$CD$4,0)+1,FALSE)</f>
        <v>0</v>
      </c>
      <c r="B115" s="266" t="s">
        <v>391</v>
      </c>
      <c r="C115" s="97">
        <v>1.73</v>
      </c>
      <c r="D115" s="6">
        <v>0.61</v>
      </c>
      <c r="E115" s="7">
        <f>C115*D115</f>
        <v>1.0552999999999999</v>
      </c>
      <c r="F115" s="7">
        <f t="shared" ref="F115:F126" si="87">A115*E115</f>
        <v>0</v>
      </c>
      <c r="G115" s="8">
        <f>F115/8</f>
        <v>0</v>
      </c>
      <c r="H115" s="9">
        <f t="shared" ref="H115:H126" si="88">C115</f>
        <v>1.73</v>
      </c>
      <c r="I115" s="10">
        <v>0.61</v>
      </c>
      <c r="J115" s="10">
        <f>H115*I115</f>
        <v>1.0552999999999999</v>
      </c>
      <c r="K115" s="10">
        <f t="shared" ref="K115:K126" si="89">A115*J115</f>
        <v>0</v>
      </c>
      <c r="L115" s="11">
        <f>K115/8</f>
        <v>0</v>
      </c>
      <c r="M115" s="12">
        <f>H115</f>
        <v>1.73</v>
      </c>
      <c r="N115" s="13">
        <v>0.55000000000000004</v>
      </c>
      <c r="O115" s="13">
        <f>M115*N115</f>
        <v>0.95150000000000001</v>
      </c>
      <c r="P115" s="13">
        <f t="shared" ref="P115:P126" si="90">A115*O115</f>
        <v>0</v>
      </c>
      <c r="Q115" s="14">
        <f>P115/8</f>
        <v>0</v>
      </c>
    </row>
    <row r="116" spans="1:25" ht="15" customHeight="1" x14ac:dyDescent="0.3">
      <c r="A116" s="250">
        <f>VLOOKUP($B116,Reporting!$BL:$CD,MATCH($A$95,Reporting!$BM$4:$CD$4,0)+1,FALSE)</f>
        <v>0</v>
      </c>
      <c r="B116" s="266" t="s">
        <v>392</v>
      </c>
      <c r="C116" s="97">
        <v>3.23</v>
      </c>
      <c r="D116" s="6">
        <v>0.61</v>
      </c>
      <c r="E116" s="7">
        <f t="shared" ref="E116:E126" si="91">C116*D116</f>
        <v>1.9702999999999999</v>
      </c>
      <c r="F116" s="7">
        <f t="shared" si="87"/>
        <v>0</v>
      </c>
      <c r="G116" s="8">
        <f t="shared" ref="G116:G126" si="92">F116/8</f>
        <v>0</v>
      </c>
      <c r="H116" s="9">
        <f t="shared" si="88"/>
        <v>3.23</v>
      </c>
      <c r="I116" s="10">
        <v>0.61</v>
      </c>
      <c r="J116" s="10">
        <f t="shared" ref="J116:J126" si="93">H116*I116</f>
        <v>1.9702999999999999</v>
      </c>
      <c r="K116" s="10">
        <f t="shared" si="89"/>
        <v>0</v>
      </c>
      <c r="L116" s="11">
        <f t="shared" ref="L116:L126" si="94">K116/8</f>
        <v>0</v>
      </c>
      <c r="M116" s="12">
        <f t="shared" ref="M116:M126" si="95">H116</f>
        <v>3.23</v>
      </c>
      <c r="N116" s="13">
        <v>0.55000000000000004</v>
      </c>
      <c r="O116" s="13">
        <f t="shared" ref="O116:O126" si="96">M116*N116</f>
        <v>1.7765000000000002</v>
      </c>
      <c r="P116" s="13">
        <f t="shared" si="90"/>
        <v>0</v>
      </c>
      <c r="Q116" s="14">
        <f t="shared" ref="Q116:Q126" si="97">P116/8</f>
        <v>0</v>
      </c>
    </row>
    <row r="117" spans="1:25" ht="15" customHeight="1" x14ac:dyDescent="0.3">
      <c r="A117" s="250">
        <f>VLOOKUP($B117,Reporting!$BL:$CD,MATCH($A$95,Reporting!$BM$4:$CD$4,0)+1,FALSE)</f>
        <v>0</v>
      </c>
      <c r="B117" s="266" t="s">
        <v>393</v>
      </c>
      <c r="C117" s="97">
        <v>3.98</v>
      </c>
      <c r="D117" s="6">
        <v>0.61</v>
      </c>
      <c r="E117" s="7">
        <f t="shared" si="91"/>
        <v>2.4278</v>
      </c>
      <c r="F117" s="7">
        <f t="shared" si="87"/>
        <v>0</v>
      </c>
      <c r="G117" s="8">
        <f t="shared" si="92"/>
        <v>0</v>
      </c>
      <c r="H117" s="9">
        <f t="shared" si="88"/>
        <v>3.98</v>
      </c>
      <c r="I117" s="10">
        <v>0.61</v>
      </c>
      <c r="J117" s="10">
        <f t="shared" si="93"/>
        <v>2.4278</v>
      </c>
      <c r="K117" s="10">
        <f t="shared" si="89"/>
        <v>0</v>
      </c>
      <c r="L117" s="11">
        <f t="shared" si="94"/>
        <v>0</v>
      </c>
      <c r="M117" s="12">
        <f t="shared" si="95"/>
        <v>3.98</v>
      </c>
      <c r="N117" s="13">
        <v>0.55000000000000004</v>
      </c>
      <c r="O117" s="13">
        <f t="shared" si="96"/>
        <v>2.1890000000000001</v>
      </c>
      <c r="P117" s="13">
        <f t="shared" si="90"/>
        <v>0</v>
      </c>
      <c r="Q117" s="14">
        <f t="shared" si="97"/>
        <v>0</v>
      </c>
    </row>
    <row r="118" spans="1:25" ht="15.75" customHeight="1" x14ac:dyDescent="0.3">
      <c r="A118" s="250">
        <f>VLOOKUP($B118,Reporting!$BL:$CD,MATCH($A$95,Reporting!$BM$4:$CD$4,0)+1,FALSE)</f>
        <v>0</v>
      </c>
      <c r="B118" s="266" t="s">
        <v>394</v>
      </c>
      <c r="C118" s="97">
        <v>4.3499999999999996</v>
      </c>
      <c r="D118" s="6">
        <v>0.61</v>
      </c>
      <c r="E118" s="7">
        <f t="shared" si="91"/>
        <v>2.6534999999999997</v>
      </c>
      <c r="F118" s="7">
        <f t="shared" si="87"/>
        <v>0</v>
      </c>
      <c r="G118" s="8">
        <f t="shared" si="92"/>
        <v>0</v>
      </c>
      <c r="H118" s="9">
        <f t="shared" si="88"/>
        <v>4.3499999999999996</v>
      </c>
      <c r="I118" s="10">
        <v>0.61</v>
      </c>
      <c r="J118" s="10">
        <f t="shared" si="93"/>
        <v>2.6534999999999997</v>
      </c>
      <c r="K118" s="10">
        <f t="shared" si="89"/>
        <v>0</v>
      </c>
      <c r="L118" s="11">
        <f t="shared" si="94"/>
        <v>0</v>
      </c>
      <c r="M118" s="12">
        <f t="shared" si="95"/>
        <v>4.3499999999999996</v>
      </c>
      <c r="N118" s="13">
        <v>0.55000000000000004</v>
      </c>
      <c r="O118" s="13">
        <f t="shared" si="96"/>
        <v>2.3925000000000001</v>
      </c>
      <c r="P118" s="13">
        <f t="shared" si="90"/>
        <v>0</v>
      </c>
      <c r="Q118" s="14">
        <f t="shared" si="97"/>
        <v>0</v>
      </c>
    </row>
    <row r="119" spans="1:25" x14ac:dyDescent="0.3">
      <c r="A119" s="250">
        <f>VLOOKUP($B119,Reporting!$BL:$CD,MATCH($A$95,Reporting!$BM$4:$CD$4,0)+1,FALSE)</f>
        <v>0</v>
      </c>
      <c r="B119" s="266" t="s">
        <v>395</v>
      </c>
      <c r="C119" s="97">
        <v>5.96</v>
      </c>
      <c r="D119" s="6">
        <v>0.61</v>
      </c>
      <c r="E119" s="7">
        <f t="shared" si="91"/>
        <v>3.6355999999999997</v>
      </c>
      <c r="F119" s="7">
        <f t="shared" si="87"/>
        <v>0</v>
      </c>
      <c r="G119" s="8">
        <f t="shared" si="92"/>
        <v>0</v>
      </c>
      <c r="H119" s="9">
        <f t="shared" si="88"/>
        <v>5.96</v>
      </c>
      <c r="I119" s="10">
        <v>0.61</v>
      </c>
      <c r="J119" s="10">
        <f t="shared" si="93"/>
        <v>3.6355999999999997</v>
      </c>
      <c r="K119" s="10">
        <f t="shared" si="89"/>
        <v>0</v>
      </c>
      <c r="L119" s="11">
        <f t="shared" si="94"/>
        <v>0</v>
      </c>
      <c r="M119" s="12">
        <f t="shared" si="95"/>
        <v>5.96</v>
      </c>
      <c r="N119" s="13">
        <v>0.55000000000000004</v>
      </c>
      <c r="O119" s="13">
        <f t="shared" si="96"/>
        <v>3.278</v>
      </c>
      <c r="P119" s="13">
        <f t="shared" si="90"/>
        <v>0</v>
      </c>
      <c r="Q119" s="14">
        <f t="shared" si="97"/>
        <v>0</v>
      </c>
    </row>
    <row r="120" spans="1:25" x14ac:dyDescent="0.3">
      <c r="A120" s="250">
        <f>VLOOKUP($B120,Reporting!$BL:$CD,MATCH($A$95,Reporting!$BM$4:$CD$4,0)+1,FALSE)</f>
        <v>0</v>
      </c>
      <c r="B120" s="266" t="s">
        <v>396</v>
      </c>
      <c r="C120" s="97">
        <v>8.26</v>
      </c>
      <c r="D120" s="6">
        <v>0.61</v>
      </c>
      <c r="E120" s="7">
        <f t="shared" si="91"/>
        <v>5.0385999999999997</v>
      </c>
      <c r="F120" s="7">
        <f t="shared" si="87"/>
        <v>0</v>
      </c>
      <c r="G120" s="8">
        <f t="shared" si="92"/>
        <v>0</v>
      </c>
      <c r="H120" s="9">
        <f t="shared" si="88"/>
        <v>8.26</v>
      </c>
      <c r="I120" s="10">
        <v>0.61</v>
      </c>
      <c r="J120" s="10">
        <f t="shared" si="93"/>
        <v>5.0385999999999997</v>
      </c>
      <c r="K120" s="10">
        <f t="shared" si="89"/>
        <v>0</v>
      </c>
      <c r="L120" s="11">
        <f t="shared" si="94"/>
        <v>0</v>
      </c>
      <c r="M120" s="12">
        <f t="shared" si="95"/>
        <v>8.26</v>
      </c>
      <c r="N120" s="13">
        <v>0.55000000000000004</v>
      </c>
      <c r="O120" s="13">
        <f t="shared" si="96"/>
        <v>4.5430000000000001</v>
      </c>
      <c r="P120" s="13">
        <f t="shared" si="90"/>
        <v>0</v>
      </c>
      <c r="Q120" s="14">
        <f t="shared" si="97"/>
        <v>0</v>
      </c>
    </row>
    <row r="121" spans="1:25" x14ac:dyDescent="0.3">
      <c r="A121" s="250">
        <f>VLOOKUP($B121,Reporting!$BL:$CD,MATCH($A$95,Reporting!$BM$4:$CD$4,0)+1,FALSE)</f>
        <v>0</v>
      </c>
      <c r="B121" s="266" t="s">
        <v>397</v>
      </c>
      <c r="C121" s="97">
        <v>9.4700000000000006</v>
      </c>
      <c r="D121" s="6">
        <v>0.61</v>
      </c>
      <c r="E121" s="7">
        <f t="shared" si="91"/>
        <v>5.7766999999999999</v>
      </c>
      <c r="F121" s="7">
        <f t="shared" si="87"/>
        <v>0</v>
      </c>
      <c r="G121" s="8">
        <f t="shared" si="92"/>
        <v>0</v>
      </c>
      <c r="H121" s="9">
        <f t="shared" si="88"/>
        <v>9.4700000000000006</v>
      </c>
      <c r="I121" s="10">
        <v>0.61</v>
      </c>
      <c r="J121" s="10">
        <f t="shared" si="93"/>
        <v>5.7766999999999999</v>
      </c>
      <c r="K121" s="10">
        <f t="shared" si="89"/>
        <v>0</v>
      </c>
      <c r="L121" s="11">
        <f t="shared" si="94"/>
        <v>0</v>
      </c>
      <c r="M121" s="12">
        <f t="shared" si="95"/>
        <v>9.4700000000000006</v>
      </c>
      <c r="N121" s="13">
        <v>0.55000000000000004</v>
      </c>
      <c r="O121" s="13">
        <f t="shared" si="96"/>
        <v>5.2085000000000008</v>
      </c>
      <c r="P121" s="13">
        <f t="shared" si="90"/>
        <v>0</v>
      </c>
      <c r="Q121" s="14">
        <f t="shared" si="97"/>
        <v>0</v>
      </c>
    </row>
    <row r="122" spans="1:25" x14ac:dyDescent="0.3">
      <c r="A122" s="250">
        <f>VLOOKUP($B122,Reporting!$BL:$CD,MATCH($A$95,Reporting!$BM$4:$CD$4,0)+1,FALSE)</f>
        <v>0</v>
      </c>
      <c r="B122" s="266" t="s">
        <v>398</v>
      </c>
      <c r="C122" s="97">
        <v>12.22</v>
      </c>
      <c r="D122" s="6">
        <v>0.61</v>
      </c>
      <c r="E122" s="7">
        <f t="shared" si="91"/>
        <v>7.4542000000000002</v>
      </c>
      <c r="F122" s="7">
        <f t="shared" si="87"/>
        <v>0</v>
      </c>
      <c r="G122" s="8">
        <f t="shared" si="92"/>
        <v>0</v>
      </c>
      <c r="H122" s="9">
        <f t="shared" si="88"/>
        <v>12.22</v>
      </c>
      <c r="I122" s="10">
        <v>0.61</v>
      </c>
      <c r="J122" s="10">
        <f t="shared" si="93"/>
        <v>7.4542000000000002</v>
      </c>
      <c r="K122" s="10">
        <f t="shared" si="89"/>
        <v>0</v>
      </c>
      <c r="L122" s="11">
        <f t="shared" si="94"/>
        <v>0</v>
      </c>
      <c r="M122" s="12">
        <f t="shared" si="95"/>
        <v>12.22</v>
      </c>
      <c r="N122" s="13">
        <v>0.55000000000000004</v>
      </c>
      <c r="O122" s="13">
        <f t="shared" si="96"/>
        <v>6.721000000000001</v>
      </c>
      <c r="P122" s="13">
        <f t="shared" si="90"/>
        <v>0</v>
      </c>
      <c r="Q122" s="14">
        <f t="shared" si="97"/>
        <v>0</v>
      </c>
    </row>
    <row r="123" spans="1:25" x14ac:dyDescent="0.3">
      <c r="A123" s="250">
        <f>VLOOKUP($B123,Reporting!$BL:$CD,MATCH($A$95,Reporting!$BM$4:$CD$4,0)+1,FALSE)</f>
        <v>0</v>
      </c>
      <c r="B123" s="266" t="s">
        <v>399</v>
      </c>
      <c r="C123" s="97">
        <v>13.62</v>
      </c>
      <c r="D123" s="6">
        <v>0.61</v>
      </c>
      <c r="E123" s="7">
        <f t="shared" si="91"/>
        <v>8.3081999999999994</v>
      </c>
      <c r="F123" s="7">
        <f t="shared" si="87"/>
        <v>0</v>
      </c>
      <c r="G123" s="8">
        <f t="shared" si="92"/>
        <v>0</v>
      </c>
      <c r="H123" s="9">
        <f t="shared" si="88"/>
        <v>13.62</v>
      </c>
      <c r="I123" s="10">
        <v>0.61</v>
      </c>
      <c r="J123" s="10">
        <f t="shared" si="93"/>
        <v>8.3081999999999994</v>
      </c>
      <c r="K123" s="10">
        <f t="shared" si="89"/>
        <v>0</v>
      </c>
      <c r="L123" s="11">
        <f t="shared" si="94"/>
        <v>0</v>
      </c>
      <c r="M123" s="12">
        <f t="shared" si="95"/>
        <v>13.62</v>
      </c>
      <c r="N123" s="13">
        <v>0.55000000000000004</v>
      </c>
      <c r="O123" s="13">
        <f t="shared" si="96"/>
        <v>7.4910000000000005</v>
      </c>
      <c r="P123" s="13">
        <f t="shared" si="90"/>
        <v>0</v>
      </c>
      <c r="Q123" s="14">
        <f t="shared" si="97"/>
        <v>0</v>
      </c>
    </row>
    <row r="124" spans="1:25" x14ac:dyDescent="0.3">
      <c r="A124" s="250">
        <f>VLOOKUP($B124,Reporting!$BL:$CD,MATCH($A$95,Reporting!$BM$4:$CD$4,0)+1,FALSE)</f>
        <v>0</v>
      </c>
      <c r="B124" s="266" t="s">
        <v>400</v>
      </c>
      <c r="C124" s="97">
        <v>14.53</v>
      </c>
      <c r="D124" s="6">
        <v>0.61</v>
      </c>
      <c r="E124" s="7">
        <f t="shared" si="91"/>
        <v>8.8632999999999988</v>
      </c>
      <c r="F124" s="7">
        <f t="shared" si="87"/>
        <v>0</v>
      </c>
      <c r="G124" s="8">
        <f t="shared" si="92"/>
        <v>0</v>
      </c>
      <c r="H124" s="9">
        <f t="shared" si="88"/>
        <v>14.53</v>
      </c>
      <c r="I124" s="10">
        <v>0.61</v>
      </c>
      <c r="J124" s="10">
        <f t="shared" si="93"/>
        <v>8.8632999999999988</v>
      </c>
      <c r="K124" s="10">
        <f t="shared" si="89"/>
        <v>0</v>
      </c>
      <c r="L124" s="11">
        <f t="shared" si="94"/>
        <v>0</v>
      </c>
      <c r="M124" s="12">
        <f t="shared" si="95"/>
        <v>14.53</v>
      </c>
      <c r="N124" s="13">
        <v>0.55000000000000004</v>
      </c>
      <c r="O124" s="13">
        <f t="shared" si="96"/>
        <v>7.9915000000000003</v>
      </c>
      <c r="P124" s="13">
        <f t="shared" si="90"/>
        <v>0</v>
      </c>
      <c r="Q124" s="14">
        <f t="shared" si="97"/>
        <v>0</v>
      </c>
    </row>
    <row r="125" spans="1:25" x14ac:dyDescent="0.3">
      <c r="A125" s="250">
        <f>VLOOKUP($B125,Reporting!$BL:$CD,MATCH($A$95,Reporting!$BM$4:$CD$4,0)+1,FALSE)</f>
        <v>0</v>
      </c>
      <c r="B125" s="266" t="s">
        <v>401</v>
      </c>
      <c r="C125" s="97">
        <v>16.309999999999999</v>
      </c>
      <c r="D125" s="6">
        <v>0.61</v>
      </c>
      <c r="E125" s="7">
        <f t="shared" si="91"/>
        <v>9.9490999999999996</v>
      </c>
      <c r="F125" s="7">
        <f t="shared" si="87"/>
        <v>0</v>
      </c>
      <c r="G125" s="8">
        <f t="shared" si="92"/>
        <v>0</v>
      </c>
      <c r="H125" s="9">
        <f t="shared" si="88"/>
        <v>16.309999999999999</v>
      </c>
      <c r="I125" s="10">
        <v>0.61</v>
      </c>
      <c r="J125" s="10">
        <f t="shared" si="93"/>
        <v>9.9490999999999996</v>
      </c>
      <c r="K125" s="10">
        <f t="shared" si="89"/>
        <v>0</v>
      </c>
      <c r="L125" s="11">
        <f t="shared" si="94"/>
        <v>0</v>
      </c>
      <c r="M125" s="12">
        <f t="shared" si="95"/>
        <v>16.309999999999999</v>
      </c>
      <c r="N125" s="13">
        <v>0.55000000000000004</v>
      </c>
      <c r="O125" s="13">
        <f t="shared" si="96"/>
        <v>8.9704999999999995</v>
      </c>
      <c r="P125" s="13">
        <f t="shared" si="90"/>
        <v>0</v>
      </c>
      <c r="Q125" s="14">
        <f t="shared" si="97"/>
        <v>0</v>
      </c>
    </row>
    <row r="126" spans="1:25" x14ac:dyDescent="0.3">
      <c r="A126" s="250">
        <f>VLOOKUP($B126,Reporting!$BL:$CD,MATCH($A$95,Reporting!$BM$4:$CD$4,0)+1,FALSE)</f>
        <v>0</v>
      </c>
      <c r="B126" s="266" t="s">
        <v>402</v>
      </c>
      <c r="C126" s="97">
        <v>19.11</v>
      </c>
      <c r="D126" s="6">
        <v>0.61</v>
      </c>
      <c r="E126" s="7">
        <f t="shared" si="91"/>
        <v>11.6571</v>
      </c>
      <c r="F126" s="7">
        <f t="shared" si="87"/>
        <v>0</v>
      </c>
      <c r="G126" s="8">
        <f t="shared" si="92"/>
        <v>0</v>
      </c>
      <c r="H126" s="9">
        <f t="shared" si="88"/>
        <v>19.11</v>
      </c>
      <c r="I126" s="10">
        <v>0.61</v>
      </c>
      <c r="J126" s="10">
        <f t="shared" si="93"/>
        <v>11.6571</v>
      </c>
      <c r="K126" s="10">
        <f t="shared" si="89"/>
        <v>0</v>
      </c>
      <c r="L126" s="11">
        <f t="shared" si="94"/>
        <v>0</v>
      </c>
      <c r="M126" s="12">
        <f t="shared" si="95"/>
        <v>19.11</v>
      </c>
      <c r="N126" s="13">
        <v>0.55000000000000004</v>
      </c>
      <c r="O126" s="13">
        <f t="shared" si="96"/>
        <v>10.5105</v>
      </c>
      <c r="P126" s="13">
        <f t="shared" si="90"/>
        <v>0</v>
      </c>
      <c r="Q126" s="14">
        <f t="shared" si="97"/>
        <v>0</v>
      </c>
      <c r="T126" s="747" t="s">
        <v>209</v>
      </c>
      <c r="U126" s="748"/>
      <c r="V126" s="749"/>
      <c r="W126" s="759" t="s">
        <v>209</v>
      </c>
      <c r="X126" s="760"/>
      <c r="Y126" s="761"/>
    </row>
    <row r="127" spans="1:25" ht="15.75" customHeight="1" thickBot="1" x14ac:dyDescent="0.35">
      <c r="A127" s="253">
        <f>SUM(A114:A126)</f>
        <v>0</v>
      </c>
      <c r="B127" s="4"/>
      <c r="C127" s="4"/>
      <c r="D127" s="644" t="s">
        <v>9</v>
      </c>
      <c r="E127" s="645"/>
      <c r="F127" s="645"/>
      <c r="G127" s="16">
        <f>SUM(G114:G126)</f>
        <v>0</v>
      </c>
      <c r="H127" s="1"/>
      <c r="I127" s="646" t="s">
        <v>10</v>
      </c>
      <c r="J127" s="646"/>
      <c r="K127" s="646"/>
      <c r="L127" s="17">
        <f>SUM(L114:L126)</f>
        <v>0</v>
      </c>
      <c r="M127" s="15"/>
      <c r="N127" s="647" t="s">
        <v>11</v>
      </c>
      <c r="O127" s="647"/>
      <c r="P127" s="647"/>
      <c r="Q127" s="18">
        <f>SUM(Q114:Q126)</f>
        <v>0</v>
      </c>
      <c r="T127" s="750">
        <f>Q110+Q127+Q140+Q157+Q169+Q183</f>
        <v>0</v>
      </c>
      <c r="U127" s="751"/>
      <c r="V127" s="752"/>
      <c r="W127" s="762">
        <f>L110+L127+L140+L157+L169+L183</f>
        <v>0</v>
      </c>
      <c r="X127" s="763"/>
      <c r="Y127" s="764"/>
    </row>
    <row r="128" spans="1:25" ht="15.75" customHeight="1" thickBot="1" x14ac:dyDescent="0.35">
      <c r="T128" s="753"/>
      <c r="U128" s="754"/>
      <c r="V128" s="755"/>
      <c r="W128" s="765"/>
      <c r="X128" s="766"/>
      <c r="Y128" s="767"/>
    </row>
    <row r="129" spans="1:25" ht="15" customHeight="1" x14ac:dyDescent="0.3">
      <c r="A129" s="689" t="s">
        <v>199</v>
      </c>
      <c r="B129" s="689"/>
      <c r="C129" s="689"/>
      <c r="D129" s="689"/>
      <c r="E129" s="689"/>
      <c r="F129" s="689"/>
      <c r="G129" s="689"/>
      <c r="H129" s="122"/>
      <c r="I129" s="122"/>
      <c r="J129" s="122"/>
      <c r="K129" s="122"/>
      <c r="L129" s="730" t="s">
        <v>106</v>
      </c>
      <c r="M129" s="730"/>
      <c r="N129" s="730"/>
      <c r="O129" s="730"/>
      <c r="P129" s="730"/>
      <c r="Q129" s="5"/>
      <c r="T129" s="756"/>
      <c r="U129" s="757"/>
      <c r="V129" s="758"/>
      <c r="W129" s="768"/>
      <c r="X129" s="769"/>
      <c r="Y129" s="770"/>
    </row>
    <row r="130" spans="1:25" ht="15" customHeight="1" x14ac:dyDescent="0.3">
      <c r="A130" s="690"/>
      <c r="B130" s="690"/>
      <c r="C130" s="690"/>
      <c r="D130" s="690"/>
      <c r="E130" s="690"/>
      <c r="F130" s="690"/>
      <c r="G130" s="690"/>
      <c r="H130" s="123"/>
      <c r="I130" s="123"/>
      <c r="J130" s="123"/>
      <c r="K130" s="123"/>
      <c r="L130" s="732"/>
      <c r="M130" s="732"/>
      <c r="N130" s="732"/>
      <c r="O130" s="732"/>
      <c r="P130" s="732"/>
      <c r="Q130" s="30"/>
      <c r="S130" s="116"/>
      <c r="T130" s="116"/>
      <c r="U130" s="116"/>
    </row>
    <row r="131" spans="1:25" x14ac:dyDescent="0.3">
      <c r="A131" s="250">
        <f>VLOOKUP($B131,Reporting!$BL:$CD,MATCH($A$129,Reporting!$BM$4:$CD$4,0)+1,FALSE)</f>
        <v>0</v>
      </c>
      <c r="B131" s="262" t="s">
        <v>390</v>
      </c>
      <c r="C131" s="114">
        <v>1.21</v>
      </c>
      <c r="D131" s="6">
        <v>0.61</v>
      </c>
      <c r="E131" s="7">
        <f>C131*D131</f>
        <v>0.73809999999999998</v>
      </c>
      <c r="F131" s="7">
        <f>A131*E131</f>
        <v>0</v>
      </c>
      <c r="G131" s="8">
        <f>F131/8</f>
        <v>0</v>
      </c>
      <c r="H131" s="9">
        <f>C131</f>
        <v>1.21</v>
      </c>
      <c r="I131" s="10">
        <v>0.61</v>
      </c>
      <c r="J131" s="10">
        <f>H131*I131</f>
        <v>0.73809999999999998</v>
      </c>
      <c r="K131" s="10">
        <f>A131*J131</f>
        <v>0</v>
      </c>
      <c r="L131" s="11">
        <f>K131/8</f>
        <v>0</v>
      </c>
      <c r="M131" s="12">
        <f>H131</f>
        <v>1.21</v>
      </c>
      <c r="N131" s="13">
        <v>0.55000000000000004</v>
      </c>
      <c r="O131" s="13">
        <f>M131*N131</f>
        <v>0.66549999999999998</v>
      </c>
      <c r="P131" s="13">
        <f>A131*O131</f>
        <v>0</v>
      </c>
      <c r="Q131" s="14">
        <f>P131/8</f>
        <v>0</v>
      </c>
    </row>
    <row r="132" spans="1:25" ht="15" customHeight="1" x14ac:dyDescent="0.3">
      <c r="A132" s="250">
        <f>VLOOKUP($B132,Reporting!$BL:$CD,MATCH($A$129,Reporting!$BM$4:$CD$4,0)+1,FALSE)</f>
        <v>0</v>
      </c>
      <c r="B132" s="266" t="s">
        <v>376</v>
      </c>
      <c r="C132" s="97">
        <v>1.35</v>
      </c>
      <c r="D132" s="6">
        <v>0.61</v>
      </c>
      <c r="E132" s="7">
        <f>C132*D132</f>
        <v>0.82350000000000001</v>
      </c>
      <c r="F132" s="7">
        <f t="shared" ref="F132:F139" si="98">A132*E132</f>
        <v>0</v>
      </c>
      <c r="G132" s="8">
        <f>F132/8</f>
        <v>0</v>
      </c>
      <c r="H132" s="9">
        <f t="shared" ref="H132:H139" si="99">C132</f>
        <v>1.35</v>
      </c>
      <c r="I132" s="10">
        <v>0.61</v>
      </c>
      <c r="J132" s="10">
        <f>H132*I132</f>
        <v>0.82350000000000001</v>
      </c>
      <c r="K132" s="10">
        <f t="shared" ref="K132:K139" si="100">A132*J132</f>
        <v>0</v>
      </c>
      <c r="L132" s="11">
        <f>K132/8</f>
        <v>0</v>
      </c>
      <c r="M132" s="12">
        <f>H132</f>
        <v>1.35</v>
      </c>
      <c r="N132" s="13">
        <v>0.55000000000000004</v>
      </c>
      <c r="O132" s="13">
        <f>M132*N132</f>
        <v>0.74250000000000016</v>
      </c>
      <c r="P132" s="13">
        <f t="shared" ref="P132:P139" si="101">A132*O132</f>
        <v>0</v>
      </c>
      <c r="Q132" s="14">
        <f>P132/8</f>
        <v>0</v>
      </c>
    </row>
    <row r="133" spans="1:25" ht="15" customHeight="1" x14ac:dyDescent="0.3">
      <c r="A133" s="250">
        <f>VLOOKUP($B133,Reporting!$BL:$CD,MATCH($A$129,Reporting!$BM$4:$CD$4,0)+1,FALSE)</f>
        <v>0</v>
      </c>
      <c r="B133" s="266" t="s">
        <v>391</v>
      </c>
      <c r="C133" s="97">
        <v>1.5</v>
      </c>
      <c r="D133" s="6">
        <v>0.61</v>
      </c>
      <c r="E133" s="7">
        <f t="shared" ref="E133:E139" si="102">C133*D133</f>
        <v>0.91500000000000004</v>
      </c>
      <c r="F133" s="7">
        <f t="shared" si="98"/>
        <v>0</v>
      </c>
      <c r="G133" s="8">
        <f t="shared" ref="G133:G139" si="103">F133/8</f>
        <v>0</v>
      </c>
      <c r="H133" s="9">
        <f t="shared" si="99"/>
        <v>1.5</v>
      </c>
      <c r="I133" s="10">
        <v>0.61</v>
      </c>
      <c r="J133" s="10">
        <f t="shared" ref="J133:J139" si="104">H133*I133</f>
        <v>0.91500000000000004</v>
      </c>
      <c r="K133" s="10">
        <f t="shared" si="100"/>
        <v>0</v>
      </c>
      <c r="L133" s="11">
        <f t="shared" ref="L133:L139" si="105">K133/8</f>
        <v>0</v>
      </c>
      <c r="M133" s="12">
        <f t="shared" ref="M133:M139" si="106">H133</f>
        <v>1.5</v>
      </c>
      <c r="N133" s="13">
        <v>0.55000000000000004</v>
      </c>
      <c r="O133" s="13">
        <f t="shared" ref="O133:O139" si="107">M133*N133</f>
        <v>0.82500000000000007</v>
      </c>
      <c r="P133" s="13">
        <f t="shared" si="101"/>
        <v>0</v>
      </c>
      <c r="Q133" s="14">
        <f t="shared" ref="Q133:Q139" si="108">P133/8</f>
        <v>0</v>
      </c>
    </row>
    <row r="134" spans="1:25" ht="15" customHeight="1" x14ac:dyDescent="0.3">
      <c r="A134" s="250">
        <f>VLOOKUP($B134,Reporting!$BL:$CD,MATCH($A$129,Reporting!$BM$4:$CD$4,0)+1,FALSE)</f>
        <v>0</v>
      </c>
      <c r="B134" s="266" t="s">
        <v>392</v>
      </c>
      <c r="C134" s="97">
        <v>2.72</v>
      </c>
      <c r="D134" s="6">
        <v>0.61</v>
      </c>
      <c r="E134" s="7">
        <f t="shared" si="102"/>
        <v>1.6592</v>
      </c>
      <c r="F134" s="7">
        <f t="shared" si="98"/>
        <v>0</v>
      </c>
      <c r="G134" s="8">
        <f t="shared" si="103"/>
        <v>0</v>
      </c>
      <c r="H134" s="9">
        <f t="shared" si="99"/>
        <v>2.72</v>
      </c>
      <c r="I134" s="10">
        <v>0.61</v>
      </c>
      <c r="J134" s="10">
        <f t="shared" si="104"/>
        <v>1.6592</v>
      </c>
      <c r="K134" s="10">
        <f t="shared" si="100"/>
        <v>0</v>
      </c>
      <c r="L134" s="11">
        <f t="shared" si="105"/>
        <v>0</v>
      </c>
      <c r="M134" s="12">
        <f t="shared" si="106"/>
        <v>2.72</v>
      </c>
      <c r="N134" s="13">
        <v>0.55000000000000004</v>
      </c>
      <c r="O134" s="13">
        <f t="shared" si="107"/>
        <v>1.4960000000000002</v>
      </c>
      <c r="P134" s="13">
        <f t="shared" si="101"/>
        <v>0</v>
      </c>
      <c r="Q134" s="14">
        <f t="shared" si="108"/>
        <v>0</v>
      </c>
    </row>
    <row r="135" spans="1:25" ht="15.75" customHeight="1" x14ac:dyDescent="0.3">
      <c r="A135" s="250">
        <f>VLOOKUP($B135,Reporting!$BL:$CD,MATCH($A$129,Reporting!$BM$4:$CD$4,0)+1,FALSE)</f>
        <v>0</v>
      </c>
      <c r="B135" s="266" t="s">
        <v>393</v>
      </c>
      <c r="C135" s="97">
        <v>3.41</v>
      </c>
      <c r="D135" s="6">
        <v>0.61</v>
      </c>
      <c r="E135" s="7">
        <f t="shared" si="102"/>
        <v>2.0800999999999998</v>
      </c>
      <c r="F135" s="7">
        <f t="shared" si="98"/>
        <v>0</v>
      </c>
      <c r="G135" s="8">
        <f t="shared" si="103"/>
        <v>0</v>
      </c>
      <c r="H135" s="9">
        <f t="shared" si="99"/>
        <v>3.41</v>
      </c>
      <c r="I135" s="10">
        <v>0.61</v>
      </c>
      <c r="J135" s="10">
        <f t="shared" si="104"/>
        <v>2.0800999999999998</v>
      </c>
      <c r="K135" s="10">
        <f t="shared" si="100"/>
        <v>0</v>
      </c>
      <c r="L135" s="11">
        <f t="shared" si="105"/>
        <v>0</v>
      </c>
      <c r="M135" s="12">
        <f t="shared" si="106"/>
        <v>3.41</v>
      </c>
      <c r="N135" s="13">
        <v>0.55000000000000004</v>
      </c>
      <c r="O135" s="13">
        <f t="shared" si="107"/>
        <v>1.8755000000000002</v>
      </c>
      <c r="P135" s="13">
        <f t="shared" si="101"/>
        <v>0</v>
      </c>
      <c r="Q135" s="14">
        <f t="shared" si="108"/>
        <v>0</v>
      </c>
    </row>
    <row r="136" spans="1:25" x14ac:dyDescent="0.3">
      <c r="A136" s="250">
        <f>VLOOKUP($B136,Reporting!$BL:$CD,MATCH($A$129,Reporting!$BM$4:$CD$4,0)+1,FALSE)</f>
        <v>0</v>
      </c>
      <c r="B136" s="266" t="s">
        <v>394</v>
      </c>
      <c r="C136" s="97">
        <v>3.93</v>
      </c>
      <c r="D136" s="6">
        <v>0.61</v>
      </c>
      <c r="E136" s="7">
        <f t="shared" si="102"/>
        <v>2.3973</v>
      </c>
      <c r="F136" s="7">
        <f t="shared" si="98"/>
        <v>0</v>
      </c>
      <c r="G136" s="8">
        <f t="shared" si="103"/>
        <v>0</v>
      </c>
      <c r="H136" s="9">
        <f t="shared" si="99"/>
        <v>3.93</v>
      </c>
      <c r="I136" s="10">
        <v>0.61</v>
      </c>
      <c r="J136" s="10">
        <f t="shared" si="104"/>
        <v>2.3973</v>
      </c>
      <c r="K136" s="10">
        <f t="shared" si="100"/>
        <v>0</v>
      </c>
      <c r="L136" s="11">
        <f t="shared" si="105"/>
        <v>0</v>
      </c>
      <c r="M136" s="12">
        <f t="shared" si="106"/>
        <v>3.93</v>
      </c>
      <c r="N136" s="13">
        <v>0.55000000000000004</v>
      </c>
      <c r="O136" s="13">
        <f t="shared" si="107"/>
        <v>2.1615000000000002</v>
      </c>
      <c r="P136" s="13">
        <f t="shared" si="101"/>
        <v>0</v>
      </c>
      <c r="Q136" s="14">
        <f t="shared" si="108"/>
        <v>0</v>
      </c>
    </row>
    <row r="137" spans="1:25" x14ac:dyDescent="0.3">
      <c r="A137" s="250">
        <f>VLOOKUP($B137,Reporting!$BL:$CD,MATCH($A$129,Reporting!$BM$4:$CD$4,0)+1,FALSE)</f>
        <v>0</v>
      </c>
      <c r="B137" s="266" t="s">
        <v>395</v>
      </c>
      <c r="C137" s="97">
        <v>5.62</v>
      </c>
      <c r="D137" s="6">
        <v>0.61</v>
      </c>
      <c r="E137" s="7">
        <f t="shared" si="102"/>
        <v>3.4281999999999999</v>
      </c>
      <c r="F137" s="7">
        <f t="shared" si="98"/>
        <v>0</v>
      </c>
      <c r="G137" s="8">
        <f t="shared" si="103"/>
        <v>0</v>
      </c>
      <c r="H137" s="9">
        <f t="shared" si="99"/>
        <v>5.62</v>
      </c>
      <c r="I137" s="10">
        <v>0.61</v>
      </c>
      <c r="J137" s="10">
        <f t="shared" si="104"/>
        <v>3.4281999999999999</v>
      </c>
      <c r="K137" s="10">
        <f t="shared" si="100"/>
        <v>0</v>
      </c>
      <c r="L137" s="11">
        <f t="shared" si="105"/>
        <v>0</v>
      </c>
      <c r="M137" s="12">
        <f t="shared" si="106"/>
        <v>5.62</v>
      </c>
      <c r="N137" s="13">
        <v>0.55000000000000004</v>
      </c>
      <c r="O137" s="13">
        <f t="shared" si="107"/>
        <v>3.0910000000000002</v>
      </c>
      <c r="P137" s="13">
        <f t="shared" si="101"/>
        <v>0</v>
      </c>
      <c r="Q137" s="14">
        <f t="shared" si="108"/>
        <v>0</v>
      </c>
    </row>
    <row r="138" spans="1:25" x14ac:dyDescent="0.3">
      <c r="A138" s="250">
        <f>VLOOKUP($B138,Reporting!$BL:$CD,MATCH($A$129,Reporting!$BM$4:$CD$4,0)+1,FALSE)</f>
        <v>0</v>
      </c>
      <c r="B138" s="266" t="s">
        <v>396</v>
      </c>
      <c r="C138" s="97">
        <v>7.81</v>
      </c>
      <c r="D138" s="6">
        <v>0.61</v>
      </c>
      <c r="E138" s="7">
        <f t="shared" si="102"/>
        <v>4.7641</v>
      </c>
      <c r="F138" s="7">
        <f t="shared" si="98"/>
        <v>0</v>
      </c>
      <c r="G138" s="8">
        <f t="shared" si="103"/>
        <v>0</v>
      </c>
      <c r="H138" s="9">
        <f t="shared" si="99"/>
        <v>7.81</v>
      </c>
      <c r="I138" s="10">
        <v>0.61</v>
      </c>
      <c r="J138" s="10">
        <f t="shared" si="104"/>
        <v>4.7641</v>
      </c>
      <c r="K138" s="10">
        <f t="shared" si="100"/>
        <v>0</v>
      </c>
      <c r="L138" s="11">
        <f t="shared" si="105"/>
        <v>0</v>
      </c>
      <c r="M138" s="12">
        <f t="shared" si="106"/>
        <v>7.81</v>
      </c>
      <c r="N138" s="13">
        <v>0.55000000000000004</v>
      </c>
      <c r="O138" s="13">
        <f t="shared" si="107"/>
        <v>4.2955000000000005</v>
      </c>
      <c r="P138" s="13">
        <f t="shared" si="101"/>
        <v>0</v>
      </c>
      <c r="Q138" s="14">
        <f t="shared" si="108"/>
        <v>0</v>
      </c>
    </row>
    <row r="139" spans="1:25" x14ac:dyDescent="0.3">
      <c r="A139" s="250">
        <f>VLOOKUP($B139,Reporting!$BL:$CD,MATCH($A$129,Reporting!$BM$4:$CD$4,0)+1,FALSE)</f>
        <v>0</v>
      </c>
      <c r="B139" s="266" t="s">
        <v>397</v>
      </c>
      <c r="C139" s="97">
        <v>9.17</v>
      </c>
      <c r="D139" s="6">
        <v>0.61</v>
      </c>
      <c r="E139" s="7">
        <f t="shared" si="102"/>
        <v>5.5937000000000001</v>
      </c>
      <c r="F139" s="7">
        <f t="shared" si="98"/>
        <v>0</v>
      </c>
      <c r="G139" s="8">
        <f t="shared" si="103"/>
        <v>0</v>
      </c>
      <c r="H139" s="9">
        <f t="shared" si="99"/>
        <v>9.17</v>
      </c>
      <c r="I139" s="10">
        <v>0.61</v>
      </c>
      <c r="J139" s="10">
        <f t="shared" si="104"/>
        <v>5.5937000000000001</v>
      </c>
      <c r="K139" s="10">
        <f t="shared" si="100"/>
        <v>0</v>
      </c>
      <c r="L139" s="11">
        <f t="shared" si="105"/>
        <v>0</v>
      </c>
      <c r="M139" s="12">
        <f t="shared" si="106"/>
        <v>9.17</v>
      </c>
      <c r="N139" s="13">
        <v>0.55000000000000004</v>
      </c>
      <c r="O139" s="13">
        <f t="shared" si="107"/>
        <v>5.0435000000000008</v>
      </c>
      <c r="P139" s="13">
        <f t="shared" si="101"/>
        <v>0</v>
      </c>
      <c r="Q139" s="14">
        <f t="shared" si="108"/>
        <v>0</v>
      </c>
    </row>
    <row r="140" spans="1:25" ht="15" thickBot="1" x14ac:dyDescent="0.35">
      <c r="A140" s="3">
        <f>SUM(A131:A139)</f>
        <v>0</v>
      </c>
      <c r="B140" s="4"/>
      <c r="C140" s="4"/>
      <c r="D140" s="644" t="s">
        <v>9</v>
      </c>
      <c r="E140" s="645"/>
      <c r="F140" s="645"/>
      <c r="G140" s="16">
        <f>SUM(G131:G139)</f>
        <v>0</v>
      </c>
      <c r="H140" s="1"/>
      <c r="I140" s="646" t="s">
        <v>10</v>
      </c>
      <c r="J140" s="646"/>
      <c r="K140" s="646"/>
      <c r="L140" s="17">
        <f>SUM(L131:L139)</f>
        <v>0</v>
      </c>
      <c r="M140" s="15"/>
      <c r="N140" s="647" t="s">
        <v>11</v>
      </c>
      <c r="O140" s="647"/>
      <c r="P140" s="647"/>
      <c r="Q140" s="18">
        <f>SUM(Q131:Q139)</f>
        <v>0</v>
      </c>
    </row>
    <row r="141" spans="1:25" ht="15" thickBot="1" x14ac:dyDescent="0.35"/>
    <row r="142" spans="1:25" ht="15" customHeight="1" x14ac:dyDescent="0.3">
      <c r="A142" s="689" t="s">
        <v>200</v>
      </c>
      <c r="B142" s="689"/>
      <c r="C142" s="689"/>
      <c r="D142" s="689"/>
      <c r="E142" s="689"/>
      <c r="F142" s="689"/>
      <c r="G142" s="689"/>
      <c r="H142" s="689"/>
      <c r="I142" s="122"/>
      <c r="J142" s="122"/>
      <c r="K142" s="122"/>
      <c r="L142" s="122"/>
      <c r="M142" s="730" t="s">
        <v>106</v>
      </c>
      <c r="N142" s="730"/>
      <c r="O142" s="730"/>
      <c r="P142" s="730"/>
      <c r="Q142" s="731"/>
    </row>
    <row r="143" spans="1:25" ht="15" customHeight="1" x14ac:dyDescent="0.3">
      <c r="A143" s="690"/>
      <c r="B143" s="690"/>
      <c r="C143" s="690"/>
      <c r="D143" s="690"/>
      <c r="E143" s="690"/>
      <c r="F143" s="690"/>
      <c r="G143" s="690"/>
      <c r="H143" s="690"/>
      <c r="I143" s="123"/>
      <c r="J143" s="123"/>
      <c r="K143" s="123"/>
      <c r="L143" s="123"/>
      <c r="M143" s="732"/>
      <c r="N143" s="732"/>
      <c r="O143" s="732"/>
      <c r="P143" s="732"/>
      <c r="Q143" s="733"/>
      <c r="S143" s="116"/>
      <c r="T143" s="116"/>
      <c r="U143" s="116"/>
    </row>
    <row r="144" spans="1:25" x14ac:dyDescent="0.3">
      <c r="A144" s="250">
        <f>VLOOKUP($B144,Reporting!$BL:$CD,MATCH($A$142,Reporting!$BM$4:$CD$4,0)+1,FALSE)</f>
        <v>0</v>
      </c>
      <c r="B144" s="266" t="s">
        <v>376</v>
      </c>
      <c r="C144" s="114">
        <v>1.08</v>
      </c>
      <c r="D144" s="6">
        <v>0.61</v>
      </c>
      <c r="E144" s="7">
        <f>C144*D144</f>
        <v>0.65880000000000005</v>
      </c>
      <c r="F144" s="7">
        <f>A144*E144</f>
        <v>0</v>
      </c>
      <c r="G144" s="8">
        <f>F144/8</f>
        <v>0</v>
      </c>
      <c r="H144" s="9">
        <f>C144</f>
        <v>1.08</v>
      </c>
      <c r="I144" s="10">
        <v>0.61</v>
      </c>
      <c r="J144" s="10">
        <f>H144*I144</f>
        <v>0.65880000000000005</v>
      </c>
      <c r="K144" s="10">
        <f>A144*J144</f>
        <v>0</v>
      </c>
      <c r="L144" s="11">
        <f>K144/8</f>
        <v>0</v>
      </c>
      <c r="M144" s="12">
        <f>H144</f>
        <v>1.08</v>
      </c>
      <c r="N144" s="13">
        <v>0.55000000000000004</v>
      </c>
      <c r="O144" s="13">
        <f>M144*N144</f>
        <v>0.59400000000000008</v>
      </c>
      <c r="P144" s="13">
        <f>A144*O144</f>
        <v>0</v>
      </c>
      <c r="Q144" s="14">
        <f>P144/8</f>
        <v>0</v>
      </c>
    </row>
    <row r="145" spans="1:21" ht="15" customHeight="1" x14ac:dyDescent="0.3">
      <c r="A145" s="250">
        <f>VLOOKUP($B145,Reporting!$BL:$CD,MATCH($A$142,Reporting!$BM$4:$CD$4,0)+1,FALSE)</f>
        <v>0</v>
      </c>
      <c r="B145" s="266" t="s">
        <v>391</v>
      </c>
      <c r="C145" s="97">
        <v>1.25</v>
      </c>
      <c r="D145" s="6">
        <v>0.61</v>
      </c>
      <c r="E145" s="7">
        <f>C145*D145</f>
        <v>0.76249999999999996</v>
      </c>
      <c r="F145" s="7">
        <f t="shared" ref="F145:F156" si="109">A145*E145</f>
        <v>0</v>
      </c>
      <c r="G145" s="8">
        <f>F145/8</f>
        <v>0</v>
      </c>
      <c r="H145" s="9">
        <f t="shared" ref="H145:H156" si="110">C145</f>
        <v>1.25</v>
      </c>
      <c r="I145" s="10">
        <v>0.61</v>
      </c>
      <c r="J145" s="10">
        <f>H145*I145</f>
        <v>0.76249999999999996</v>
      </c>
      <c r="K145" s="10">
        <f t="shared" ref="K145:K156" si="111">A145*J145</f>
        <v>0</v>
      </c>
      <c r="L145" s="11">
        <f>K145/8</f>
        <v>0</v>
      </c>
      <c r="M145" s="12">
        <f>H145</f>
        <v>1.25</v>
      </c>
      <c r="N145" s="13">
        <v>0.55000000000000004</v>
      </c>
      <c r="O145" s="13">
        <f>M145*N145</f>
        <v>0.6875</v>
      </c>
      <c r="P145" s="13">
        <f t="shared" ref="P145:P156" si="112">A145*O145</f>
        <v>0</v>
      </c>
      <c r="Q145" s="14">
        <f>P145/8</f>
        <v>0</v>
      </c>
    </row>
    <row r="146" spans="1:21" ht="15" customHeight="1" x14ac:dyDescent="0.3">
      <c r="A146" s="250">
        <f>VLOOKUP($B146,Reporting!$BL:$CD,MATCH($A$142,Reporting!$BM$4:$CD$4,0)+1,FALSE)</f>
        <v>0</v>
      </c>
      <c r="B146" s="266" t="s">
        <v>392</v>
      </c>
      <c r="C146" s="97">
        <v>1.5</v>
      </c>
      <c r="D146" s="6">
        <v>0.61</v>
      </c>
      <c r="E146" s="7">
        <f t="shared" ref="E146:E156" si="113">C146*D146</f>
        <v>0.91500000000000004</v>
      </c>
      <c r="F146" s="7">
        <f t="shared" si="109"/>
        <v>0</v>
      </c>
      <c r="G146" s="8">
        <f t="shared" ref="G146:G156" si="114">F146/8</f>
        <v>0</v>
      </c>
      <c r="H146" s="9">
        <f t="shared" si="110"/>
        <v>1.5</v>
      </c>
      <c r="I146" s="10">
        <v>0.61</v>
      </c>
      <c r="J146" s="10">
        <f t="shared" ref="J146:J156" si="115">H146*I146</f>
        <v>0.91500000000000004</v>
      </c>
      <c r="K146" s="10">
        <f t="shared" si="111"/>
        <v>0</v>
      </c>
      <c r="L146" s="11">
        <f t="shared" ref="L146:L156" si="116">K146/8</f>
        <v>0</v>
      </c>
      <c r="M146" s="12">
        <f t="shared" ref="M146:M156" si="117">H146</f>
        <v>1.5</v>
      </c>
      <c r="N146" s="13">
        <v>0.55000000000000004</v>
      </c>
      <c r="O146" s="13">
        <f t="shared" ref="O146:O156" si="118">M146*N146</f>
        <v>0.82500000000000007</v>
      </c>
      <c r="P146" s="13">
        <f t="shared" si="112"/>
        <v>0</v>
      </c>
      <c r="Q146" s="14">
        <f t="shared" ref="Q146:Q156" si="119">P146/8</f>
        <v>0</v>
      </c>
    </row>
    <row r="147" spans="1:21" ht="15" customHeight="1" x14ac:dyDescent="0.3">
      <c r="A147" s="250">
        <f>VLOOKUP($B147,Reporting!$BL:$CD,MATCH($A$142,Reporting!$BM$4:$CD$4,0)+1,FALSE)</f>
        <v>0</v>
      </c>
      <c r="B147" s="266" t="s">
        <v>393</v>
      </c>
      <c r="C147" s="97">
        <v>2.17</v>
      </c>
      <c r="D147" s="6">
        <v>0.61</v>
      </c>
      <c r="E147" s="7">
        <f t="shared" si="113"/>
        <v>1.3236999999999999</v>
      </c>
      <c r="F147" s="7">
        <f t="shared" si="109"/>
        <v>0</v>
      </c>
      <c r="G147" s="8">
        <f t="shared" si="114"/>
        <v>0</v>
      </c>
      <c r="H147" s="9">
        <f t="shared" si="110"/>
        <v>2.17</v>
      </c>
      <c r="I147" s="10">
        <v>0.61</v>
      </c>
      <c r="J147" s="10">
        <f t="shared" si="115"/>
        <v>1.3236999999999999</v>
      </c>
      <c r="K147" s="10">
        <f t="shared" si="111"/>
        <v>0</v>
      </c>
      <c r="L147" s="11">
        <f t="shared" si="116"/>
        <v>0</v>
      </c>
      <c r="M147" s="12">
        <f t="shared" si="117"/>
        <v>2.17</v>
      </c>
      <c r="N147" s="13">
        <v>0.55000000000000004</v>
      </c>
      <c r="O147" s="13">
        <f t="shared" si="118"/>
        <v>1.1935</v>
      </c>
      <c r="P147" s="13">
        <f t="shared" si="112"/>
        <v>0</v>
      </c>
      <c r="Q147" s="14">
        <f t="shared" si="119"/>
        <v>0</v>
      </c>
    </row>
    <row r="148" spans="1:21" ht="15.75" customHeight="1" x14ac:dyDescent="0.3">
      <c r="A148" s="250">
        <f>VLOOKUP($B148,Reporting!$BL:$CD,MATCH($A$142,Reporting!$BM$4:$CD$4,0)+1,FALSE)</f>
        <v>0</v>
      </c>
      <c r="B148" s="266" t="s">
        <v>394</v>
      </c>
      <c r="C148" s="97">
        <v>2.61</v>
      </c>
      <c r="D148" s="6">
        <v>0.61</v>
      </c>
      <c r="E148" s="7">
        <f t="shared" si="113"/>
        <v>1.5920999999999998</v>
      </c>
      <c r="F148" s="7">
        <f t="shared" si="109"/>
        <v>0</v>
      </c>
      <c r="G148" s="8">
        <f t="shared" si="114"/>
        <v>0</v>
      </c>
      <c r="H148" s="9">
        <f t="shared" si="110"/>
        <v>2.61</v>
      </c>
      <c r="I148" s="10">
        <v>0.61</v>
      </c>
      <c r="J148" s="10">
        <f t="shared" si="115"/>
        <v>1.5920999999999998</v>
      </c>
      <c r="K148" s="10">
        <f t="shared" si="111"/>
        <v>0</v>
      </c>
      <c r="L148" s="11">
        <f t="shared" si="116"/>
        <v>0</v>
      </c>
      <c r="M148" s="12">
        <f t="shared" si="117"/>
        <v>2.61</v>
      </c>
      <c r="N148" s="13">
        <v>0.55000000000000004</v>
      </c>
      <c r="O148" s="13">
        <f t="shared" si="118"/>
        <v>1.4355</v>
      </c>
      <c r="P148" s="13">
        <f t="shared" si="112"/>
        <v>0</v>
      </c>
      <c r="Q148" s="14">
        <f t="shared" si="119"/>
        <v>0</v>
      </c>
    </row>
    <row r="149" spans="1:21" x14ac:dyDescent="0.3">
      <c r="A149" s="250">
        <f>VLOOKUP($B149,Reporting!$BL:$CD,MATCH($A$142,Reporting!$BM$4:$CD$4,0)+1,FALSE)</f>
        <v>0</v>
      </c>
      <c r="B149" s="266" t="s">
        <v>395</v>
      </c>
      <c r="C149" s="97">
        <v>3.68</v>
      </c>
      <c r="D149" s="6">
        <v>0.61</v>
      </c>
      <c r="E149" s="7">
        <f t="shared" si="113"/>
        <v>2.2448000000000001</v>
      </c>
      <c r="F149" s="7">
        <f t="shared" si="109"/>
        <v>0</v>
      </c>
      <c r="G149" s="8">
        <f t="shared" si="114"/>
        <v>0</v>
      </c>
      <c r="H149" s="9">
        <f t="shared" si="110"/>
        <v>3.68</v>
      </c>
      <c r="I149" s="10">
        <v>0.61</v>
      </c>
      <c r="J149" s="10">
        <f t="shared" si="115"/>
        <v>2.2448000000000001</v>
      </c>
      <c r="K149" s="10">
        <f t="shared" si="111"/>
        <v>0</v>
      </c>
      <c r="L149" s="11">
        <f t="shared" si="116"/>
        <v>0</v>
      </c>
      <c r="M149" s="12">
        <f t="shared" si="117"/>
        <v>3.68</v>
      </c>
      <c r="N149" s="13">
        <v>0.55000000000000004</v>
      </c>
      <c r="O149" s="13">
        <f t="shared" si="118"/>
        <v>2.0240000000000005</v>
      </c>
      <c r="P149" s="13">
        <f t="shared" si="112"/>
        <v>0</v>
      </c>
      <c r="Q149" s="14">
        <f t="shared" si="119"/>
        <v>0</v>
      </c>
    </row>
    <row r="150" spans="1:21" x14ac:dyDescent="0.3">
      <c r="A150" s="250">
        <f>VLOOKUP($B150,Reporting!$BL:$CD,MATCH($A$142,Reporting!$BM$4:$CD$4,0)+1,FALSE)</f>
        <v>0</v>
      </c>
      <c r="B150" s="266" t="s">
        <v>396</v>
      </c>
      <c r="C150" s="97">
        <v>4.7300000000000004</v>
      </c>
      <c r="D150" s="6">
        <v>0.61</v>
      </c>
      <c r="E150" s="7">
        <f t="shared" si="113"/>
        <v>2.8853</v>
      </c>
      <c r="F150" s="7">
        <f t="shared" si="109"/>
        <v>0</v>
      </c>
      <c r="G150" s="8">
        <f t="shared" si="114"/>
        <v>0</v>
      </c>
      <c r="H150" s="9">
        <f t="shared" si="110"/>
        <v>4.7300000000000004</v>
      </c>
      <c r="I150" s="10">
        <v>0.61</v>
      </c>
      <c r="J150" s="10">
        <f t="shared" si="115"/>
        <v>2.8853</v>
      </c>
      <c r="K150" s="10">
        <f t="shared" si="111"/>
        <v>0</v>
      </c>
      <c r="L150" s="11">
        <f t="shared" si="116"/>
        <v>0</v>
      </c>
      <c r="M150" s="12">
        <f t="shared" si="117"/>
        <v>4.7300000000000004</v>
      </c>
      <c r="N150" s="13">
        <v>0.55000000000000004</v>
      </c>
      <c r="O150" s="13">
        <f t="shared" si="118"/>
        <v>2.6015000000000006</v>
      </c>
      <c r="P150" s="13">
        <f t="shared" si="112"/>
        <v>0</v>
      </c>
      <c r="Q150" s="14">
        <f t="shared" si="119"/>
        <v>0</v>
      </c>
    </row>
    <row r="151" spans="1:21" x14ac:dyDescent="0.3">
      <c r="A151" s="250">
        <f>VLOOKUP($B151,Reporting!$BL:$CD,MATCH($A$142,Reporting!$BM$4:$CD$4,0)+1,FALSE)</f>
        <v>0</v>
      </c>
      <c r="B151" s="266" t="s">
        <v>397</v>
      </c>
      <c r="C151" s="97">
        <v>5.13</v>
      </c>
      <c r="D151" s="6">
        <v>0.61</v>
      </c>
      <c r="E151" s="7">
        <f t="shared" si="113"/>
        <v>3.1292999999999997</v>
      </c>
      <c r="F151" s="7">
        <f t="shared" si="109"/>
        <v>0</v>
      </c>
      <c r="G151" s="8">
        <f t="shared" si="114"/>
        <v>0</v>
      </c>
      <c r="H151" s="9">
        <f t="shared" si="110"/>
        <v>5.13</v>
      </c>
      <c r="I151" s="10">
        <v>0.61</v>
      </c>
      <c r="J151" s="10">
        <f t="shared" si="115"/>
        <v>3.1292999999999997</v>
      </c>
      <c r="K151" s="10">
        <f t="shared" si="111"/>
        <v>0</v>
      </c>
      <c r="L151" s="11">
        <f t="shared" si="116"/>
        <v>0</v>
      </c>
      <c r="M151" s="12">
        <f t="shared" si="117"/>
        <v>5.13</v>
      </c>
      <c r="N151" s="13">
        <v>0.55000000000000004</v>
      </c>
      <c r="O151" s="13">
        <f t="shared" si="118"/>
        <v>2.8215000000000003</v>
      </c>
      <c r="P151" s="13">
        <f t="shared" si="112"/>
        <v>0</v>
      </c>
      <c r="Q151" s="14">
        <f t="shared" si="119"/>
        <v>0</v>
      </c>
    </row>
    <row r="152" spans="1:21" x14ac:dyDescent="0.3">
      <c r="A152" s="250">
        <f>VLOOKUP($B152,Reporting!$BL:$CD,MATCH($A$142,Reporting!$BM$4:$CD$4,0)+1,FALSE)</f>
        <v>0</v>
      </c>
      <c r="B152" s="266" t="s">
        <v>398</v>
      </c>
      <c r="C152" s="97">
        <v>5.72</v>
      </c>
      <c r="D152" s="6">
        <v>0.61</v>
      </c>
      <c r="E152" s="7">
        <f t="shared" si="113"/>
        <v>3.4891999999999999</v>
      </c>
      <c r="F152" s="7">
        <f t="shared" si="109"/>
        <v>0</v>
      </c>
      <c r="G152" s="8">
        <f t="shared" si="114"/>
        <v>0</v>
      </c>
      <c r="H152" s="9">
        <f t="shared" si="110"/>
        <v>5.72</v>
      </c>
      <c r="I152" s="10">
        <v>0.61</v>
      </c>
      <c r="J152" s="10">
        <f t="shared" si="115"/>
        <v>3.4891999999999999</v>
      </c>
      <c r="K152" s="10">
        <f t="shared" si="111"/>
        <v>0</v>
      </c>
      <c r="L152" s="11">
        <f t="shared" si="116"/>
        <v>0</v>
      </c>
      <c r="M152" s="12">
        <f t="shared" si="117"/>
        <v>5.72</v>
      </c>
      <c r="N152" s="13">
        <v>0.55000000000000004</v>
      </c>
      <c r="O152" s="13">
        <f t="shared" si="118"/>
        <v>3.1459999999999999</v>
      </c>
      <c r="P152" s="13">
        <f t="shared" si="112"/>
        <v>0</v>
      </c>
      <c r="Q152" s="14">
        <f t="shared" si="119"/>
        <v>0</v>
      </c>
    </row>
    <row r="153" spans="1:21" x14ac:dyDescent="0.3">
      <c r="A153" s="250">
        <f>VLOOKUP($B153,Reporting!$BL:$CD,MATCH($A$142,Reporting!$BM$4:$CD$4,0)+1,FALSE)</f>
        <v>0</v>
      </c>
      <c r="B153" s="266" t="s">
        <v>399</v>
      </c>
      <c r="C153" s="97">
        <v>6.49</v>
      </c>
      <c r="D153" s="6">
        <v>0.61</v>
      </c>
      <c r="E153" s="7">
        <f t="shared" si="113"/>
        <v>3.9588999999999999</v>
      </c>
      <c r="F153" s="7">
        <f t="shared" si="109"/>
        <v>0</v>
      </c>
      <c r="G153" s="8">
        <f t="shared" si="114"/>
        <v>0</v>
      </c>
      <c r="H153" s="9">
        <f t="shared" si="110"/>
        <v>6.49</v>
      </c>
      <c r="I153" s="10">
        <v>0.61</v>
      </c>
      <c r="J153" s="10">
        <f t="shared" si="115"/>
        <v>3.9588999999999999</v>
      </c>
      <c r="K153" s="10">
        <f t="shared" si="111"/>
        <v>0</v>
      </c>
      <c r="L153" s="11">
        <f t="shared" si="116"/>
        <v>0</v>
      </c>
      <c r="M153" s="12">
        <f t="shared" si="117"/>
        <v>6.49</v>
      </c>
      <c r="N153" s="13">
        <v>0.55000000000000004</v>
      </c>
      <c r="O153" s="13">
        <f t="shared" si="118"/>
        <v>3.5695000000000006</v>
      </c>
      <c r="P153" s="13">
        <f t="shared" si="112"/>
        <v>0</v>
      </c>
      <c r="Q153" s="14">
        <f t="shared" si="119"/>
        <v>0</v>
      </c>
    </row>
    <row r="154" spans="1:21" x14ac:dyDescent="0.3">
      <c r="A154" s="250">
        <f>VLOOKUP($B154,Reporting!$BL:$CD,MATCH($A$142,Reporting!$BM$4:$CD$4,0)+1,FALSE)</f>
        <v>0</v>
      </c>
      <c r="B154" s="266" t="s">
        <v>400</v>
      </c>
      <c r="C154" s="97">
        <v>7.59</v>
      </c>
      <c r="D154" s="6">
        <v>0.61</v>
      </c>
      <c r="E154" s="7">
        <f t="shared" si="113"/>
        <v>4.6299000000000001</v>
      </c>
      <c r="F154" s="7">
        <f t="shared" si="109"/>
        <v>0</v>
      </c>
      <c r="G154" s="8">
        <f t="shared" si="114"/>
        <v>0</v>
      </c>
      <c r="H154" s="9">
        <f t="shared" si="110"/>
        <v>7.59</v>
      </c>
      <c r="I154" s="10">
        <v>0.61</v>
      </c>
      <c r="J154" s="10">
        <f t="shared" si="115"/>
        <v>4.6299000000000001</v>
      </c>
      <c r="K154" s="10">
        <f t="shared" si="111"/>
        <v>0</v>
      </c>
      <c r="L154" s="11">
        <f t="shared" si="116"/>
        <v>0</v>
      </c>
      <c r="M154" s="12">
        <f t="shared" si="117"/>
        <v>7.59</v>
      </c>
      <c r="N154" s="13">
        <v>0.55000000000000004</v>
      </c>
      <c r="O154" s="13">
        <f t="shared" si="118"/>
        <v>4.1745000000000001</v>
      </c>
      <c r="P154" s="13">
        <f t="shared" si="112"/>
        <v>0</v>
      </c>
      <c r="Q154" s="14">
        <f t="shared" si="119"/>
        <v>0</v>
      </c>
    </row>
    <row r="155" spans="1:21" x14ac:dyDescent="0.3">
      <c r="A155" s="250">
        <f>VLOOKUP($B155,Reporting!$BL:$CD,MATCH($A$142,Reporting!$BM$4:$CD$4,0)+1,FALSE)</f>
        <v>0</v>
      </c>
      <c r="B155" s="266" t="s">
        <v>401</v>
      </c>
      <c r="C155" s="97">
        <v>8.9</v>
      </c>
      <c r="D155" s="6">
        <v>0.61</v>
      </c>
      <c r="E155" s="7">
        <f t="shared" si="113"/>
        <v>5.4290000000000003</v>
      </c>
      <c r="F155" s="7">
        <f t="shared" si="109"/>
        <v>0</v>
      </c>
      <c r="G155" s="8">
        <f t="shared" si="114"/>
        <v>0</v>
      </c>
      <c r="H155" s="9">
        <f t="shared" si="110"/>
        <v>8.9</v>
      </c>
      <c r="I155" s="10">
        <v>0.61</v>
      </c>
      <c r="J155" s="10">
        <f t="shared" si="115"/>
        <v>5.4290000000000003</v>
      </c>
      <c r="K155" s="10">
        <f t="shared" si="111"/>
        <v>0</v>
      </c>
      <c r="L155" s="11">
        <f t="shared" si="116"/>
        <v>0</v>
      </c>
      <c r="M155" s="12">
        <f t="shared" si="117"/>
        <v>8.9</v>
      </c>
      <c r="N155" s="13">
        <v>0.55000000000000004</v>
      </c>
      <c r="O155" s="13">
        <f t="shared" si="118"/>
        <v>4.8950000000000005</v>
      </c>
      <c r="P155" s="13">
        <f t="shared" si="112"/>
        <v>0</v>
      </c>
      <c r="Q155" s="14">
        <f t="shared" si="119"/>
        <v>0</v>
      </c>
    </row>
    <row r="156" spans="1:21" x14ac:dyDescent="0.3">
      <c r="A156" s="250">
        <f>VLOOKUP($B156,Reporting!$BL:$CD,MATCH($A$142,Reporting!$BM$4:$CD$4,0)+1,FALSE)</f>
        <v>0</v>
      </c>
      <c r="B156" s="266" t="s">
        <v>402</v>
      </c>
      <c r="C156" s="97">
        <v>10.99</v>
      </c>
      <c r="D156" s="6">
        <v>0.61</v>
      </c>
      <c r="E156" s="7">
        <f t="shared" si="113"/>
        <v>6.7039</v>
      </c>
      <c r="F156" s="7">
        <f t="shared" si="109"/>
        <v>0</v>
      </c>
      <c r="G156" s="8">
        <f t="shared" si="114"/>
        <v>0</v>
      </c>
      <c r="H156" s="9">
        <f t="shared" si="110"/>
        <v>10.99</v>
      </c>
      <c r="I156" s="10">
        <v>0.61</v>
      </c>
      <c r="J156" s="10">
        <f t="shared" si="115"/>
        <v>6.7039</v>
      </c>
      <c r="K156" s="10">
        <f t="shared" si="111"/>
        <v>0</v>
      </c>
      <c r="L156" s="11">
        <f t="shared" si="116"/>
        <v>0</v>
      </c>
      <c r="M156" s="12">
        <f t="shared" si="117"/>
        <v>10.99</v>
      </c>
      <c r="N156" s="13">
        <v>0.55000000000000004</v>
      </c>
      <c r="O156" s="13">
        <f t="shared" si="118"/>
        <v>6.0445000000000002</v>
      </c>
      <c r="P156" s="13">
        <f t="shared" si="112"/>
        <v>0</v>
      </c>
      <c r="Q156" s="14">
        <f t="shared" si="119"/>
        <v>0</v>
      </c>
    </row>
    <row r="157" spans="1:21" ht="15" thickBot="1" x14ac:dyDescent="0.35">
      <c r="A157" s="3">
        <f>SUM(A144:A156)</f>
        <v>0</v>
      </c>
      <c r="B157" s="4"/>
      <c r="C157" s="4"/>
      <c r="D157" s="644" t="s">
        <v>9</v>
      </c>
      <c r="E157" s="645"/>
      <c r="F157" s="645"/>
      <c r="G157" s="16">
        <f>SUM(G144:G156)</f>
        <v>0</v>
      </c>
      <c r="H157" s="1"/>
      <c r="I157" s="646" t="s">
        <v>10</v>
      </c>
      <c r="J157" s="646"/>
      <c r="K157" s="646"/>
      <c r="L157" s="17">
        <f>SUM(L144:L156)</f>
        <v>0</v>
      </c>
      <c r="M157" s="15"/>
      <c r="N157" s="647" t="s">
        <v>11</v>
      </c>
      <c r="O157" s="647"/>
      <c r="P157" s="647"/>
      <c r="Q157" s="18">
        <f>SUM(Q144:Q156)</f>
        <v>0</v>
      </c>
    </row>
    <row r="158" spans="1:21" ht="15" thickBot="1" x14ac:dyDescent="0.35"/>
    <row r="159" spans="1:21" ht="15" customHeight="1" x14ac:dyDescent="0.3">
      <c r="A159" s="689" t="s">
        <v>201</v>
      </c>
      <c r="B159" s="689"/>
      <c r="C159" s="689"/>
      <c r="D159" s="689"/>
      <c r="E159" s="689"/>
      <c r="F159" s="689"/>
      <c r="G159" s="689"/>
      <c r="H159" s="122"/>
      <c r="I159" s="122"/>
      <c r="J159" s="122"/>
      <c r="K159" s="122"/>
      <c r="L159" s="730" t="s">
        <v>107</v>
      </c>
      <c r="M159" s="730"/>
      <c r="N159" s="730"/>
      <c r="O159" s="730"/>
      <c r="P159" s="730"/>
      <c r="Q159" s="5"/>
    </row>
    <row r="160" spans="1:21" ht="15" customHeight="1" x14ac:dyDescent="0.3">
      <c r="A160" s="690"/>
      <c r="B160" s="690"/>
      <c r="C160" s="690"/>
      <c r="D160" s="690"/>
      <c r="E160" s="690"/>
      <c r="F160" s="690"/>
      <c r="G160" s="690"/>
      <c r="H160" s="123"/>
      <c r="I160" s="123"/>
      <c r="J160" s="123"/>
      <c r="K160" s="123"/>
      <c r="L160" s="732"/>
      <c r="M160" s="732"/>
      <c r="N160" s="732"/>
      <c r="O160" s="732"/>
      <c r="P160" s="732"/>
      <c r="Q160" s="30"/>
      <c r="S160" s="116"/>
      <c r="T160" s="116"/>
      <c r="U160" s="116"/>
    </row>
    <row r="161" spans="1:21" x14ac:dyDescent="0.3">
      <c r="A161" s="250">
        <f>VLOOKUP($B161,Reporting!$BL:$CD,MATCH($A$159,Reporting!$BM$4:$CD$4,0)+1,FALSE)</f>
        <v>0</v>
      </c>
      <c r="B161" s="262" t="s">
        <v>390</v>
      </c>
      <c r="C161" s="97">
        <v>1.0900000000000001</v>
      </c>
      <c r="D161" s="6">
        <v>0.61</v>
      </c>
      <c r="E161" s="7">
        <f>C161*D161</f>
        <v>0.66490000000000005</v>
      </c>
      <c r="F161" s="7">
        <f t="shared" ref="F161:F168" si="120">A161*E161</f>
        <v>0</v>
      </c>
      <c r="G161" s="8">
        <f>F161/8</f>
        <v>0</v>
      </c>
      <c r="H161" s="9">
        <f t="shared" ref="H161:H168" si="121">C161</f>
        <v>1.0900000000000001</v>
      </c>
      <c r="I161" s="10">
        <v>0.61</v>
      </c>
      <c r="J161" s="10">
        <f>H161*I161</f>
        <v>0.66490000000000005</v>
      </c>
      <c r="K161" s="10">
        <f t="shared" ref="K161:K168" si="122">A161*J161</f>
        <v>0</v>
      </c>
      <c r="L161" s="11">
        <f>K161/8</f>
        <v>0</v>
      </c>
      <c r="M161" s="12">
        <f>H161</f>
        <v>1.0900000000000001</v>
      </c>
      <c r="N161" s="13">
        <v>0.55000000000000004</v>
      </c>
      <c r="O161" s="13">
        <f>M161*N161</f>
        <v>0.59950000000000014</v>
      </c>
      <c r="P161" s="13">
        <f t="shared" ref="P161:P168" si="123">A161*O161</f>
        <v>0</v>
      </c>
      <c r="Q161" s="14">
        <f>P161/8</f>
        <v>0</v>
      </c>
    </row>
    <row r="162" spans="1:21" ht="15" customHeight="1" x14ac:dyDescent="0.3">
      <c r="A162" s="250">
        <f>VLOOKUP($B162,Reporting!$BL:$CD,MATCH($A$159,Reporting!$BM$4:$CD$4,0)+1,FALSE)</f>
        <v>0</v>
      </c>
      <c r="B162" s="266" t="s">
        <v>376</v>
      </c>
      <c r="C162" s="97">
        <v>1.32</v>
      </c>
      <c r="D162" s="6">
        <v>0.61</v>
      </c>
      <c r="E162" s="7">
        <f t="shared" ref="E162:E168" si="124">C162*D162</f>
        <v>0.80520000000000003</v>
      </c>
      <c r="F162" s="7">
        <f t="shared" si="120"/>
        <v>0</v>
      </c>
      <c r="G162" s="8">
        <f t="shared" ref="G162:G168" si="125">F162/8</f>
        <v>0</v>
      </c>
      <c r="H162" s="9">
        <f t="shared" si="121"/>
        <v>1.32</v>
      </c>
      <c r="I162" s="10">
        <v>0.61</v>
      </c>
      <c r="J162" s="10">
        <f t="shared" ref="J162:J168" si="126">H162*I162</f>
        <v>0.80520000000000003</v>
      </c>
      <c r="K162" s="10">
        <f t="shared" si="122"/>
        <v>0</v>
      </c>
      <c r="L162" s="11">
        <f t="shared" ref="L162:L168" si="127">K162/8</f>
        <v>0</v>
      </c>
      <c r="M162" s="12">
        <f t="shared" ref="M162:M168" si="128">H162</f>
        <v>1.32</v>
      </c>
      <c r="N162" s="13">
        <v>0.55000000000000004</v>
      </c>
      <c r="O162" s="13">
        <f t="shared" ref="O162:O168" si="129">M162*N162</f>
        <v>0.72600000000000009</v>
      </c>
      <c r="P162" s="13">
        <f t="shared" si="123"/>
        <v>0</v>
      </c>
      <c r="Q162" s="14">
        <f t="shared" ref="Q162:Q168" si="130">P162/8</f>
        <v>0</v>
      </c>
    </row>
    <row r="163" spans="1:21" ht="15" customHeight="1" x14ac:dyDescent="0.3">
      <c r="A163" s="250">
        <f>VLOOKUP($B163,Reporting!$BL:$CD,MATCH($A$159,Reporting!$BM$4:$CD$4,0)+1,FALSE)</f>
        <v>0</v>
      </c>
      <c r="B163" s="266" t="s">
        <v>391</v>
      </c>
      <c r="C163" s="97">
        <v>1.85</v>
      </c>
      <c r="D163" s="6">
        <v>0.61</v>
      </c>
      <c r="E163" s="7">
        <f t="shared" si="124"/>
        <v>1.1285000000000001</v>
      </c>
      <c r="F163" s="7">
        <f t="shared" si="120"/>
        <v>0</v>
      </c>
      <c r="G163" s="8">
        <f t="shared" si="125"/>
        <v>0</v>
      </c>
      <c r="H163" s="9">
        <f t="shared" si="121"/>
        <v>1.85</v>
      </c>
      <c r="I163" s="10">
        <v>0.61</v>
      </c>
      <c r="J163" s="10">
        <f t="shared" si="126"/>
        <v>1.1285000000000001</v>
      </c>
      <c r="K163" s="10">
        <f t="shared" si="122"/>
        <v>0</v>
      </c>
      <c r="L163" s="11">
        <f t="shared" si="127"/>
        <v>0</v>
      </c>
      <c r="M163" s="12">
        <f t="shared" si="128"/>
        <v>1.85</v>
      </c>
      <c r="N163" s="13">
        <v>0.55000000000000004</v>
      </c>
      <c r="O163" s="13">
        <f t="shared" si="129"/>
        <v>1.0175000000000001</v>
      </c>
      <c r="P163" s="13">
        <f t="shared" si="123"/>
        <v>0</v>
      </c>
      <c r="Q163" s="14">
        <f t="shared" si="130"/>
        <v>0</v>
      </c>
    </row>
    <row r="164" spans="1:21" ht="15.75" customHeight="1" x14ac:dyDescent="0.3">
      <c r="A164" s="250">
        <f>VLOOKUP($B164,Reporting!$BL:$CD,MATCH($A$159,Reporting!$BM$4:$CD$4,0)+1,FALSE)</f>
        <v>0</v>
      </c>
      <c r="B164" s="266" t="s">
        <v>392</v>
      </c>
      <c r="C164" s="97">
        <v>2.4900000000000002</v>
      </c>
      <c r="D164" s="6">
        <v>0.61</v>
      </c>
      <c r="E164" s="7">
        <f t="shared" si="124"/>
        <v>1.5189000000000001</v>
      </c>
      <c r="F164" s="7">
        <f t="shared" si="120"/>
        <v>0</v>
      </c>
      <c r="G164" s="8">
        <f t="shared" si="125"/>
        <v>0</v>
      </c>
      <c r="H164" s="9">
        <f t="shared" si="121"/>
        <v>2.4900000000000002</v>
      </c>
      <c r="I164" s="10">
        <v>0.61</v>
      </c>
      <c r="J164" s="10">
        <f t="shared" si="126"/>
        <v>1.5189000000000001</v>
      </c>
      <c r="K164" s="10">
        <f t="shared" si="122"/>
        <v>0</v>
      </c>
      <c r="L164" s="11">
        <f t="shared" si="127"/>
        <v>0</v>
      </c>
      <c r="M164" s="12">
        <f t="shared" si="128"/>
        <v>2.4900000000000002</v>
      </c>
      <c r="N164" s="13">
        <v>0.55000000000000004</v>
      </c>
      <c r="O164" s="13">
        <f t="shared" si="129"/>
        <v>1.3695000000000002</v>
      </c>
      <c r="P164" s="13">
        <f t="shared" si="123"/>
        <v>0</v>
      </c>
      <c r="Q164" s="14">
        <f t="shared" si="130"/>
        <v>0</v>
      </c>
    </row>
    <row r="165" spans="1:21" x14ac:dyDescent="0.3">
      <c r="A165" s="250">
        <f>VLOOKUP($B165,Reporting!$BL:$CD,MATCH($A$159,Reporting!$BM$4:$CD$4,0)+1,FALSE)</f>
        <v>0</v>
      </c>
      <c r="B165" s="266" t="s">
        <v>393</v>
      </c>
      <c r="C165" s="97">
        <v>3.13</v>
      </c>
      <c r="D165" s="6">
        <v>0.61</v>
      </c>
      <c r="E165" s="7">
        <f t="shared" si="124"/>
        <v>1.9093</v>
      </c>
      <c r="F165" s="7">
        <f t="shared" si="120"/>
        <v>0</v>
      </c>
      <c r="G165" s="8">
        <f t="shared" si="125"/>
        <v>0</v>
      </c>
      <c r="H165" s="9">
        <f t="shared" si="121"/>
        <v>3.13</v>
      </c>
      <c r="I165" s="10">
        <v>0.61</v>
      </c>
      <c r="J165" s="10">
        <f t="shared" si="126"/>
        <v>1.9093</v>
      </c>
      <c r="K165" s="10">
        <f t="shared" si="122"/>
        <v>0</v>
      </c>
      <c r="L165" s="11">
        <f t="shared" si="127"/>
        <v>0</v>
      </c>
      <c r="M165" s="12">
        <f t="shared" si="128"/>
        <v>3.13</v>
      </c>
      <c r="N165" s="13">
        <v>0.55000000000000004</v>
      </c>
      <c r="O165" s="13">
        <f t="shared" si="129"/>
        <v>1.7215</v>
      </c>
      <c r="P165" s="13">
        <f t="shared" si="123"/>
        <v>0</v>
      </c>
      <c r="Q165" s="14">
        <f t="shared" si="130"/>
        <v>0</v>
      </c>
    </row>
    <row r="166" spans="1:21" x14ac:dyDescent="0.3">
      <c r="A166" s="250">
        <f>VLOOKUP($B166,Reporting!$BL:$CD,MATCH($A$159,Reporting!$BM$4:$CD$4,0)+1,FALSE)</f>
        <v>0</v>
      </c>
      <c r="B166" s="266" t="s">
        <v>394</v>
      </c>
      <c r="C166" s="97">
        <v>3.76</v>
      </c>
      <c r="D166" s="6">
        <v>0.61</v>
      </c>
      <c r="E166" s="7">
        <f t="shared" si="124"/>
        <v>2.2935999999999996</v>
      </c>
      <c r="F166" s="7">
        <f t="shared" si="120"/>
        <v>0</v>
      </c>
      <c r="G166" s="8">
        <f t="shared" si="125"/>
        <v>0</v>
      </c>
      <c r="H166" s="9">
        <f t="shared" si="121"/>
        <v>3.76</v>
      </c>
      <c r="I166" s="10">
        <v>0.61</v>
      </c>
      <c r="J166" s="10">
        <f t="shared" si="126"/>
        <v>2.2935999999999996</v>
      </c>
      <c r="K166" s="10">
        <f t="shared" si="122"/>
        <v>0</v>
      </c>
      <c r="L166" s="11">
        <f t="shared" si="127"/>
        <v>0</v>
      </c>
      <c r="M166" s="12">
        <f t="shared" si="128"/>
        <v>3.76</v>
      </c>
      <c r="N166" s="13">
        <v>0.55000000000000004</v>
      </c>
      <c r="O166" s="13">
        <f t="shared" si="129"/>
        <v>2.0680000000000001</v>
      </c>
      <c r="P166" s="13">
        <f t="shared" si="123"/>
        <v>0</v>
      </c>
      <c r="Q166" s="14">
        <f t="shared" si="130"/>
        <v>0</v>
      </c>
    </row>
    <row r="167" spans="1:21" x14ac:dyDescent="0.3">
      <c r="A167" s="250">
        <f>VLOOKUP($B167,Reporting!$BL:$CD,MATCH($A$159,Reporting!$BM$4:$CD$4,0)+1,FALSE)</f>
        <v>0</v>
      </c>
      <c r="B167" s="266" t="s">
        <v>395</v>
      </c>
      <c r="C167" s="97">
        <v>4.8</v>
      </c>
      <c r="D167" s="6">
        <v>0.61</v>
      </c>
      <c r="E167" s="7">
        <f t="shared" si="124"/>
        <v>2.9279999999999999</v>
      </c>
      <c r="F167" s="7">
        <f t="shared" si="120"/>
        <v>0</v>
      </c>
      <c r="G167" s="8">
        <f t="shared" si="125"/>
        <v>0</v>
      </c>
      <c r="H167" s="9">
        <f t="shared" si="121"/>
        <v>4.8</v>
      </c>
      <c r="I167" s="10">
        <v>0.61</v>
      </c>
      <c r="J167" s="10">
        <f t="shared" si="126"/>
        <v>2.9279999999999999</v>
      </c>
      <c r="K167" s="10">
        <f t="shared" si="122"/>
        <v>0</v>
      </c>
      <c r="L167" s="11">
        <f t="shared" si="127"/>
        <v>0</v>
      </c>
      <c r="M167" s="12">
        <f t="shared" si="128"/>
        <v>4.8</v>
      </c>
      <c r="N167" s="13">
        <v>0.55000000000000004</v>
      </c>
      <c r="O167" s="13">
        <f t="shared" si="129"/>
        <v>2.64</v>
      </c>
      <c r="P167" s="13">
        <f t="shared" si="123"/>
        <v>0</v>
      </c>
      <c r="Q167" s="14">
        <f t="shared" si="130"/>
        <v>0</v>
      </c>
    </row>
    <row r="168" spans="1:21" x14ac:dyDescent="0.3">
      <c r="A168" s="250">
        <f>VLOOKUP($B168,Reporting!$BL:$CD,MATCH($A$159,Reporting!$BM$4:$CD$4,0)+1,FALSE)</f>
        <v>0</v>
      </c>
      <c r="B168" s="266" t="s">
        <v>396</v>
      </c>
      <c r="C168" s="97">
        <v>5.04</v>
      </c>
      <c r="D168" s="6">
        <v>0.61</v>
      </c>
      <c r="E168" s="7">
        <f t="shared" si="124"/>
        <v>3.0743999999999998</v>
      </c>
      <c r="F168" s="7">
        <f t="shared" si="120"/>
        <v>0</v>
      </c>
      <c r="G168" s="8">
        <f t="shared" si="125"/>
        <v>0</v>
      </c>
      <c r="H168" s="9">
        <f t="shared" si="121"/>
        <v>5.04</v>
      </c>
      <c r="I168" s="10">
        <v>0.61</v>
      </c>
      <c r="J168" s="10">
        <f t="shared" si="126"/>
        <v>3.0743999999999998</v>
      </c>
      <c r="K168" s="10">
        <f t="shared" si="122"/>
        <v>0</v>
      </c>
      <c r="L168" s="11">
        <f t="shared" si="127"/>
        <v>0</v>
      </c>
      <c r="M168" s="12">
        <f t="shared" si="128"/>
        <v>5.04</v>
      </c>
      <c r="N168" s="13">
        <v>0.55000000000000004</v>
      </c>
      <c r="O168" s="13">
        <f t="shared" si="129"/>
        <v>2.7720000000000002</v>
      </c>
      <c r="P168" s="13">
        <f t="shared" si="123"/>
        <v>0</v>
      </c>
      <c r="Q168" s="14">
        <f t="shared" si="130"/>
        <v>0</v>
      </c>
    </row>
    <row r="169" spans="1:21" ht="15" thickBot="1" x14ac:dyDescent="0.35">
      <c r="A169" s="250">
        <f>VLOOKUP($B169,Reporting!$BL:$CD,MATCH($A$159,Reporting!$BM$4:$CD$4,0)+1,FALSE)</f>
        <v>0</v>
      </c>
      <c r="B169" s="266" t="s">
        <v>397</v>
      </c>
      <c r="C169" s="4"/>
      <c r="D169" s="644" t="s">
        <v>9</v>
      </c>
      <c r="E169" s="645"/>
      <c r="F169" s="645"/>
      <c r="G169" s="16">
        <f>SUM(G161:G168)</f>
        <v>0</v>
      </c>
      <c r="H169" s="1"/>
      <c r="I169" s="646" t="s">
        <v>10</v>
      </c>
      <c r="J169" s="646"/>
      <c r="K169" s="646"/>
      <c r="L169" s="17">
        <f>SUM(L161:L168)</f>
        <v>0</v>
      </c>
      <c r="M169" s="15"/>
      <c r="N169" s="647" t="s">
        <v>11</v>
      </c>
      <c r="O169" s="647"/>
      <c r="P169" s="647"/>
      <c r="Q169" s="18">
        <f>SUM(Q161:Q168)</f>
        <v>0</v>
      </c>
    </row>
    <row r="170" spans="1:21" ht="15" thickBot="1" x14ac:dyDescent="0.35"/>
    <row r="171" spans="1:21" ht="15" customHeight="1" x14ac:dyDescent="0.3">
      <c r="A171" s="689" t="s">
        <v>202</v>
      </c>
      <c r="B171" s="689"/>
      <c r="C171" s="689"/>
      <c r="D171" s="689"/>
      <c r="E171" s="689"/>
      <c r="F171" s="689"/>
      <c r="G171" s="122"/>
      <c r="H171" s="122"/>
      <c r="I171" s="122"/>
      <c r="J171" s="122"/>
      <c r="K171" s="730" t="s">
        <v>108</v>
      </c>
      <c r="L171" s="730"/>
      <c r="M171" s="730"/>
      <c r="N171" s="730"/>
      <c r="O171" s="730"/>
      <c r="P171" s="2"/>
      <c r="Q171" s="5"/>
    </row>
    <row r="172" spans="1:21" ht="15" customHeight="1" x14ac:dyDescent="0.3">
      <c r="A172" s="690"/>
      <c r="B172" s="690"/>
      <c r="C172" s="690"/>
      <c r="D172" s="690"/>
      <c r="E172" s="690"/>
      <c r="F172" s="690"/>
      <c r="G172" s="123"/>
      <c r="H172" s="123"/>
      <c r="I172" s="123"/>
      <c r="J172" s="123"/>
      <c r="K172" s="732"/>
      <c r="L172" s="732"/>
      <c r="M172" s="732"/>
      <c r="N172" s="732"/>
      <c r="O172" s="732"/>
      <c r="P172" s="29"/>
      <c r="Q172" s="30"/>
      <c r="S172" s="116"/>
      <c r="T172" s="116"/>
      <c r="U172" s="116"/>
    </row>
    <row r="173" spans="1:21" x14ac:dyDescent="0.3">
      <c r="A173" s="250">
        <f>VLOOKUP($B173,Reporting!$BL:$CD,MATCH($A$171,Reporting!$BM$4:$CD$4,0)+1,FALSE)</f>
        <v>0</v>
      </c>
      <c r="B173" s="266" t="s">
        <v>376</v>
      </c>
      <c r="C173" s="114">
        <v>1.8</v>
      </c>
      <c r="D173" s="6">
        <v>0.61</v>
      </c>
      <c r="E173" s="7">
        <f>C173*D173</f>
        <v>1.0980000000000001</v>
      </c>
      <c r="F173" s="7">
        <f>A173*E173</f>
        <v>0</v>
      </c>
      <c r="G173" s="8">
        <f>F173/8</f>
        <v>0</v>
      </c>
      <c r="H173" s="9">
        <f>C173</f>
        <v>1.8</v>
      </c>
      <c r="I173" s="10">
        <v>0.61</v>
      </c>
      <c r="J173" s="10">
        <f>H173*I173</f>
        <v>1.0980000000000001</v>
      </c>
      <c r="K173" s="10">
        <f>A173*J173</f>
        <v>0</v>
      </c>
      <c r="L173" s="11">
        <f>K173/8</f>
        <v>0</v>
      </c>
      <c r="M173" s="12">
        <f>H173</f>
        <v>1.8</v>
      </c>
      <c r="N173" s="13">
        <v>0.55000000000000004</v>
      </c>
      <c r="O173" s="13">
        <f>M173*N173</f>
        <v>0.9900000000000001</v>
      </c>
      <c r="P173" s="13">
        <f>A173*O173</f>
        <v>0</v>
      </c>
      <c r="Q173" s="14">
        <f>P173/8</f>
        <v>0</v>
      </c>
    </row>
    <row r="174" spans="1:21" ht="15" customHeight="1" x14ac:dyDescent="0.3">
      <c r="A174" s="250">
        <f>VLOOKUP($B174,Reporting!$BL:$CD,MATCH($A$171,Reporting!$BM$4:$CD$4,0)+1,FALSE)</f>
        <v>0</v>
      </c>
      <c r="B174" s="266" t="s">
        <v>391</v>
      </c>
      <c r="C174" s="97">
        <v>2</v>
      </c>
      <c r="D174" s="6">
        <v>0.61</v>
      </c>
      <c r="E174" s="7">
        <f>C174*D174</f>
        <v>1.22</v>
      </c>
      <c r="F174" s="7">
        <f t="shared" ref="F174:F182" si="131">A174*E174</f>
        <v>0</v>
      </c>
      <c r="G174" s="8">
        <f>F174/8</f>
        <v>0</v>
      </c>
      <c r="H174" s="9">
        <f t="shared" ref="H174:H182" si="132">C174</f>
        <v>2</v>
      </c>
      <c r="I174" s="10">
        <v>0.61</v>
      </c>
      <c r="J174" s="10">
        <f>H174*I174</f>
        <v>1.22</v>
      </c>
      <c r="K174" s="10">
        <f t="shared" ref="K174:K182" si="133">A174*J174</f>
        <v>0</v>
      </c>
      <c r="L174" s="11">
        <f>K174/8</f>
        <v>0</v>
      </c>
      <c r="M174" s="12">
        <f>H174</f>
        <v>2</v>
      </c>
      <c r="N174" s="13">
        <v>0.55000000000000004</v>
      </c>
      <c r="O174" s="13">
        <f>M174*N174</f>
        <v>1.1000000000000001</v>
      </c>
      <c r="P174" s="13">
        <f t="shared" ref="P174:P182" si="134">A174*O174</f>
        <v>0</v>
      </c>
      <c r="Q174" s="14">
        <f>P174/8</f>
        <v>0</v>
      </c>
    </row>
    <row r="175" spans="1:21" ht="15" customHeight="1" x14ac:dyDescent="0.3">
      <c r="A175" s="250">
        <f>VLOOKUP($B175,Reporting!$BL:$CD,MATCH($A$171,Reporting!$BM$4:$CD$4,0)+1,FALSE)</f>
        <v>0</v>
      </c>
      <c r="B175" s="266" t="s">
        <v>392</v>
      </c>
      <c r="C175" s="97">
        <v>3.38</v>
      </c>
      <c r="D175" s="6">
        <v>0.61</v>
      </c>
      <c r="E175" s="7">
        <f t="shared" ref="E175:E182" si="135">C175*D175</f>
        <v>2.0617999999999999</v>
      </c>
      <c r="F175" s="7">
        <f t="shared" si="131"/>
        <v>0</v>
      </c>
      <c r="G175" s="8">
        <f t="shared" ref="G175:G182" si="136">F175/8</f>
        <v>0</v>
      </c>
      <c r="H175" s="9">
        <f t="shared" si="132"/>
        <v>3.38</v>
      </c>
      <c r="I175" s="10">
        <v>0.61</v>
      </c>
      <c r="J175" s="10">
        <f t="shared" ref="J175:J182" si="137">H175*I175</f>
        <v>2.0617999999999999</v>
      </c>
      <c r="K175" s="10">
        <f t="shared" si="133"/>
        <v>0</v>
      </c>
      <c r="L175" s="11">
        <f t="shared" ref="L175:L182" si="138">K175/8</f>
        <v>0</v>
      </c>
      <c r="M175" s="12">
        <f t="shared" ref="M175:M182" si="139">H175</f>
        <v>3.38</v>
      </c>
      <c r="N175" s="13">
        <v>0.55000000000000004</v>
      </c>
      <c r="O175" s="13">
        <f t="shared" ref="O175:O182" si="140">M175*N175</f>
        <v>1.859</v>
      </c>
      <c r="P175" s="13">
        <f t="shared" si="134"/>
        <v>0</v>
      </c>
      <c r="Q175" s="14">
        <f t="shared" ref="Q175:Q182" si="141">P175/8</f>
        <v>0</v>
      </c>
    </row>
    <row r="176" spans="1:21" ht="15" customHeight="1" x14ac:dyDescent="0.3">
      <c r="A176" s="250">
        <f>VLOOKUP($B176,Reporting!$BL:$CD,MATCH($A$171,Reporting!$BM$4:$CD$4,0)+1,FALSE)</f>
        <v>0</v>
      </c>
      <c r="B176" s="266" t="s">
        <v>393</v>
      </c>
      <c r="C176" s="97">
        <v>4.34</v>
      </c>
      <c r="D176" s="6">
        <v>0.61</v>
      </c>
      <c r="E176" s="7">
        <f t="shared" si="135"/>
        <v>2.6473999999999998</v>
      </c>
      <c r="F176" s="7">
        <f t="shared" si="131"/>
        <v>0</v>
      </c>
      <c r="G176" s="8">
        <f t="shared" si="136"/>
        <v>0</v>
      </c>
      <c r="H176" s="9">
        <f t="shared" si="132"/>
        <v>4.34</v>
      </c>
      <c r="I176" s="10">
        <v>0.61</v>
      </c>
      <c r="J176" s="10">
        <f t="shared" si="137"/>
        <v>2.6473999999999998</v>
      </c>
      <c r="K176" s="10">
        <f t="shared" si="133"/>
        <v>0</v>
      </c>
      <c r="L176" s="11">
        <f t="shared" si="138"/>
        <v>0</v>
      </c>
      <c r="M176" s="12">
        <f t="shared" si="139"/>
        <v>4.34</v>
      </c>
      <c r="N176" s="13">
        <v>0.55000000000000004</v>
      </c>
      <c r="O176" s="13">
        <f t="shared" si="140"/>
        <v>2.387</v>
      </c>
      <c r="P176" s="13">
        <f t="shared" si="134"/>
        <v>0</v>
      </c>
      <c r="Q176" s="14">
        <f t="shared" si="141"/>
        <v>0</v>
      </c>
    </row>
    <row r="177" spans="1:21" ht="15.75" customHeight="1" x14ac:dyDescent="0.3">
      <c r="A177" s="250">
        <f>VLOOKUP($B177,Reporting!$BL:$CD,MATCH($A$171,Reporting!$BM$4:$CD$4,0)+1,FALSE)</f>
        <v>0</v>
      </c>
      <c r="B177" s="266" t="s">
        <v>394</v>
      </c>
      <c r="C177" s="97">
        <v>5.04</v>
      </c>
      <c r="D177" s="6">
        <v>0.61</v>
      </c>
      <c r="E177" s="7">
        <f t="shared" si="135"/>
        <v>3.0743999999999998</v>
      </c>
      <c r="F177" s="7">
        <f t="shared" si="131"/>
        <v>0</v>
      </c>
      <c r="G177" s="8">
        <f t="shared" si="136"/>
        <v>0</v>
      </c>
      <c r="H177" s="9">
        <f t="shared" si="132"/>
        <v>5.04</v>
      </c>
      <c r="I177" s="10">
        <v>0.61</v>
      </c>
      <c r="J177" s="10">
        <f t="shared" si="137"/>
        <v>3.0743999999999998</v>
      </c>
      <c r="K177" s="10">
        <f t="shared" si="133"/>
        <v>0</v>
      </c>
      <c r="L177" s="11">
        <f t="shared" si="138"/>
        <v>0</v>
      </c>
      <c r="M177" s="12">
        <f t="shared" si="139"/>
        <v>5.04</v>
      </c>
      <c r="N177" s="13">
        <v>0.55000000000000004</v>
      </c>
      <c r="O177" s="13">
        <f t="shared" si="140"/>
        <v>2.7720000000000002</v>
      </c>
      <c r="P177" s="13">
        <f t="shared" si="134"/>
        <v>0</v>
      </c>
      <c r="Q177" s="14">
        <f t="shared" si="141"/>
        <v>0</v>
      </c>
    </row>
    <row r="178" spans="1:21" x14ac:dyDescent="0.3">
      <c r="A178" s="250">
        <f>VLOOKUP($B178,Reporting!$BL:$CD,MATCH($A$171,Reporting!$BM$4:$CD$4,0)+1,FALSE)</f>
        <v>0</v>
      </c>
      <c r="B178" s="266" t="s">
        <v>395</v>
      </c>
      <c r="C178" s="97">
        <v>6.8</v>
      </c>
      <c r="D178" s="6">
        <v>0.61</v>
      </c>
      <c r="E178" s="7">
        <f t="shared" si="135"/>
        <v>4.1479999999999997</v>
      </c>
      <c r="F178" s="7">
        <f t="shared" si="131"/>
        <v>0</v>
      </c>
      <c r="G178" s="8">
        <f t="shared" si="136"/>
        <v>0</v>
      </c>
      <c r="H178" s="9">
        <f t="shared" si="132"/>
        <v>6.8</v>
      </c>
      <c r="I178" s="10">
        <v>0.61</v>
      </c>
      <c r="J178" s="10">
        <f t="shared" si="137"/>
        <v>4.1479999999999997</v>
      </c>
      <c r="K178" s="10">
        <f t="shared" si="133"/>
        <v>0</v>
      </c>
      <c r="L178" s="11">
        <f t="shared" si="138"/>
        <v>0</v>
      </c>
      <c r="M178" s="12">
        <f t="shared" si="139"/>
        <v>6.8</v>
      </c>
      <c r="N178" s="13">
        <v>0.55000000000000004</v>
      </c>
      <c r="O178" s="13">
        <f t="shared" si="140"/>
        <v>3.74</v>
      </c>
      <c r="P178" s="13">
        <f t="shared" si="134"/>
        <v>0</v>
      </c>
      <c r="Q178" s="14">
        <f t="shared" si="141"/>
        <v>0</v>
      </c>
    </row>
    <row r="179" spans="1:21" x14ac:dyDescent="0.3">
      <c r="A179" s="250">
        <f>VLOOKUP($B179,Reporting!$BL:$CD,MATCH($A$171,Reporting!$BM$4:$CD$4,0)+1,FALSE)</f>
        <v>0</v>
      </c>
      <c r="B179" s="266" t="s">
        <v>396</v>
      </c>
      <c r="C179" s="97">
        <v>9.32</v>
      </c>
      <c r="D179" s="6">
        <v>0.61</v>
      </c>
      <c r="E179" s="7">
        <f t="shared" si="135"/>
        <v>5.6852</v>
      </c>
      <c r="F179" s="7">
        <f t="shared" si="131"/>
        <v>0</v>
      </c>
      <c r="G179" s="8">
        <f t="shared" si="136"/>
        <v>0</v>
      </c>
      <c r="H179" s="9">
        <f t="shared" si="132"/>
        <v>9.32</v>
      </c>
      <c r="I179" s="10">
        <v>0.61</v>
      </c>
      <c r="J179" s="10">
        <f t="shared" si="137"/>
        <v>5.6852</v>
      </c>
      <c r="K179" s="10">
        <f t="shared" si="133"/>
        <v>0</v>
      </c>
      <c r="L179" s="11">
        <f t="shared" si="138"/>
        <v>0</v>
      </c>
      <c r="M179" s="12">
        <f t="shared" si="139"/>
        <v>9.32</v>
      </c>
      <c r="N179" s="13">
        <v>0.55000000000000004</v>
      </c>
      <c r="O179" s="13">
        <f t="shared" si="140"/>
        <v>5.1260000000000003</v>
      </c>
      <c r="P179" s="13">
        <f t="shared" si="134"/>
        <v>0</v>
      </c>
      <c r="Q179" s="14">
        <f t="shared" si="141"/>
        <v>0</v>
      </c>
    </row>
    <row r="180" spans="1:21" x14ac:dyDescent="0.3">
      <c r="A180" s="250">
        <f>VLOOKUP($B180,Reporting!$BL:$CD,MATCH($A$171,Reporting!$BM$4:$CD$4,0)+1,FALSE)</f>
        <v>0</v>
      </c>
      <c r="B180" s="266" t="s">
        <v>397</v>
      </c>
      <c r="C180" s="97">
        <v>11.33</v>
      </c>
      <c r="D180" s="6">
        <v>0.61</v>
      </c>
      <c r="E180" s="7">
        <f t="shared" si="135"/>
        <v>6.9112999999999998</v>
      </c>
      <c r="F180" s="7">
        <f t="shared" si="131"/>
        <v>0</v>
      </c>
      <c r="G180" s="8">
        <f t="shared" si="136"/>
        <v>0</v>
      </c>
      <c r="H180" s="9">
        <f t="shared" si="132"/>
        <v>11.33</v>
      </c>
      <c r="I180" s="10">
        <v>0.61</v>
      </c>
      <c r="J180" s="10">
        <f t="shared" si="137"/>
        <v>6.9112999999999998</v>
      </c>
      <c r="K180" s="10">
        <f t="shared" si="133"/>
        <v>0</v>
      </c>
      <c r="L180" s="11">
        <f t="shared" si="138"/>
        <v>0</v>
      </c>
      <c r="M180" s="12">
        <f t="shared" si="139"/>
        <v>11.33</v>
      </c>
      <c r="N180" s="13">
        <v>0.55000000000000004</v>
      </c>
      <c r="O180" s="13">
        <f t="shared" si="140"/>
        <v>6.2315000000000005</v>
      </c>
      <c r="P180" s="13">
        <f t="shared" si="134"/>
        <v>0</v>
      </c>
      <c r="Q180" s="14">
        <f t="shared" si="141"/>
        <v>0</v>
      </c>
    </row>
    <row r="181" spans="1:21" x14ac:dyDescent="0.3">
      <c r="A181" s="250">
        <f>VLOOKUP($B181,Reporting!$BL:$CD,MATCH($A$171,Reporting!$BM$4:$CD$4,0)+1,FALSE)</f>
        <v>0</v>
      </c>
      <c r="B181" s="266" t="s">
        <v>398</v>
      </c>
      <c r="C181" s="97">
        <v>13.83</v>
      </c>
      <c r="D181" s="6">
        <v>0.61</v>
      </c>
      <c r="E181" s="7">
        <f t="shared" si="135"/>
        <v>8.4362999999999992</v>
      </c>
      <c r="F181" s="7">
        <f t="shared" si="131"/>
        <v>0</v>
      </c>
      <c r="G181" s="8">
        <f t="shared" si="136"/>
        <v>0</v>
      </c>
      <c r="H181" s="9">
        <f t="shared" si="132"/>
        <v>13.83</v>
      </c>
      <c r="I181" s="10">
        <v>0.61</v>
      </c>
      <c r="J181" s="10">
        <f t="shared" si="137"/>
        <v>8.4362999999999992</v>
      </c>
      <c r="K181" s="10">
        <f t="shared" si="133"/>
        <v>0</v>
      </c>
      <c r="L181" s="11">
        <f t="shared" si="138"/>
        <v>0</v>
      </c>
      <c r="M181" s="12">
        <f t="shared" si="139"/>
        <v>13.83</v>
      </c>
      <c r="N181" s="13">
        <v>0.55000000000000004</v>
      </c>
      <c r="O181" s="13">
        <f t="shared" si="140"/>
        <v>7.6065000000000005</v>
      </c>
      <c r="P181" s="13">
        <f t="shared" si="134"/>
        <v>0</v>
      </c>
      <c r="Q181" s="14">
        <f t="shared" si="141"/>
        <v>0</v>
      </c>
    </row>
    <row r="182" spans="1:21" x14ac:dyDescent="0.3">
      <c r="A182" s="250">
        <f>VLOOKUP($B182,Reporting!$BL:$CD,MATCH($A$171,Reporting!$BM$4:$CD$4,0)+1,FALSE)</f>
        <v>0</v>
      </c>
      <c r="B182" s="266" t="s">
        <v>399</v>
      </c>
      <c r="C182" s="97">
        <v>15.32</v>
      </c>
      <c r="D182" s="6">
        <v>0.61</v>
      </c>
      <c r="E182" s="7">
        <f t="shared" si="135"/>
        <v>9.3452000000000002</v>
      </c>
      <c r="F182" s="7">
        <f t="shared" si="131"/>
        <v>0</v>
      </c>
      <c r="G182" s="8">
        <f t="shared" si="136"/>
        <v>0</v>
      </c>
      <c r="H182" s="9">
        <f t="shared" si="132"/>
        <v>15.32</v>
      </c>
      <c r="I182" s="10">
        <v>0.61</v>
      </c>
      <c r="J182" s="10">
        <f t="shared" si="137"/>
        <v>9.3452000000000002</v>
      </c>
      <c r="K182" s="10">
        <f t="shared" si="133"/>
        <v>0</v>
      </c>
      <c r="L182" s="11">
        <f t="shared" si="138"/>
        <v>0</v>
      </c>
      <c r="M182" s="12">
        <f t="shared" si="139"/>
        <v>15.32</v>
      </c>
      <c r="N182" s="13">
        <v>0.55000000000000004</v>
      </c>
      <c r="O182" s="13">
        <f t="shared" si="140"/>
        <v>8.4260000000000002</v>
      </c>
      <c r="P182" s="13">
        <f t="shared" si="134"/>
        <v>0</v>
      </c>
      <c r="Q182" s="14">
        <f t="shared" si="141"/>
        <v>0</v>
      </c>
    </row>
    <row r="183" spans="1:21" ht="15" thickBot="1" x14ac:dyDescent="0.35">
      <c r="A183" s="3">
        <f>SUM(A173:A182)</f>
        <v>0</v>
      </c>
      <c r="B183" s="4"/>
      <c r="C183" s="4"/>
      <c r="D183" s="644" t="s">
        <v>9</v>
      </c>
      <c r="E183" s="645"/>
      <c r="F183" s="645"/>
      <c r="G183" s="16">
        <f>SUM(G173:G182)</f>
        <v>0</v>
      </c>
      <c r="H183" s="1"/>
      <c r="I183" s="646" t="s">
        <v>10</v>
      </c>
      <c r="J183" s="646"/>
      <c r="K183" s="646"/>
      <c r="L183" s="17">
        <f>SUM(L173:L182)</f>
        <v>0</v>
      </c>
      <c r="M183" s="15"/>
      <c r="N183" s="647" t="s">
        <v>11</v>
      </c>
      <c r="O183" s="647"/>
      <c r="P183" s="647"/>
      <c r="Q183" s="18">
        <f>SUM(Q173:Q182)</f>
        <v>0</v>
      </c>
    </row>
    <row r="184" spans="1:21" ht="15" thickBot="1" x14ac:dyDescent="0.35"/>
    <row r="185" spans="1:21" ht="15" customHeight="1" x14ac:dyDescent="0.3">
      <c r="A185" s="689" t="s">
        <v>203</v>
      </c>
      <c r="B185" s="689"/>
      <c r="C185" s="689"/>
      <c r="D185" s="689"/>
      <c r="E185" s="689"/>
      <c r="F185" s="689"/>
      <c r="G185" s="689"/>
      <c r="H185" s="689"/>
      <c r="I185" s="122"/>
      <c r="J185" s="122"/>
      <c r="K185" s="122"/>
      <c r="L185" s="730" t="s">
        <v>106</v>
      </c>
      <c r="M185" s="730"/>
      <c r="N185" s="730"/>
      <c r="O185" s="730"/>
      <c r="P185" s="730"/>
      <c r="Q185" s="5"/>
    </row>
    <row r="186" spans="1:21" ht="15" customHeight="1" x14ac:dyDescent="0.3">
      <c r="A186" s="690"/>
      <c r="B186" s="690"/>
      <c r="C186" s="690"/>
      <c r="D186" s="690"/>
      <c r="E186" s="690"/>
      <c r="F186" s="690"/>
      <c r="G186" s="690"/>
      <c r="H186" s="690"/>
      <c r="I186" s="123"/>
      <c r="J186" s="123"/>
      <c r="K186" s="123"/>
      <c r="L186" s="732"/>
      <c r="M186" s="732"/>
      <c r="N186" s="732"/>
      <c r="O186" s="732"/>
      <c r="P186" s="732"/>
      <c r="Q186" s="30"/>
      <c r="S186" s="116"/>
      <c r="T186" s="116"/>
      <c r="U186" s="116"/>
    </row>
    <row r="187" spans="1:21" x14ac:dyDescent="0.3">
      <c r="A187" s="250">
        <f>VLOOKUP($B187,Reporting!$BL:$CD,MATCH($A$185,Reporting!$BM$4:$CD$4,0)+1,FALSE)</f>
        <v>0</v>
      </c>
      <c r="B187" s="266" t="s">
        <v>376</v>
      </c>
      <c r="C187" s="114">
        <v>0.95</v>
      </c>
      <c r="D187" s="6">
        <v>0.61</v>
      </c>
      <c r="E187" s="7">
        <f t="shared" ref="E187:E193" si="142">C187*D187</f>
        <v>0.57950000000000002</v>
      </c>
      <c r="F187" s="7">
        <f>A187*E187</f>
        <v>0</v>
      </c>
      <c r="G187" s="8">
        <f t="shared" ref="G187:G193" si="143">F187/8</f>
        <v>0</v>
      </c>
      <c r="H187" s="9">
        <f>C187</f>
        <v>0.95</v>
      </c>
      <c r="I187" s="10">
        <v>0.61</v>
      </c>
      <c r="J187" s="10">
        <f t="shared" ref="J187:J193" si="144">H187*I187</f>
        <v>0.57950000000000002</v>
      </c>
      <c r="K187" s="10">
        <f>A187*J187</f>
        <v>0</v>
      </c>
      <c r="L187" s="11">
        <f t="shared" ref="L187:L193" si="145">K187/8</f>
        <v>0</v>
      </c>
      <c r="M187" s="12">
        <f t="shared" ref="M187:M193" si="146">H187</f>
        <v>0.95</v>
      </c>
      <c r="N187" s="13">
        <v>0.55000000000000004</v>
      </c>
      <c r="O187" s="13">
        <f t="shared" ref="O187:O193" si="147">M187*N187</f>
        <v>0.52249999999999996</v>
      </c>
      <c r="P187" s="13">
        <f>A187*O187</f>
        <v>0</v>
      </c>
      <c r="Q187" s="14">
        <f t="shared" ref="Q187:Q193" si="148">P187/8</f>
        <v>0</v>
      </c>
    </row>
    <row r="188" spans="1:21" ht="15" customHeight="1" x14ac:dyDescent="0.3">
      <c r="A188" s="250">
        <f>VLOOKUP($B188,Reporting!$BL:$CD,MATCH($A$185,Reporting!$BM$4:$CD$4,0)+1,FALSE)</f>
        <v>0</v>
      </c>
      <c r="B188" s="266" t="s">
        <v>391</v>
      </c>
      <c r="C188" s="97">
        <v>0.95</v>
      </c>
      <c r="D188" s="6">
        <v>0.61</v>
      </c>
      <c r="E188" s="7">
        <f t="shared" si="142"/>
        <v>0.57950000000000002</v>
      </c>
      <c r="F188" s="7">
        <f t="shared" ref="F188:F193" si="149">A188*E188</f>
        <v>0</v>
      </c>
      <c r="G188" s="8">
        <f t="shared" si="143"/>
        <v>0</v>
      </c>
      <c r="H188" s="9">
        <f t="shared" ref="H188:H193" si="150">C188</f>
        <v>0.95</v>
      </c>
      <c r="I188" s="10">
        <v>0.61</v>
      </c>
      <c r="J188" s="10">
        <f t="shared" si="144"/>
        <v>0.57950000000000002</v>
      </c>
      <c r="K188" s="10">
        <f t="shared" ref="K188:K193" si="151">A188*J188</f>
        <v>0</v>
      </c>
      <c r="L188" s="11">
        <f t="shared" si="145"/>
        <v>0</v>
      </c>
      <c r="M188" s="12">
        <f t="shared" si="146"/>
        <v>0.95</v>
      </c>
      <c r="N188" s="13">
        <v>0.55000000000000004</v>
      </c>
      <c r="O188" s="13">
        <f t="shared" si="147"/>
        <v>0.52249999999999996</v>
      </c>
      <c r="P188" s="13">
        <f t="shared" ref="P188:P193" si="152">A188*O188</f>
        <v>0</v>
      </c>
      <c r="Q188" s="14">
        <f t="shared" si="148"/>
        <v>0</v>
      </c>
    </row>
    <row r="189" spans="1:21" ht="15" customHeight="1" x14ac:dyDescent="0.3">
      <c r="A189" s="250">
        <f>VLOOKUP($B189,Reporting!$BL:$CD,MATCH($A$185,Reporting!$BM$4:$CD$4,0)+1,FALSE)</f>
        <v>0</v>
      </c>
      <c r="B189" s="266" t="s">
        <v>392</v>
      </c>
      <c r="C189" s="97">
        <v>1.89</v>
      </c>
      <c r="D189" s="6">
        <v>0.61</v>
      </c>
      <c r="E189" s="7">
        <f t="shared" si="142"/>
        <v>1.1528999999999998</v>
      </c>
      <c r="F189" s="7">
        <f t="shared" si="149"/>
        <v>0</v>
      </c>
      <c r="G189" s="8">
        <f t="shared" si="143"/>
        <v>0</v>
      </c>
      <c r="H189" s="9">
        <f t="shared" si="150"/>
        <v>1.89</v>
      </c>
      <c r="I189" s="10">
        <v>0.61</v>
      </c>
      <c r="J189" s="10">
        <f t="shared" si="144"/>
        <v>1.1528999999999998</v>
      </c>
      <c r="K189" s="10">
        <f t="shared" si="151"/>
        <v>0</v>
      </c>
      <c r="L189" s="11">
        <f t="shared" si="145"/>
        <v>0</v>
      </c>
      <c r="M189" s="12">
        <f t="shared" si="146"/>
        <v>1.89</v>
      </c>
      <c r="N189" s="13">
        <v>0.55000000000000004</v>
      </c>
      <c r="O189" s="13">
        <f t="shared" si="147"/>
        <v>1.0395000000000001</v>
      </c>
      <c r="P189" s="13">
        <f t="shared" si="152"/>
        <v>0</v>
      </c>
      <c r="Q189" s="14">
        <f t="shared" si="148"/>
        <v>0</v>
      </c>
    </row>
    <row r="190" spans="1:21" ht="15" customHeight="1" x14ac:dyDescent="0.3">
      <c r="A190" s="250">
        <f>VLOOKUP($B190,Reporting!$BL:$CD,MATCH($A$185,Reporting!$BM$4:$CD$4,0)+1,FALSE)</f>
        <v>0</v>
      </c>
      <c r="B190" s="266" t="s">
        <v>393</v>
      </c>
      <c r="C190" s="97">
        <v>2.1800000000000002</v>
      </c>
      <c r="D190" s="6">
        <v>0.61</v>
      </c>
      <c r="E190" s="7">
        <f t="shared" si="142"/>
        <v>1.3298000000000001</v>
      </c>
      <c r="F190" s="7">
        <f t="shared" si="149"/>
        <v>0</v>
      </c>
      <c r="G190" s="8">
        <f t="shared" si="143"/>
        <v>0</v>
      </c>
      <c r="H190" s="9">
        <f t="shared" si="150"/>
        <v>2.1800000000000002</v>
      </c>
      <c r="I190" s="10">
        <v>0.61</v>
      </c>
      <c r="J190" s="10">
        <f t="shared" si="144"/>
        <v>1.3298000000000001</v>
      </c>
      <c r="K190" s="10">
        <f t="shared" si="151"/>
        <v>0</v>
      </c>
      <c r="L190" s="11">
        <f t="shared" si="145"/>
        <v>0</v>
      </c>
      <c r="M190" s="12">
        <f t="shared" si="146"/>
        <v>2.1800000000000002</v>
      </c>
      <c r="N190" s="13">
        <v>0.55000000000000004</v>
      </c>
      <c r="O190" s="13">
        <f t="shared" si="147"/>
        <v>1.1990000000000003</v>
      </c>
      <c r="P190" s="13">
        <f t="shared" si="152"/>
        <v>0</v>
      </c>
      <c r="Q190" s="14">
        <f t="shared" si="148"/>
        <v>0</v>
      </c>
    </row>
    <row r="191" spans="1:21" ht="15.75" customHeight="1" x14ac:dyDescent="0.3">
      <c r="A191" s="250">
        <f>VLOOKUP($B191,Reporting!$BL:$CD,MATCH($A$185,Reporting!$BM$4:$CD$4,0)+1,FALSE)</f>
        <v>0</v>
      </c>
      <c r="B191" s="266" t="s">
        <v>394</v>
      </c>
      <c r="C191" s="97">
        <v>2.2999999999999998</v>
      </c>
      <c r="D191" s="6">
        <v>0.61</v>
      </c>
      <c r="E191" s="7">
        <f t="shared" si="142"/>
        <v>1.4029999999999998</v>
      </c>
      <c r="F191" s="7">
        <f t="shared" si="149"/>
        <v>0</v>
      </c>
      <c r="G191" s="8">
        <f t="shared" si="143"/>
        <v>0</v>
      </c>
      <c r="H191" s="9">
        <f t="shared" si="150"/>
        <v>2.2999999999999998</v>
      </c>
      <c r="I191" s="10">
        <v>0.61</v>
      </c>
      <c r="J191" s="10">
        <f t="shared" si="144"/>
        <v>1.4029999999999998</v>
      </c>
      <c r="K191" s="10">
        <f t="shared" si="151"/>
        <v>0</v>
      </c>
      <c r="L191" s="11">
        <f t="shared" si="145"/>
        <v>0</v>
      </c>
      <c r="M191" s="12">
        <f t="shared" si="146"/>
        <v>2.2999999999999998</v>
      </c>
      <c r="N191" s="13">
        <v>0.55000000000000004</v>
      </c>
      <c r="O191" s="13">
        <f t="shared" si="147"/>
        <v>1.2649999999999999</v>
      </c>
      <c r="P191" s="13">
        <f t="shared" si="152"/>
        <v>0</v>
      </c>
      <c r="Q191" s="14">
        <f t="shared" si="148"/>
        <v>0</v>
      </c>
    </row>
    <row r="192" spans="1:21" x14ac:dyDescent="0.3">
      <c r="A192" s="250">
        <f>VLOOKUP($B192,Reporting!$BL:$CD,MATCH($A$185,Reporting!$BM$4:$CD$4,0)+1,FALSE)</f>
        <v>0</v>
      </c>
      <c r="B192" s="266" t="s">
        <v>395</v>
      </c>
      <c r="C192" s="97">
        <v>3.03</v>
      </c>
      <c r="D192" s="6">
        <v>0.61</v>
      </c>
      <c r="E192" s="7">
        <f t="shared" si="142"/>
        <v>1.8482999999999998</v>
      </c>
      <c r="F192" s="7">
        <f t="shared" si="149"/>
        <v>0</v>
      </c>
      <c r="G192" s="8">
        <f t="shared" si="143"/>
        <v>0</v>
      </c>
      <c r="H192" s="9">
        <f t="shared" si="150"/>
        <v>3.03</v>
      </c>
      <c r="I192" s="10">
        <v>0.61</v>
      </c>
      <c r="J192" s="10">
        <f t="shared" si="144"/>
        <v>1.8482999999999998</v>
      </c>
      <c r="K192" s="10">
        <f t="shared" si="151"/>
        <v>0</v>
      </c>
      <c r="L192" s="11">
        <f t="shared" si="145"/>
        <v>0</v>
      </c>
      <c r="M192" s="12">
        <f t="shared" si="146"/>
        <v>3.03</v>
      </c>
      <c r="N192" s="13">
        <v>0.55000000000000004</v>
      </c>
      <c r="O192" s="13">
        <f t="shared" si="147"/>
        <v>1.6665000000000001</v>
      </c>
      <c r="P192" s="13">
        <f t="shared" si="152"/>
        <v>0</v>
      </c>
      <c r="Q192" s="14">
        <f t="shared" si="148"/>
        <v>0</v>
      </c>
    </row>
    <row r="193" spans="1:25" x14ac:dyDescent="0.3">
      <c r="A193" s="250">
        <f>VLOOKUP($B193,Reporting!$BL:$CD,MATCH($A$185,Reporting!$BM$4:$CD$4,0)+1,FALSE)</f>
        <v>0</v>
      </c>
      <c r="B193" s="266" t="s">
        <v>396</v>
      </c>
      <c r="C193" s="97">
        <v>4.3499999999999996</v>
      </c>
      <c r="D193" s="6">
        <v>0.61</v>
      </c>
      <c r="E193" s="7">
        <f t="shared" si="142"/>
        <v>2.6534999999999997</v>
      </c>
      <c r="F193" s="7">
        <f t="shared" si="149"/>
        <v>0</v>
      </c>
      <c r="G193" s="8">
        <f t="shared" si="143"/>
        <v>0</v>
      </c>
      <c r="H193" s="9">
        <f t="shared" si="150"/>
        <v>4.3499999999999996</v>
      </c>
      <c r="I193" s="10">
        <v>0.61</v>
      </c>
      <c r="J193" s="10">
        <f t="shared" si="144"/>
        <v>2.6534999999999997</v>
      </c>
      <c r="K193" s="10">
        <f t="shared" si="151"/>
        <v>0</v>
      </c>
      <c r="L193" s="11">
        <f t="shared" si="145"/>
        <v>0</v>
      </c>
      <c r="M193" s="12">
        <f t="shared" si="146"/>
        <v>4.3499999999999996</v>
      </c>
      <c r="N193" s="13">
        <v>0.55000000000000004</v>
      </c>
      <c r="O193" s="13">
        <f t="shared" si="147"/>
        <v>2.3925000000000001</v>
      </c>
      <c r="P193" s="13">
        <f t="shared" si="152"/>
        <v>0</v>
      </c>
      <c r="Q193" s="14">
        <f t="shared" si="148"/>
        <v>0</v>
      </c>
    </row>
    <row r="194" spans="1:25" ht="15" thickBot="1" x14ac:dyDescent="0.35">
      <c r="A194" s="3">
        <f>SUM(A187:A193)</f>
        <v>0</v>
      </c>
      <c r="B194" s="4"/>
      <c r="C194" s="4"/>
      <c r="D194" s="644" t="s">
        <v>9</v>
      </c>
      <c r="E194" s="645"/>
      <c r="F194" s="645"/>
      <c r="G194" s="16">
        <f>SUM(G187:G193)</f>
        <v>0</v>
      </c>
      <c r="H194" s="1"/>
      <c r="I194" s="646" t="s">
        <v>10</v>
      </c>
      <c r="J194" s="646"/>
      <c r="K194" s="646"/>
      <c r="L194" s="17">
        <f>SUM(L187:L193)</f>
        <v>0</v>
      </c>
      <c r="M194" s="15"/>
      <c r="N194" s="647" t="s">
        <v>11</v>
      </c>
      <c r="O194" s="647"/>
      <c r="P194" s="647"/>
      <c r="Q194" s="18">
        <f>SUM(Q187:Q193)</f>
        <v>0</v>
      </c>
    </row>
    <row r="195" spans="1:25" ht="15" thickBot="1" x14ac:dyDescent="0.35"/>
    <row r="196" spans="1:25" ht="15" customHeight="1" x14ac:dyDescent="0.3">
      <c r="A196" s="689" t="s">
        <v>204</v>
      </c>
      <c r="B196" s="689"/>
      <c r="C196" s="689"/>
      <c r="D196" s="689"/>
      <c r="E196" s="689"/>
      <c r="F196" s="689"/>
      <c r="G196" s="689"/>
      <c r="H196" s="122"/>
      <c r="I196" s="122"/>
      <c r="J196" s="122"/>
      <c r="K196" s="122"/>
      <c r="L196" s="730" t="s">
        <v>106</v>
      </c>
      <c r="M196" s="730"/>
      <c r="N196" s="730"/>
      <c r="O196" s="730"/>
      <c r="P196" s="730"/>
      <c r="Q196" s="731"/>
    </row>
    <row r="197" spans="1:25" ht="15" customHeight="1" x14ac:dyDescent="0.3">
      <c r="A197" s="690"/>
      <c r="B197" s="690"/>
      <c r="C197" s="690"/>
      <c r="D197" s="690"/>
      <c r="E197" s="690"/>
      <c r="F197" s="690"/>
      <c r="G197" s="690"/>
      <c r="H197" s="123"/>
      <c r="I197" s="123"/>
      <c r="J197" s="123"/>
      <c r="K197" s="123"/>
      <c r="L197" s="732"/>
      <c r="M197" s="732"/>
      <c r="N197" s="732"/>
      <c r="O197" s="732"/>
      <c r="P197" s="732"/>
      <c r="Q197" s="733"/>
      <c r="S197" s="116"/>
      <c r="T197" s="116"/>
      <c r="U197" s="116"/>
    </row>
    <row r="198" spans="1:25" x14ac:dyDescent="0.3">
      <c r="A198" s="250">
        <f>VLOOKUP($B198,Reporting!$BL:$CD,MATCH($A$196,Reporting!$BM$4:$CD$4,0)+1,FALSE)</f>
        <v>0</v>
      </c>
      <c r="B198" s="266" t="s">
        <v>376</v>
      </c>
      <c r="C198" s="114">
        <v>1.58</v>
      </c>
      <c r="D198" s="6">
        <v>0.61</v>
      </c>
      <c r="E198" s="7">
        <f t="shared" ref="E198:E204" si="153">C198*D198</f>
        <v>0.96379999999999999</v>
      </c>
      <c r="F198" s="7">
        <f>A198*E198</f>
        <v>0</v>
      </c>
      <c r="G198" s="8">
        <f t="shared" ref="G198:G204" si="154">F198/8</f>
        <v>0</v>
      </c>
      <c r="H198" s="9">
        <f>C198</f>
        <v>1.58</v>
      </c>
      <c r="I198" s="10">
        <v>0.61</v>
      </c>
      <c r="J198" s="10">
        <f t="shared" ref="J198:J204" si="155">H198*I198</f>
        <v>0.96379999999999999</v>
      </c>
      <c r="K198" s="10">
        <f>A198*J198</f>
        <v>0</v>
      </c>
      <c r="L198" s="11">
        <f t="shared" ref="L198:L204" si="156">K198/8</f>
        <v>0</v>
      </c>
      <c r="M198" s="12">
        <f t="shared" ref="M198:M204" si="157">H198</f>
        <v>1.58</v>
      </c>
      <c r="N198" s="13">
        <v>0.55000000000000004</v>
      </c>
      <c r="O198" s="13">
        <f t="shared" ref="O198:O204" si="158">M198*N198</f>
        <v>0.86900000000000011</v>
      </c>
      <c r="P198" s="13">
        <f>A198*O198</f>
        <v>0</v>
      </c>
      <c r="Q198" s="14">
        <f t="shared" ref="Q198:Q204" si="159">P198/8</f>
        <v>0</v>
      </c>
    </row>
    <row r="199" spans="1:25" ht="15" customHeight="1" x14ac:dyDescent="0.3">
      <c r="A199" s="250">
        <f>VLOOKUP($B199,Reporting!$BL:$CD,MATCH($A$185,Reporting!$BM$4:$CD$4,0)+1,FALSE)</f>
        <v>0</v>
      </c>
      <c r="B199" s="266" t="s">
        <v>391</v>
      </c>
      <c r="C199" s="97">
        <v>1.73</v>
      </c>
      <c r="D199" s="6">
        <v>0.61</v>
      </c>
      <c r="E199" s="7">
        <f t="shared" si="153"/>
        <v>1.0552999999999999</v>
      </c>
      <c r="F199" s="7">
        <f t="shared" ref="F199:F204" si="160">A199*E199</f>
        <v>0</v>
      </c>
      <c r="G199" s="8">
        <f t="shared" si="154"/>
        <v>0</v>
      </c>
      <c r="H199" s="9">
        <f t="shared" ref="H199:H204" si="161">C199</f>
        <v>1.73</v>
      </c>
      <c r="I199" s="10">
        <v>0.61</v>
      </c>
      <c r="J199" s="10">
        <f t="shared" si="155"/>
        <v>1.0552999999999999</v>
      </c>
      <c r="K199" s="10">
        <f t="shared" ref="K199:K204" si="162">A199*J199</f>
        <v>0</v>
      </c>
      <c r="L199" s="11">
        <f t="shared" si="156"/>
        <v>0</v>
      </c>
      <c r="M199" s="12">
        <f t="shared" si="157"/>
        <v>1.73</v>
      </c>
      <c r="N199" s="13">
        <v>0.55000000000000004</v>
      </c>
      <c r="O199" s="13">
        <f t="shared" si="158"/>
        <v>0.95150000000000001</v>
      </c>
      <c r="P199" s="13">
        <f t="shared" ref="P199:P204" si="163">A199*O199</f>
        <v>0</v>
      </c>
      <c r="Q199" s="14">
        <f t="shared" si="159"/>
        <v>0</v>
      </c>
    </row>
    <row r="200" spans="1:25" ht="15" customHeight="1" x14ac:dyDescent="0.3">
      <c r="A200" s="250">
        <f>VLOOKUP($B200,Reporting!$BL:$CD,MATCH($A$185,Reporting!$BM$4:$CD$4,0)+1,FALSE)</f>
        <v>0</v>
      </c>
      <c r="B200" s="266" t="s">
        <v>392</v>
      </c>
      <c r="C200" s="97">
        <v>3.23</v>
      </c>
      <c r="D200" s="6">
        <v>0.61</v>
      </c>
      <c r="E200" s="7">
        <f t="shared" si="153"/>
        <v>1.9702999999999999</v>
      </c>
      <c r="F200" s="7">
        <f t="shared" si="160"/>
        <v>0</v>
      </c>
      <c r="G200" s="8">
        <f t="shared" si="154"/>
        <v>0</v>
      </c>
      <c r="H200" s="9">
        <f t="shared" si="161"/>
        <v>3.23</v>
      </c>
      <c r="I200" s="10">
        <v>0.61</v>
      </c>
      <c r="J200" s="10">
        <f t="shared" si="155"/>
        <v>1.9702999999999999</v>
      </c>
      <c r="K200" s="10">
        <f t="shared" si="162"/>
        <v>0</v>
      </c>
      <c r="L200" s="11">
        <f t="shared" si="156"/>
        <v>0</v>
      </c>
      <c r="M200" s="12">
        <f t="shared" si="157"/>
        <v>3.23</v>
      </c>
      <c r="N200" s="13">
        <v>0.55000000000000004</v>
      </c>
      <c r="O200" s="13">
        <f t="shared" si="158"/>
        <v>1.7765000000000002</v>
      </c>
      <c r="P200" s="13">
        <f t="shared" si="163"/>
        <v>0</v>
      </c>
      <c r="Q200" s="14">
        <f t="shared" si="159"/>
        <v>0</v>
      </c>
    </row>
    <row r="201" spans="1:25" ht="15" customHeight="1" x14ac:dyDescent="0.3">
      <c r="A201" s="250">
        <f>VLOOKUP($B201,Reporting!$BL:$CD,MATCH($A$185,Reporting!$BM$4:$CD$4,0)+1,FALSE)</f>
        <v>0</v>
      </c>
      <c r="B201" s="266" t="s">
        <v>393</v>
      </c>
      <c r="C201" s="97">
        <v>3.98</v>
      </c>
      <c r="D201" s="6">
        <v>0.61</v>
      </c>
      <c r="E201" s="7">
        <f t="shared" si="153"/>
        <v>2.4278</v>
      </c>
      <c r="F201" s="7">
        <f t="shared" si="160"/>
        <v>0</v>
      </c>
      <c r="G201" s="8">
        <f t="shared" si="154"/>
        <v>0</v>
      </c>
      <c r="H201" s="9">
        <f t="shared" si="161"/>
        <v>3.98</v>
      </c>
      <c r="I201" s="10">
        <v>0.61</v>
      </c>
      <c r="J201" s="10">
        <f t="shared" si="155"/>
        <v>2.4278</v>
      </c>
      <c r="K201" s="10">
        <f t="shared" si="162"/>
        <v>0</v>
      </c>
      <c r="L201" s="11">
        <f t="shared" si="156"/>
        <v>0</v>
      </c>
      <c r="M201" s="12">
        <f t="shared" si="157"/>
        <v>3.98</v>
      </c>
      <c r="N201" s="13">
        <v>0.55000000000000004</v>
      </c>
      <c r="O201" s="13">
        <f t="shared" si="158"/>
        <v>2.1890000000000001</v>
      </c>
      <c r="P201" s="13">
        <f t="shared" si="163"/>
        <v>0</v>
      </c>
      <c r="Q201" s="14">
        <f t="shared" si="159"/>
        <v>0</v>
      </c>
    </row>
    <row r="202" spans="1:25" ht="15.75" customHeight="1" x14ac:dyDescent="0.3">
      <c r="A202" s="250">
        <f>VLOOKUP($B202,Reporting!$BL:$CD,MATCH($A$185,Reporting!$BM$4:$CD$4,0)+1,FALSE)</f>
        <v>0</v>
      </c>
      <c r="B202" s="266" t="s">
        <v>394</v>
      </c>
      <c r="C202" s="97">
        <v>4.3499999999999996</v>
      </c>
      <c r="D202" s="6">
        <v>0.61</v>
      </c>
      <c r="E202" s="7">
        <f t="shared" si="153"/>
        <v>2.6534999999999997</v>
      </c>
      <c r="F202" s="7">
        <f t="shared" si="160"/>
        <v>0</v>
      </c>
      <c r="G202" s="8">
        <f t="shared" si="154"/>
        <v>0</v>
      </c>
      <c r="H202" s="9">
        <f t="shared" si="161"/>
        <v>4.3499999999999996</v>
      </c>
      <c r="I202" s="10">
        <v>0.61</v>
      </c>
      <c r="J202" s="10">
        <f t="shared" si="155"/>
        <v>2.6534999999999997</v>
      </c>
      <c r="K202" s="10">
        <f t="shared" si="162"/>
        <v>0</v>
      </c>
      <c r="L202" s="11">
        <f t="shared" si="156"/>
        <v>0</v>
      </c>
      <c r="M202" s="12">
        <f t="shared" si="157"/>
        <v>4.3499999999999996</v>
      </c>
      <c r="N202" s="13">
        <v>0.55000000000000004</v>
      </c>
      <c r="O202" s="13">
        <f t="shared" si="158"/>
        <v>2.3925000000000001</v>
      </c>
      <c r="P202" s="13">
        <f t="shared" si="163"/>
        <v>0</v>
      </c>
      <c r="Q202" s="14">
        <f t="shared" si="159"/>
        <v>0</v>
      </c>
    </row>
    <row r="203" spans="1:25" x14ac:dyDescent="0.3">
      <c r="A203" s="250">
        <f>VLOOKUP($B203,Reporting!$BL:$CD,MATCH($A$185,Reporting!$BM$4:$CD$4,0)+1,FALSE)</f>
        <v>0</v>
      </c>
      <c r="B203" s="266" t="s">
        <v>395</v>
      </c>
      <c r="C203" s="97">
        <v>5.96</v>
      </c>
      <c r="D203" s="6">
        <v>0.61</v>
      </c>
      <c r="E203" s="7">
        <f t="shared" si="153"/>
        <v>3.6355999999999997</v>
      </c>
      <c r="F203" s="7">
        <f t="shared" si="160"/>
        <v>0</v>
      </c>
      <c r="G203" s="8">
        <f t="shared" si="154"/>
        <v>0</v>
      </c>
      <c r="H203" s="9">
        <f t="shared" si="161"/>
        <v>5.96</v>
      </c>
      <c r="I203" s="10">
        <v>0.61</v>
      </c>
      <c r="J203" s="10">
        <f t="shared" si="155"/>
        <v>3.6355999999999997</v>
      </c>
      <c r="K203" s="10">
        <f t="shared" si="162"/>
        <v>0</v>
      </c>
      <c r="L203" s="11">
        <f t="shared" si="156"/>
        <v>0</v>
      </c>
      <c r="M203" s="12">
        <f t="shared" si="157"/>
        <v>5.96</v>
      </c>
      <c r="N203" s="13">
        <v>0.55000000000000004</v>
      </c>
      <c r="O203" s="13">
        <f t="shared" si="158"/>
        <v>3.278</v>
      </c>
      <c r="P203" s="13">
        <f t="shared" si="163"/>
        <v>0</v>
      </c>
      <c r="Q203" s="14">
        <f t="shared" si="159"/>
        <v>0</v>
      </c>
    </row>
    <row r="204" spans="1:25" x14ac:dyDescent="0.3">
      <c r="A204" s="250">
        <f>VLOOKUP($B204,Reporting!$BL:$CD,MATCH($A$185,Reporting!$BM$4:$CD$4,0)+1,FALSE)</f>
        <v>0</v>
      </c>
      <c r="B204" s="266" t="s">
        <v>396</v>
      </c>
      <c r="C204" s="97">
        <v>8.26</v>
      </c>
      <c r="D204" s="6">
        <v>0.61</v>
      </c>
      <c r="E204" s="7">
        <f t="shared" si="153"/>
        <v>5.0385999999999997</v>
      </c>
      <c r="F204" s="7">
        <f t="shared" si="160"/>
        <v>0</v>
      </c>
      <c r="G204" s="8">
        <f t="shared" si="154"/>
        <v>0</v>
      </c>
      <c r="H204" s="9">
        <f t="shared" si="161"/>
        <v>8.26</v>
      </c>
      <c r="I204" s="10">
        <v>0.61</v>
      </c>
      <c r="J204" s="10">
        <f t="shared" si="155"/>
        <v>5.0385999999999997</v>
      </c>
      <c r="K204" s="10">
        <f t="shared" si="162"/>
        <v>0</v>
      </c>
      <c r="L204" s="11">
        <f t="shared" si="156"/>
        <v>0</v>
      </c>
      <c r="M204" s="12">
        <f t="shared" si="157"/>
        <v>8.26</v>
      </c>
      <c r="N204" s="13">
        <v>0.55000000000000004</v>
      </c>
      <c r="O204" s="13">
        <f t="shared" si="158"/>
        <v>4.5430000000000001</v>
      </c>
      <c r="P204" s="13">
        <f t="shared" si="163"/>
        <v>0</v>
      </c>
      <c r="Q204" s="14">
        <f t="shared" si="159"/>
        <v>0</v>
      </c>
      <c r="T204" s="598" t="s">
        <v>210</v>
      </c>
      <c r="U204" s="598"/>
      <c r="V204" s="598"/>
      <c r="W204" s="681" t="s">
        <v>210</v>
      </c>
      <c r="X204" s="681"/>
      <c r="Y204" s="681"/>
    </row>
    <row r="205" spans="1:25" ht="15" thickBot="1" x14ac:dyDescent="0.35">
      <c r="A205" s="3">
        <f>SUM(A198:A204)</f>
        <v>0</v>
      </c>
      <c r="B205" s="4"/>
      <c r="C205" s="4"/>
      <c r="D205" s="644" t="s">
        <v>9</v>
      </c>
      <c r="E205" s="645"/>
      <c r="F205" s="645"/>
      <c r="G205" s="16">
        <f>SUM(G198:G204)</f>
        <v>0</v>
      </c>
      <c r="H205" s="1"/>
      <c r="I205" s="646" t="s">
        <v>10</v>
      </c>
      <c r="J205" s="646"/>
      <c r="K205" s="646"/>
      <c r="L205" s="17">
        <f>SUM(L198:L204)</f>
        <v>0</v>
      </c>
      <c r="M205" s="15"/>
      <c r="N205" s="647" t="s">
        <v>11</v>
      </c>
      <c r="O205" s="647"/>
      <c r="P205" s="647"/>
      <c r="Q205" s="18">
        <f>SUM(Q198:Q204)</f>
        <v>0</v>
      </c>
      <c r="T205" s="664">
        <f>Q194+Q205+Q217+Q228+Q239+Q250</f>
        <v>0</v>
      </c>
      <c r="U205" s="665"/>
      <c r="V205" s="665"/>
      <c r="W205" s="682">
        <f>L194+L205+L217+L228+L239+L250</f>
        <v>0</v>
      </c>
      <c r="X205" s="683"/>
      <c r="Y205" s="683"/>
    </row>
    <row r="206" spans="1:25" ht="15" thickBot="1" x14ac:dyDescent="0.35">
      <c r="T206" s="665"/>
      <c r="U206" s="665"/>
      <c r="V206" s="665"/>
      <c r="W206" s="683"/>
      <c r="X206" s="683"/>
      <c r="Y206" s="683"/>
    </row>
    <row r="207" spans="1:25" ht="15" customHeight="1" x14ac:dyDescent="0.3">
      <c r="A207" s="689" t="s">
        <v>205</v>
      </c>
      <c r="B207" s="689"/>
      <c r="C207" s="689"/>
      <c r="D207" s="689"/>
      <c r="E207" s="689"/>
      <c r="F207" s="689"/>
      <c r="G207" s="689"/>
      <c r="H207" s="689"/>
      <c r="I207" s="122"/>
      <c r="J207" s="122"/>
      <c r="K207" s="122"/>
      <c r="L207" s="730" t="s">
        <v>106</v>
      </c>
      <c r="M207" s="730"/>
      <c r="N207" s="730"/>
      <c r="O207" s="730"/>
      <c r="P207" s="730"/>
      <c r="Q207" s="5"/>
      <c r="T207" s="665"/>
      <c r="U207" s="665"/>
      <c r="V207" s="665"/>
      <c r="W207" s="683"/>
      <c r="X207" s="683"/>
      <c r="Y207" s="683"/>
    </row>
    <row r="208" spans="1:25" ht="15" customHeight="1" x14ac:dyDescent="0.3">
      <c r="A208" s="690"/>
      <c r="B208" s="690"/>
      <c r="C208" s="690"/>
      <c r="D208" s="690"/>
      <c r="E208" s="690"/>
      <c r="F208" s="690"/>
      <c r="G208" s="690"/>
      <c r="H208" s="690"/>
      <c r="I208" s="123"/>
      <c r="J208" s="123"/>
      <c r="K208" s="123"/>
      <c r="L208" s="732"/>
      <c r="M208" s="732"/>
      <c r="N208" s="732"/>
      <c r="O208" s="732"/>
      <c r="P208" s="732"/>
      <c r="Q208" s="30"/>
      <c r="S208" s="116"/>
      <c r="T208" s="116"/>
      <c r="U208" s="116"/>
    </row>
    <row r="209" spans="1:21" x14ac:dyDescent="0.3">
      <c r="A209" s="250">
        <f>VLOOKUP($B209,Reporting!$BL:$CD,MATCH($A$207,Reporting!$BM$4:$CD$4,0)+1,FALSE)</f>
        <v>0</v>
      </c>
      <c r="B209" s="262" t="s">
        <v>390</v>
      </c>
      <c r="C209" s="114">
        <v>1.21</v>
      </c>
      <c r="D209" s="6">
        <v>0.61</v>
      </c>
      <c r="E209" s="7">
        <f>C209*D209</f>
        <v>0.73809999999999998</v>
      </c>
      <c r="F209" s="7">
        <f>A209*E209</f>
        <v>0</v>
      </c>
      <c r="G209" s="8">
        <f>F209/8</f>
        <v>0</v>
      </c>
      <c r="H209" s="9">
        <f>C209</f>
        <v>1.21</v>
      </c>
      <c r="I209" s="10">
        <v>0.61</v>
      </c>
      <c r="J209" s="10">
        <f>H209*I209</f>
        <v>0.73809999999999998</v>
      </c>
      <c r="K209" s="10">
        <f>A209*J209</f>
        <v>0</v>
      </c>
      <c r="L209" s="11">
        <f>K209/8</f>
        <v>0</v>
      </c>
      <c r="M209" s="12">
        <f>H209</f>
        <v>1.21</v>
      </c>
      <c r="N209" s="13">
        <v>0.55000000000000004</v>
      </c>
      <c r="O209" s="13">
        <f>M209*N209</f>
        <v>0.66549999999999998</v>
      </c>
      <c r="P209" s="13">
        <f>A209*O209</f>
        <v>0</v>
      </c>
      <c r="Q209" s="14">
        <f>P209/8</f>
        <v>0</v>
      </c>
    </row>
    <row r="210" spans="1:21" ht="15" customHeight="1" x14ac:dyDescent="0.3">
      <c r="A210" s="250">
        <f>VLOOKUP($B210,Reporting!$BL:$CD,MATCH($A$207,Reporting!$BM$4:$CD$4,0)+1,FALSE)</f>
        <v>0</v>
      </c>
      <c r="B210" s="266" t="s">
        <v>376</v>
      </c>
      <c r="C210" s="97">
        <v>1.35</v>
      </c>
      <c r="D210" s="6">
        <v>0.61</v>
      </c>
      <c r="E210" s="7">
        <f>C210*D210</f>
        <v>0.82350000000000001</v>
      </c>
      <c r="F210" s="7">
        <f t="shared" ref="F210:F216" si="164">A210*E210</f>
        <v>0</v>
      </c>
      <c r="G210" s="8">
        <f>F210/8</f>
        <v>0</v>
      </c>
      <c r="H210" s="9">
        <f t="shared" ref="H210:H216" si="165">C210</f>
        <v>1.35</v>
      </c>
      <c r="I210" s="10">
        <v>0.61</v>
      </c>
      <c r="J210" s="10">
        <f>H210*I210</f>
        <v>0.82350000000000001</v>
      </c>
      <c r="K210" s="10">
        <f t="shared" ref="K210:K216" si="166">A210*J210</f>
        <v>0</v>
      </c>
      <c r="L210" s="11">
        <f>K210/8</f>
        <v>0</v>
      </c>
      <c r="M210" s="12">
        <f>H210</f>
        <v>1.35</v>
      </c>
      <c r="N210" s="13">
        <v>0.55000000000000004</v>
      </c>
      <c r="O210" s="13">
        <f>M210*N210</f>
        <v>0.74250000000000016</v>
      </c>
      <c r="P210" s="13">
        <f t="shared" ref="P210:P216" si="167">A210*O210</f>
        <v>0</v>
      </c>
      <c r="Q210" s="14">
        <f>P210/8</f>
        <v>0</v>
      </c>
    </row>
    <row r="211" spans="1:21" ht="15" customHeight="1" x14ac:dyDescent="0.3">
      <c r="A211" s="250">
        <f>VLOOKUP($B211,Reporting!$BL:$CD,MATCH($A$207,Reporting!$BM$4:$CD$4,0)+1,FALSE)</f>
        <v>0</v>
      </c>
      <c r="B211" s="266" t="s">
        <v>391</v>
      </c>
      <c r="C211" s="97">
        <v>1.5</v>
      </c>
      <c r="D211" s="6">
        <v>0.61</v>
      </c>
      <c r="E211" s="7">
        <f t="shared" ref="E211:E216" si="168">C211*D211</f>
        <v>0.91500000000000004</v>
      </c>
      <c r="F211" s="7">
        <f t="shared" si="164"/>
        <v>0</v>
      </c>
      <c r="G211" s="8">
        <f t="shared" ref="G211:G216" si="169">F211/8</f>
        <v>0</v>
      </c>
      <c r="H211" s="9">
        <f t="shared" si="165"/>
        <v>1.5</v>
      </c>
      <c r="I211" s="10">
        <v>0.61</v>
      </c>
      <c r="J211" s="10">
        <f t="shared" ref="J211:J216" si="170">H211*I211</f>
        <v>0.91500000000000004</v>
      </c>
      <c r="K211" s="10">
        <f t="shared" si="166"/>
        <v>0</v>
      </c>
      <c r="L211" s="11">
        <f t="shared" ref="L211:L216" si="171">K211/8</f>
        <v>0</v>
      </c>
      <c r="M211" s="12">
        <f t="shared" ref="M211:M216" si="172">H211</f>
        <v>1.5</v>
      </c>
      <c r="N211" s="13">
        <v>0.55000000000000004</v>
      </c>
      <c r="O211" s="13">
        <f t="shared" ref="O211:O216" si="173">M211*N211</f>
        <v>0.82500000000000007</v>
      </c>
      <c r="P211" s="13">
        <f t="shared" si="167"/>
        <v>0</v>
      </c>
      <c r="Q211" s="14">
        <f t="shared" ref="Q211:Q216" si="174">P211/8</f>
        <v>0</v>
      </c>
    </row>
    <row r="212" spans="1:21" ht="15" customHeight="1" x14ac:dyDescent="0.3">
      <c r="A212" s="250">
        <f>VLOOKUP($B212,Reporting!$BL:$CD,MATCH($A$207,Reporting!$BM$4:$CD$4,0)+1,FALSE)</f>
        <v>0</v>
      </c>
      <c r="B212" s="266" t="s">
        <v>392</v>
      </c>
      <c r="C212" s="97">
        <v>2.72</v>
      </c>
      <c r="D212" s="6">
        <v>0.61</v>
      </c>
      <c r="E212" s="7">
        <f t="shared" si="168"/>
        <v>1.6592</v>
      </c>
      <c r="F212" s="7">
        <f t="shared" si="164"/>
        <v>0</v>
      </c>
      <c r="G212" s="8">
        <f t="shared" si="169"/>
        <v>0</v>
      </c>
      <c r="H212" s="9">
        <f t="shared" si="165"/>
        <v>2.72</v>
      </c>
      <c r="I212" s="10">
        <v>0.61</v>
      </c>
      <c r="J212" s="10">
        <f t="shared" si="170"/>
        <v>1.6592</v>
      </c>
      <c r="K212" s="10">
        <f t="shared" si="166"/>
        <v>0</v>
      </c>
      <c r="L212" s="11">
        <f t="shared" si="171"/>
        <v>0</v>
      </c>
      <c r="M212" s="12">
        <f t="shared" si="172"/>
        <v>2.72</v>
      </c>
      <c r="N212" s="13">
        <v>0.55000000000000004</v>
      </c>
      <c r="O212" s="13">
        <f t="shared" si="173"/>
        <v>1.4960000000000002</v>
      </c>
      <c r="P212" s="13">
        <f t="shared" si="167"/>
        <v>0</v>
      </c>
      <c r="Q212" s="14">
        <f t="shared" si="174"/>
        <v>0</v>
      </c>
    </row>
    <row r="213" spans="1:21" ht="15.75" customHeight="1" x14ac:dyDescent="0.3">
      <c r="A213" s="250">
        <f>VLOOKUP($B213,Reporting!$BL:$CD,MATCH($A$207,Reporting!$BM$4:$CD$4,0)+1,FALSE)</f>
        <v>0</v>
      </c>
      <c r="B213" s="266" t="s">
        <v>393</v>
      </c>
      <c r="C213" s="97">
        <v>3.41</v>
      </c>
      <c r="D213" s="6">
        <v>0.61</v>
      </c>
      <c r="E213" s="7">
        <f t="shared" si="168"/>
        <v>2.0800999999999998</v>
      </c>
      <c r="F213" s="7">
        <f t="shared" si="164"/>
        <v>0</v>
      </c>
      <c r="G213" s="8">
        <f t="shared" si="169"/>
        <v>0</v>
      </c>
      <c r="H213" s="9">
        <f t="shared" si="165"/>
        <v>3.41</v>
      </c>
      <c r="I213" s="10">
        <v>0.61</v>
      </c>
      <c r="J213" s="10">
        <f t="shared" si="170"/>
        <v>2.0800999999999998</v>
      </c>
      <c r="K213" s="10">
        <f t="shared" si="166"/>
        <v>0</v>
      </c>
      <c r="L213" s="11">
        <f t="shared" si="171"/>
        <v>0</v>
      </c>
      <c r="M213" s="12">
        <f t="shared" si="172"/>
        <v>3.41</v>
      </c>
      <c r="N213" s="13">
        <v>0.55000000000000004</v>
      </c>
      <c r="O213" s="13">
        <f t="shared" si="173"/>
        <v>1.8755000000000002</v>
      </c>
      <c r="P213" s="13">
        <f t="shared" si="167"/>
        <v>0</v>
      </c>
      <c r="Q213" s="14">
        <f t="shared" si="174"/>
        <v>0</v>
      </c>
    </row>
    <row r="214" spans="1:21" x14ac:dyDescent="0.3">
      <c r="A214" s="250">
        <f>VLOOKUP($B214,Reporting!$BL:$CD,MATCH($A$207,Reporting!$BM$4:$CD$4,0)+1,FALSE)</f>
        <v>0</v>
      </c>
      <c r="B214" s="266" t="s">
        <v>394</v>
      </c>
      <c r="C214" s="97">
        <v>3.93</v>
      </c>
      <c r="D214" s="6">
        <v>0.61</v>
      </c>
      <c r="E214" s="7">
        <f t="shared" si="168"/>
        <v>2.3973</v>
      </c>
      <c r="F214" s="7">
        <f t="shared" si="164"/>
        <v>0</v>
      </c>
      <c r="G214" s="8">
        <f t="shared" si="169"/>
        <v>0</v>
      </c>
      <c r="H214" s="9">
        <f t="shared" si="165"/>
        <v>3.93</v>
      </c>
      <c r="I214" s="10">
        <v>0.61</v>
      </c>
      <c r="J214" s="10">
        <f t="shared" si="170"/>
        <v>2.3973</v>
      </c>
      <c r="K214" s="10">
        <f t="shared" si="166"/>
        <v>0</v>
      </c>
      <c r="L214" s="11">
        <f t="shared" si="171"/>
        <v>0</v>
      </c>
      <c r="M214" s="12">
        <f t="shared" si="172"/>
        <v>3.93</v>
      </c>
      <c r="N214" s="13">
        <v>0.55000000000000004</v>
      </c>
      <c r="O214" s="13">
        <f t="shared" si="173"/>
        <v>2.1615000000000002</v>
      </c>
      <c r="P214" s="13">
        <f t="shared" si="167"/>
        <v>0</v>
      </c>
      <c r="Q214" s="14">
        <f t="shared" si="174"/>
        <v>0</v>
      </c>
    </row>
    <row r="215" spans="1:21" x14ac:dyDescent="0.3">
      <c r="A215" s="250">
        <f>VLOOKUP($B215,Reporting!$BL:$CD,MATCH($A$207,Reporting!$BM$4:$CD$4,0)+1,FALSE)</f>
        <v>0</v>
      </c>
      <c r="B215" s="266" t="s">
        <v>395</v>
      </c>
      <c r="C215" s="97">
        <v>5.62</v>
      </c>
      <c r="D215" s="6">
        <v>0.61</v>
      </c>
      <c r="E215" s="7">
        <f t="shared" si="168"/>
        <v>3.4281999999999999</v>
      </c>
      <c r="F215" s="7">
        <f t="shared" si="164"/>
        <v>0</v>
      </c>
      <c r="G215" s="8">
        <f t="shared" si="169"/>
        <v>0</v>
      </c>
      <c r="H215" s="9">
        <f t="shared" si="165"/>
        <v>5.62</v>
      </c>
      <c r="I215" s="10">
        <v>0.61</v>
      </c>
      <c r="J215" s="10">
        <f t="shared" si="170"/>
        <v>3.4281999999999999</v>
      </c>
      <c r="K215" s="10">
        <f t="shared" si="166"/>
        <v>0</v>
      </c>
      <c r="L215" s="11">
        <f t="shared" si="171"/>
        <v>0</v>
      </c>
      <c r="M215" s="12">
        <f t="shared" si="172"/>
        <v>5.62</v>
      </c>
      <c r="N215" s="13">
        <v>0.55000000000000004</v>
      </c>
      <c r="O215" s="13">
        <f t="shared" si="173"/>
        <v>3.0910000000000002</v>
      </c>
      <c r="P215" s="13">
        <f t="shared" si="167"/>
        <v>0</v>
      </c>
      <c r="Q215" s="14">
        <f t="shared" si="174"/>
        <v>0</v>
      </c>
    </row>
    <row r="216" spans="1:21" x14ac:dyDescent="0.3">
      <c r="A216" s="250">
        <f>VLOOKUP($B216,Reporting!$BL:$CD,MATCH($A$207,Reporting!$BM$4:$CD$4,0)+1,FALSE)</f>
        <v>0</v>
      </c>
      <c r="B216" s="266" t="s">
        <v>396</v>
      </c>
      <c r="C216" s="97">
        <v>7.81</v>
      </c>
      <c r="D216" s="6">
        <v>0.61</v>
      </c>
      <c r="E216" s="7">
        <f t="shared" si="168"/>
        <v>4.7641</v>
      </c>
      <c r="F216" s="7">
        <f t="shared" si="164"/>
        <v>0</v>
      </c>
      <c r="G216" s="8">
        <f t="shared" si="169"/>
        <v>0</v>
      </c>
      <c r="H216" s="9">
        <f t="shared" si="165"/>
        <v>7.81</v>
      </c>
      <c r="I216" s="10">
        <v>0.61</v>
      </c>
      <c r="J216" s="10">
        <f t="shared" si="170"/>
        <v>4.7641</v>
      </c>
      <c r="K216" s="10">
        <f t="shared" si="166"/>
        <v>0</v>
      </c>
      <c r="L216" s="11">
        <f t="shared" si="171"/>
        <v>0</v>
      </c>
      <c r="M216" s="12">
        <f t="shared" si="172"/>
        <v>7.81</v>
      </c>
      <c r="N216" s="13">
        <v>0.55000000000000004</v>
      </c>
      <c r="O216" s="13">
        <f t="shared" si="173"/>
        <v>4.2955000000000005</v>
      </c>
      <c r="P216" s="13">
        <f t="shared" si="167"/>
        <v>0</v>
      </c>
      <c r="Q216" s="14">
        <f t="shared" si="174"/>
        <v>0</v>
      </c>
    </row>
    <row r="217" spans="1:21" ht="15" thickBot="1" x14ac:dyDescent="0.35">
      <c r="A217" s="3">
        <f>SUM(A209:A216)</f>
        <v>0</v>
      </c>
      <c r="B217" s="4"/>
      <c r="C217" s="4"/>
      <c r="D217" s="644" t="s">
        <v>9</v>
      </c>
      <c r="E217" s="645"/>
      <c r="F217" s="645"/>
      <c r="G217" s="16">
        <f>SUM(G209:G216)</f>
        <v>0</v>
      </c>
      <c r="H217" s="1"/>
      <c r="I217" s="646" t="s">
        <v>10</v>
      </c>
      <c r="J217" s="646"/>
      <c r="K217" s="646"/>
      <c r="L217" s="17">
        <f>SUM(L209:L216)</f>
        <v>0</v>
      </c>
      <c r="M217" s="15"/>
      <c r="N217" s="647" t="s">
        <v>11</v>
      </c>
      <c r="O217" s="647"/>
      <c r="P217" s="647"/>
      <c r="Q217" s="18">
        <f>SUM(Q209:Q216)</f>
        <v>0</v>
      </c>
    </row>
    <row r="218" spans="1:21" ht="15" thickBot="1" x14ac:dyDescent="0.35"/>
    <row r="219" spans="1:21" ht="15" customHeight="1" x14ac:dyDescent="0.3">
      <c r="A219" s="689" t="s">
        <v>206</v>
      </c>
      <c r="B219" s="689"/>
      <c r="C219" s="689"/>
      <c r="D219" s="689"/>
      <c r="E219" s="689"/>
      <c r="F219" s="689"/>
      <c r="G219" s="689"/>
      <c r="H219" s="689"/>
      <c r="I219" s="122"/>
      <c r="J219" s="122"/>
      <c r="K219" s="122"/>
      <c r="L219" s="122"/>
      <c r="M219" s="730" t="s">
        <v>106</v>
      </c>
      <c r="N219" s="730"/>
      <c r="O219" s="730"/>
      <c r="P219" s="730"/>
      <c r="Q219" s="731"/>
    </row>
    <row r="220" spans="1:21" ht="15" customHeight="1" x14ac:dyDescent="0.3">
      <c r="A220" s="690"/>
      <c r="B220" s="690"/>
      <c r="C220" s="690"/>
      <c r="D220" s="690"/>
      <c r="E220" s="690"/>
      <c r="F220" s="690"/>
      <c r="G220" s="690"/>
      <c r="H220" s="690"/>
      <c r="I220" s="123"/>
      <c r="J220" s="123"/>
      <c r="K220" s="123"/>
      <c r="L220" s="123"/>
      <c r="M220" s="732"/>
      <c r="N220" s="732"/>
      <c r="O220" s="732"/>
      <c r="P220" s="732"/>
      <c r="Q220" s="733"/>
      <c r="S220" s="116"/>
      <c r="T220" s="116"/>
      <c r="U220" s="116"/>
    </row>
    <row r="221" spans="1:21" x14ac:dyDescent="0.3">
      <c r="A221" s="250">
        <f>VLOOKUP($B221,Reporting!$BL:$CD,MATCH($A$219,Reporting!$BM$4:$CD$4,0)+1,FALSE)</f>
        <v>0</v>
      </c>
      <c r="B221" s="266" t="s">
        <v>376</v>
      </c>
      <c r="C221" s="114">
        <v>1.08</v>
      </c>
      <c r="D221" s="6">
        <v>0.61</v>
      </c>
      <c r="E221" s="7">
        <f t="shared" ref="E221:E227" si="175">C221*D221</f>
        <v>0.65880000000000005</v>
      </c>
      <c r="F221" s="7">
        <f>A221*E221</f>
        <v>0</v>
      </c>
      <c r="G221" s="8">
        <f t="shared" ref="G221:G227" si="176">F221/8</f>
        <v>0</v>
      </c>
      <c r="H221" s="9">
        <f>C221</f>
        <v>1.08</v>
      </c>
      <c r="I221" s="10">
        <v>0.61</v>
      </c>
      <c r="J221" s="10">
        <f t="shared" ref="J221:J227" si="177">H221*I221</f>
        <v>0.65880000000000005</v>
      </c>
      <c r="K221" s="10">
        <f>A221*J221</f>
        <v>0</v>
      </c>
      <c r="L221" s="11">
        <f t="shared" ref="L221:L227" si="178">K221/8</f>
        <v>0</v>
      </c>
      <c r="M221" s="12">
        <f t="shared" ref="M221:M227" si="179">H221</f>
        <v>1.08</v>
      </c>
      <c r="N221" s="13">
        <v>0.55000000000000004</v>
      </c>
      <c r="O221" s="13">
        <f t="shared" ref="O221:O227" si="180">M221*N221</f>
        <v>0.59400000000000008</v>
      </c>
      <c r="P221" s="13">
        <f>A221*O221</f>
        <v>0</v>
      </c>
      <c r="Q221" s="14">
        <f t="shared" ref="Q221:Q227" si="181">P221/8</f>
        <v>0</v>
      </c>
    </row>
    <row r="222" spans="1:21" ht="15" customHeight="1" x14ac:dyDescent="0.3">
      <c r="A222" s="250">
        <f>VLOOKUP($B222,Reporting!$BL:$CD,MATCH($A$219,Reporting!$BM$4:$CD$4,0)+1,FALSE)</f>
        <v>0</v>
      </c>
      <c r="B222" s="266" t="s">
        <v>391</v>
      </c>
      <c r="C222" s="97">
        <v>1.25</v>
      </c>
      <c r="D222" s="6">
        <v>0.61</v>
      </c>
      <c r="E222" s="7">
        <f t="shared" si="175"/>
        <v>0.76249999999999996</v>
      </c>
      <c r="F222" s="7">
        <f t="shared" ref="F222:F227" si="182">A222*E222</f>
        <v>0</v>
      </c>
      <c r="G222" s="8">
        <f t="shared" si="176"/>
        <v>0</v>
      </c>
      <c r="H222" s="9">
        <f t="shared" ref="H222:H227" si="183">C222</f>
        <v>1.25</v>
      </c>
      <c r="I222" s="10">
        <v>0.61</v>
      </c>
      <c r="J222" s="10">
        <f t="shared" si="177"/>
        <v>0.76249999999999996</v>
      </c>
      <c r="K222" s="10">
        <f t="shared" ref="K222:K227" si="184">A222*J222</f>
        <v>0</v>
      </c>
      <c r="L222" s="11">
        <f t="shared" si="178"/>
        <v>0</v>
      </c>
      <c r="M222" s="12">
        <f t="shared" si="179"/>
        <v>1.25</v>
      </c>
      <c r="N222" s="13">
        <v>0.55000000000000004</v>
      </c>
      <c r="O222" s="13">
        <f t="shared" si="180"/>
        <v>0.6875</v>
      </c>
      <c r="P222" s="13">
        <f t="shared" ref="P222:P227" si="185">A222*O222</f>
        <v>0</v>
      </c>
      <c r="Q222" s="14">
        <f t="shared" si="181"/>
        <v>0</v>
      </c>
    </row>
    <row r="223" spans="1:21" ht="15" customHeight="1" x14ac:dyDescent="0.3">
      <c r="A223" s="250">
        <f>VLOOKUP($B223,Reporting!$BL:$CD,MATCH($A$219,Reporting!$BM$4:$CD$4,0)+1,FALSE)</f>
        <v>0</v>
      </c>
      <c r="B223" s="266" t="s">
        <v>392</v>
      </c>
      <c r="C223" s="97">
        <v>1.5</v>
      </c>
      <c r="D223" s="6">
        <v>0.61</v>
      </c>
      <c r="E223" s="7">
        <f t="shared" si="175"/>
        <v>0.91500000000000004</v>
      </c>
      <c r="F223" s="7">
        <f t="shared" si="182"/>
        <v>0</v>
      </c>
      <c r="G223" s="8">
        <f t="shared" si="176"/>
        <v>0</v>
      </c>
      <c r="H223" s="9">
        <f t="shared" si="183"/>
        <v>1.5</v>
      </c>
      <c r="I223" s="10">
        <v>0.61</v>
      </c>
      <c r="J223" s="10">
        <f t="shared" si="177"/>
        <v>0.91500000000000004</v>
      </c>
      <c r="K223" s="10">
        <f t="shared" si="184"/>
        <v>0</v>
      </c>
      <c r="L223" s="11">
        <f t="shared" si="178"/>
        <v>0</v>
      </c>
      <c r="M223" s="12">
        <f t="shared" si="179"/>
        <v>1.5</v>
      </c>
      <c r="N223" s="13">
        <v>0.55000000000000004</v>
      </c>
      <c r="O223" s="13">
        <f t="shared" si="180"/>
        <v>0.82500000000000007</v>
      </c>
      <c r="P223" s="13">
        <f t="shared" si="185"/>
        <v>0</v>
      </c>
      <c r="Q223" s="14">
        <f t="shared" si="181"/>
        <v>0</v>
      </c>
    </row>
    <row r="224" spans="1:21" ht="15" customHeight="1" x14ac:dyDescent="0.3">
      <c r="A224" s="250">
        <f>VLOOKUP($B224,Reporting!$BL:$CD,MATCH($A$219,Reporting!$BM$4:$CD$4,0)+1,FALSE)</f>
        <v>0</v>
      </c>
      <c r="B224" s="266" t="s">
        <v>393</v>
      </c>
      <c r="C224" s="97">
        <v>2.17</v>
      </c>
      <c r="D224" s="6">
        <v>0.61</v>
      </c>
      <c r="E224" s="7">
        <f t="shared" si="175"/>
        <v>1.3236999999999999</v>
      </c>
      <c r="F224" s="7">
        <f t="shared" si="182"/>
        <v>0</v>
      </c>
      <c r="G224" s="8">
        <f t="shared" si="176"/>
        <v>0</v>
      </c>
      <c r="H224" s="9">
        <f t="shared" si="183"/>
        <v>2.17</v>
      </c>
      <c r="I224" s="10">
        <v>0.61</v>
      </c>
      <c r="J224" s="10">
        <f t="shared" si="177"/>
        <v>1.3236999999999999</v>
      </c>
      <c r="K224" s="10">
        <f t="shared" si="184"/>
        <v>0</v>
      </c>
      <c r="L224" s="11">
        <f t="shared" si="178"/>
        <v>0</v>
      </c>
      <c r="M224" s="12">
        <f t="shared" si="179"/>
        <v>2.17</v>
      </c>
      <c r="N224" s="13">
        <v>0.55000000000000004</v>
      </c>
      <c r="O224" s="13">
        <f t="shared" si="180"/>
        <v>1.1935</v>
      </c>
      <c r="P224" s="13">
        <f t="shared" si="185"/>
        <v>0</v>
      </c>
      <c r="Q224" s="14">
        <f t="shared" si="181"/>
        <v>0</v>
      </c>
    </row>
    <row r="225" spans="1:21" ht="15.75" customHeight="1" x14ac:dyDescent="0.3">
      <c r="A225" s="250">
        <f>VLOOKUP($B225,Reporting!$BL:$CD,MATCH($A$219,Reporting!$BM$4:$CD$4,0)+1,FALSE)</f>
        <v>0</v>
      </c>
      <c r="B225" s="266" t="s">
        <v>394</v>
      </c>
      <c r="C225" s="97">
        <v>2.61</v>
      </c>
      <c r="D225" s="6">
        <v>0.61</v>
      </c>
      <c r="E225" s="7">
        <f t="shared" si="175"/>
        <v>1.5920999999999998</v>
      </c>
      <c r="F225" s="7">
        <f t="shared" si="182"/>
        <v>0</v>
      </c>
      <c r="G225" s="8">
        <f t="shared" si="176"/>
        <v>0</v>
      </c>
      <c r="H225" s="9">
        <f t="shared" si="183"/>
        <v>2.61</v>
      </c>
      <c r="I225" s="10">
        <v>0.61</v>
      </c>
      <c r="J225" s="10">
        <f t="shared" si="177"/>
        <v>1.5920999999999998</v>
      </c>
      <c r="K225" s="10">
        <f t="shared" si="184"/>
        <v>0</v>
      </c>
      <c r="L225" s="11">
        <f t="shared" si="178"/>
        <v>0</v>
      </c>
      <c r="M225" s="12">
        <f t="shared" si="179"/>
        <v>2.61</v>
      </c>
      <c r="N225" s="13">
        <v>0.55000000000000004</v>
      </c>
      <c r="O225" s="13">
        <f t="shared" si="180"/>
        <v>1.4355</v>
      </c>
      <c r="P225" s="13">
        <f t="shared" si="185"/>
        <v>0</v>
      </c>
      <c r="Q225" s="14">
        <f t="shared" si="181"/>
        <v>0</v>
      </c>
    </row>
    <row r="226" spans="1:21" x14ac:dyDescent="0.3">
      <c r="A226" s="250">
        <f>VLOOKUP($B226,Reporting!$BL:$CD,MATCH($A$219,Reporting!$BM$4:$CD$4,0)+1,FALSE)</f>
        <v>0</v>
      </c>
      <c r="B226" s="266" t="s">
        <v>395</v>
      </c>
      <c r="C226" s="97">
        <v>3.68</v>
      </c>
      <c r="D226" s="6">
        <v>0.61</v>
      </c>
      <c r="E226" s="7">
        <f t="shared" si="175"/>
        <v>2.2448000000000001</v>
      </c>
      <c r="F226" s="7">
        <f t="shared" si="182"/>
        <v>0</v>
      </c>
      <c r="G226" s="8">
        <f t="shared" si="176"/>
        <v>0</v>
      </c>
      <c r="H226" s="9">
        <f t="shared" si="183"/>
        <v>3.68</v>
      </c>
      <c r="I226" s="10">
        <v>0.61</v>
      </c>
      <c r="J226" s="10">
        <f t="shared" si="177"/>
        <v>2.2448000000000001</v>
      </c>
      <c r="K226" s="10">
        <f t="shared" si="184"/>
        <v>0</v>
      </c>
      <c r="L226" s="11">
        <f t="shared" si="178"/>
        <v>0</v>
      </c>
      <c r="M226" s="12">
        <f t="shared" si="179"/>
        <v>3.68</v>
      </c>
      <c r="N226" s="13">
        <v>0.55000000000000004</v>
      </c>
      <c r="O226" s="13">
        <f t="shared" si="180"/>
        <v>2.0240000000000005</v>
      </c>
      <c r="P226" s="13">
        <f t="shared" si="185"/>
        <v>0</v>
      </c>
      <c r="Q226" s="14">
        <f t="shared" si="181"/>
        <v>0</v>
      </c>
    </row>
    <row r="227" spans="1:21" x14ac:dyDescent="0.3">
      <c r="A227" s="250">
        <f>VLOOKUP($B227,Reporting!$BL:$CD,MATCH($A$219,Reporting!$BM$4:$CD$4,0)+1,FALSE)</f>
        <v>0</v>
      </c>
      <c r="B227" s="266" t="s">
        <v>396</v>
      </c>
      <c r="C227" s="97">
        <v>4.7300000000000004</v>
      </c>
      <c r="D227" s="6">
        <v>0.61</v>
      </c>
      <c r="E227" s="7">
        <f t="shared" si="175"/>
        <v>2.8853</v>
      </c>
      <c r="F227" s="7">
        <f t="shared" si="182"/>
        <v>0</v>
      </c>
      <c r="G227" s="8">
        <f t="shared" si="176"/>
        <v>0</v>
      </c>
      <c r="H227" s="9">
        <f t="shared" si="183"/>
        <v>4.7300000000000004</v>
      </c>
      <c r="I227" s="10">
        <v>0.61</v>
      </c>
      <c r="J227" s="10">
        <f t="shared" si="177"/>
        <v>2.8853</v>
      </c>
      <c r="K227" s="10">
        <f t="shared" si="184"/>
        <v>0</v>
      </c>
      <c r="L227" s="11">
        <f t="shared" si="178"/>
        <v>0</v>
      </c>
      <c r="M227" s="12">
        <f t="shared" si="179"/>
        <v>4.7300000000000004</v>
      </c>
      <c r="N227" s="13">
        <v>0.55000000000000004</v>
      </c>
      <c r="O227" s="13">
        <f t="shared" si="180"/>
        <v>2.6015000000000006</v>
      </c>
      <c r="P227" s="13">
        <f t="shared" si="185"/>
        <v>0</v>
      </c>
      <c r="Q227" s="14">
        <f t="shared" si="181"/>
        <v>0</v>
      </c>
    </row>
    <row r="228" spans="1:21" ht="15" thickBot="1" x14ac:dyDescent="0.35">
      <c r="A228" s="3">
        <f>SUM(A221:A227)</f>
        <v>0</v>
      </c>
      <c r="B228" s="4"/>
      <c r="C228" s="4"/>
      <c r="D228" s="644" t="s">
        <v>9</v>
      </c>
      <c r="E228" s="645"/>
      <c r="F228" s="645"/>
      <c r="G228" s="16">
        <f>SUM(G221:G227)</f>
        <v>0</v>
      </c>
      <c r="H228" s="1"/>
      <c r="I228" s="646" t="s">
        <v>10</v>
      </c>
      <c r="J228" s="646"/>
      <c r="K228" s="646"/>
      <c r="L228" s="17">
        <f>SUM(L221:L227)</f>
        <v>0</v>
      </c>
      <c r="M228" s="15"/>
      <c r="N228" s="647" t="s">
        <v>11</v>
      </c>
      <c r="O228" s="647"/>
      <c r="P228" s="647"/>
      <c r="Q228" s="18">
        <f>SUM(Q221:Q227)</f>
        <v>0</v>
      </c>
    </row>
    <row r="229" spans="1:21" ht="15" thickBot="1" x14ac:dyDescent="0.35"/>
    <row r="230" spans="1:21" ht="15" customHeight="1" x14ac:dyDescent="0.3">
      <c r="A230" s="689" t="s">
        <v>207</v>
      </c>
      <c r="B230" s="689"/>
      <c r="C230" s="689"/>
      <c r="D230" s="689"/>
      <c r="E230" s="689"/>
      <c r="F230" s="689"/>
      <c r="G230" s="689"/>
      <c r="H230" s="122"/>
      <c r="I230" s="122"/>
      <c r="J230" s="122"/>
      <c r="K230" s="122"/>
      <c r="L230" s="730" t="s">
        <v>107</v>
      </c>
      <c r="M230" s="730"/>
      <c r="N230" s="730"/>
      <c r="O230" s="730"/>
      <c r="P230" s="730"/>
      <c r="Q230" s="5"/>
    </row>
    <row r="231" spans="1:21" ht="15" customHeight="1" x14ac:dyDescent="0.3">
      <c r="A231" s="690"/>
      <c r="B231" s="690"/>
      <c r="C231" s="690"/>
      <c r="D231" s="690"/>
      <c r="E231" s="690"/>
      <c r="F231" s="690"/>
      <c r="G231" s="690"/>
      <c r="H231" s="123"/>
      <c r="I231" s="123"/>
      <c r="J231" s="123"/>
      <c r="K231" s="123"/>
      <c r="L231" s="732"/>
      <c r="M231" s="732"/>
      <c r="N231" s="732"/>
      <c r="O231" s="732"/>
      <c r="P231" s="732"/>
      <c r="Q231" s="30"/>
      <c r="S231" s="116"/>
      <c r="T231" s="116"/>
      <c r="U231" s="116"/>
    </row>
    <row r="232" spans="1:21" x14ac:dyDescent="0.3">
      <c r="A232" s="250">
        <f>VLOOKUP($B232,Reporting!$BL:$CD,MATCH($A$230,Reporting!$BM$4:$CD$4,0)+1,FALSE)</f>
        <v>0</v>
      </c>
      <c r="B232" s="266" t="s">
        <v>376</v>
      </c>
      <c r="C232" s="97">
        <v>1.0900000000000001</v>
      </c>
      <c r="D232" s="6">
        <v>0.61</v>
      </c>
      <c r="E232" s="7">
        <f>C232*D232</f>
        <v>0.66490000000000005</v>
      </c>
      <c r="F232" s="7">
        <f t="shared" ref="F232:F238" si="186">A232*E232</f>
        <v>0</v>
      </c>
      <c r="G232" s="8">
        <f>F232/8</f>
        <v>0</v>
      </c>
      <c r="H232" s="9">
        <f t="shared" ref="H232:H238" si="187">C232</f>
        <v>1.0900000000000001</v>
      </c>
      <c r="I232" s="10">
        <v>0.61</v>
      </c>
      <c r="J232" s="10">
        <f>H232*I232</f>
        <v>0.66490000000000005</v>
      </c>
      <c r="K232" s="10">
        <f t="shared" ref="K232:K238" si="188">A232*J232</f>
        <v>0</v>
      </c>
      <c r="L232" s="11">
        <f>K232/8</f>
        <v>0</v>
      </c>
      <c r="M232" s="12">
        <f>H232</f>
        <v>1.0900000000000001</v>
      </c>
      <c r="N232" s="13">
        <v>0.55000000000000004</v>
      </c>
      <c r="O232" s="13">
        <f>M232*N232</f>
        <v>0.59950000000000014</v>
      </c>
      <c r="P232" s="13">
        <f t="shared" ref="P232:P238" si="189">A232*O232</f>
        <v>0</v>
      </c>
      <c r="Q232" s="14">
        <f>P232/8</f>
        <v>0</v>
      </c>
    </row>
    <row r="233" spans="1:21" ht="15" customHeight="1" x14ac:dyDescent="0.3">
      <c r="A233" s="250">
        <f>VLOOKUP($B233,Reporting!$BL:$CD,MATCH($A$230,Reporting!$BM$4:$CD$4,0)+1,FALSE)</f>
        <v>0</v>
      </c>
      <c r="B233" s="266" t="s">
        <v>391</v>
      </c>
      <c r="C233" s="97">
        <v>1.32</v>
      </c>
      <c r="D233" s="6">
        <v>0.61</v>
      </c>
      <c r="E233" s="7">
        <f t="shared" ref="E233:E238" si="190">C233*D233</f>
        <v>0.80520000000000003</v>
      </c>
      <c r="F233" s="7">
        <f t="shared" si="186"/>
        <v>0</v>
      </c>
      <c r="G233" s="8">
        <f t="shared" ref="G233:G238" si="191">F233/8</f>
        <v>0</v>
      </c>
      <c r="H233" s="9">
        <f t="shared" si="187"/>
        <v>1.32</v>
      </c>
      <c r="I233" s="10">
        <v>0.61</v>
      </c>
      <c r="J233" s="10">
        <f t="shared" ref="J233:J238" si="192">H233*I233</f>
        <v>0.80520000000000003</v>
      </c>
      <c r="K233" s="10">
        <f t="shared" si="188"/>
        <v>0</v>
      </c>
      <c r="L233" s="11">
        <f t="shared" ref="L233:L238" si="193">K233/8</f>
        <v>0</v>
      </c>
      <c r="M233" s="12">
        <f t="shared" ref="M233:M238" si="194">H233</f>
        <v>1.32</v>
      </c>
      <c r="N233" s="13">
        <v>0.55000000000000004</v>
      </c>
      <c r="O233" s="13">
        <f t="shared" ref="O233:O238" si="195">M233*N233</f>
        <v>0.72600000000000009</v>
      </c>
      <c r="P233" s="13">
        <f t="shared" si="189"/>
        <v>0</v>
      </c>
      <c r="Q233" s="14">
        <f t="shared" ref="Q233:Q238" si="196">P233/8</f>
        <v>0</v>
      </c>
    </row>
    <row r="234" spans="1:21" ht="15" customHeight="1" x14ac:dyDescent="0.3">
      <c r="A234" s="250">
        <f>VLOOKUP($B234,Reporting!$BL:$CD,MATCH($A$230,Reporting!$BM$4:$CD$4,0)+1,FALSE)</f>
        <v>0</v>
      </c>
      <c r="B234" s="266" t="s">
        <v>392</v>
      </c>
      <c r="C234" s="97">
        <v>1.85</v>
      </c>
      <c r="D234" s="6">
        <v>0.61</v>
      </c>
      <c r="E234" s="7">
        <f t="shared" si="190"/>
        <v>1.1285000000000001</v>
      </c>
      <c r="F234" s="7">
        <f t="shared" si="186"/>
        <v>0</v>
      </c>
      <c r="G234" s="8">
        <f t="shared" si="191"/>
        <v>0</v>
      </c>
      <c r="H234" s="9">
        <f t="shared" si="187"/>
        <v>1.85</v>
      </c>
      <c r="I234" s="10">
        <v>0.61</v>
      </c>
      <c r="J234" s="10">
        <f t="shared" si="192"/>
        <v>1.1285000000000001</v>
      </c>
      <c r="K234" s="10">
        <f t="shared" si="188"/>
        <v>0</v>
      </c>
      <c r="L234" s="11">
        <f t="shared" si="193"/>
        <v>0</v>
      </c>
      <c r="M234" s="12">
        <f t="shared" si="194"/>
        <v>1.85</v>
      </c>
      <c r="N234" s="13">
        <v>0.55000000000000004</v>
      </c>
      <c r="O234" s="13">
        <f t="shared" si="195"/>
        <v>1.0175000000000001</v>
      </c>
      <c r="P234" s="13">
        <f t="shared" si="189"/>
        <v>0</v>
      </c>
      <c r="Q234" s="14">
        <f t="shared" si="196"/>
        <v>0</v>
      </c>
    </row>
    <row r="235" spans="1:21" ht="15.75" customHeight="1" x14ac:dyDescent="0.3">
      <c r="A235" s="250">
        <f>VLOOKUP($B235,Reporting!$BL:$CD,MATCH($A$230,Reporting!$BM$4:$CD$4,0)+1,FALSE)</f>
        <v>0</v>
      </c>
      <c r="B235" s="266" t="s">
        <v>393</v>
      </c>
      <c r="C235" s="97">
        <v>2.4900000000000002</v>
      </c>
      <c r="D235" s="6">
        <v>0.61</v>
      </c>
      <c r="E235" s="7">
        <f t="shared" si="190"/>
        <v>1.5189000000000001</v>
      </c>
      <c r="F235" s="7">
        <f t="shared" si="186"/>
        <v>0</v>
      </c>
      <c r="G235" s="8">
        <f t="shared" si="191"/>
        <v>0</v>
      </c>
      <c r="H235" s="9">
        <f t="shared" si="187"/>
        <v>2.4900000000000002</v>
      </c>
      <c r="I235" s="10">
        <v>0.61</v>
      </c>
      <c r="J235" s="10">
        <f t="shared" si="192"/>
        <v>1.5189000000000001</v>
      </c>
      <c r="K235" s="10">
        <f t="shared" si="188"/>
        <v>0</v>
      </c>
      <c r="L235" s="11">
        <f t="shared" si="193"/>
        <v>0</v>
      </c>
      <c r="M235" s="12">
        <f t="shared" si="194"/>
        <v>2.4900000000000002</v>
      </c>
      <c r="N235" s="13">
        <v>0.55000000000000004</v>
      </c>
      <c r="O235" s="13">
        <f t="shared" si="195"/>
        <v>1.3695000000000002</v>
      </c>
      <c r="P235" s="13">
        <f t="shared" si="189"/>
        <v>0</v>
      </c>
      <c r="Q235" s="14">
        <f t="shared" si="196"/>
        <v>0</v>
      </c>
    </row>
    <row r="236" spans="1:21" x14ac:dyDescent="0.3">
      <c r="A236" s="250">
        <f>VLOOKUP($B236,Reporting!$BL:$CD,MATCH($A$230,Reporting!$BM$4:$CD$4,0)+1,FALSE)</f>
        <v>0</v>
      </c>
      <c r="B236" s="266" t="s">
        <v>394</v>
      </c>
      <c r="C236" s="97">
        <v>3.13</v>
      </c>
      <c r="D236" s="6">
        <v>0.61</v>
      </c>
      <c r="E236" s="7">
        <f t="shared" si="190"/>
        <v>1.9093</v>
      </c>
      <c r="F236" s="7">
        <f t="shared" si="186"/>
        <v>0</v>
      </c>
      <c r="G236" s="8">
        <f t="shared" si="191"/>
        <v>0</v>
      </c>
      <c r="H236" s="9">
        <f t="shared" si="187"/>
        <v>3.13</v>
      </c>
      <c r="I236" s="10">
        <v>0.61</v>
      </c>
      <c r="J236" s="10">
        <f t="shared" si="192"/>
        <v>1.9093</v>
      </c>
      <c r="K236" s="10">
        <f t="shared" si="188"/>
        <v>0</v>
      </c>
      <c r="L236" s="11">
        <f t="shared" si="193"/>
        <v>0</v>
      </c>
      <c r="M236" s="12">
        <f t="shared" si="194"/>
        <v>3.13</v>
      </c>
      <c r="N236" s="13">
        <v>0.55000000000000004</v>
      </c>
      <c r="O236" s="13">
        <f t="shared" si="195"/>
        <v>1.7215</v>
      </c>
      <c r="P236" s="13">
        <f t="shared" si="189"/>
        <v>0</v>
      </c>
      <c r="Q236" s="14">
        <f t="shared" si="196"/>
        <v>0</v>
      </c>
    </row>
    <row r="237" spans="1:21" x14ac:dyDescent="0.3">
      <c r="A237" s="250">
        <f>VLOOKUP($B237,Reporting!$BL:$CD,MATCH($A$230,Reporting!$BM$4:$CD$4,0)+1,FALSE)</f>
        <v>0</v>
      </c>
      <c r="B237" s="266" t="s">
        <v>395</v>
      </c>
      <c r="C237" s="97">
        <v>3.76</v>
      </c>
      <c r="D237" s="6">
        <v>0.61</v>
      </c>
      <c r="E237" s="7">
        <f t="shared" si="190"/>
        <v>2.2935999999999996</v>
      </c>
      <c r="F237" s="7">
        <f t="shared" si="186"/>
        <v>0</v>
      </c>
      <c r="G237" s="8">
        <f t="shared" si="191"/>
        <v>0</v>
      </c>
      <c r="H237" s="9">
        <f t="shared" si="187"/>
        <v>3.76</v>
      </c>
      <c r="I237" s="10">
        <v>0.61</v>
      </c>
      <c r="J237" s="10">
        <f t="shared" si="192"/>
        <v>2.2935999999999996</v>
      </c>
      <c r="K237" s="10">
        <f t="shared" si="188"/>
        <v>0</v>
      </c>
      <c r="L237" s="11">
        <f t="shared" si="193"/>
        <v>0</v>
      </c>
      <c r="M237" s="12">
        <f t="shared" si="194"/>
        <v>3.76</v>
      </c>
      <c r="N237" s="13">
        <v>0.55000000000000004</v>
      </c>
      <c r="O237" s="13">
        <f t="shared" si="195"/>
        <v>2.0680000000000001</v>
      </c>
      <c r="P237" s="13">
        <f t="shared" si="189"/>
        <v>0</v>
      </c>
      <c r="Q237" s="14">
        <f t="shared" si="196"/>
        <v>0</v>
      </c>
    </row>
    <row r="238" spans="1:21" x14ac:dyDescent="0.3">
      <c r="A238" s="250">
        <f>VLOOKUP($B238,Reporting!$BL:$CD,MATCH($A$230,Reporting!$BM$4:$CD$4,0)+1,FALSE)</f>
        <v>0</v>
      </c>
      <c r="B238" s="266" t="s">
        <v>396</v>
      </c>
      <c r="C238" s="97">
        <v>4.8</v>
      </c>
      <c r="D238" s="6">
        <v>0.61</v>
      </c>
      <c r="E238" s="7">
        <f t="shared" si="190"/>
        <v>2.9279999999999999</v>
      </c>
      <c r="F238" s="7">
        <f t="shared" si="186"/>
        <v>0</v>
      </c>
      <c r="G238" s="8">
        <f t="shared" si="191"/>
        <v>0</v>
      </c>
      <c r="H238" s="9">
        <f t="shared" si="187"/>
        <v>4.8</v>
      </c>
      <c r="I238" s="10">
        <v>0.61</v>
      </c>
      <c r="J238" s="10">
        <f t="shared" si="192"/>
        <v>2.9279999999999999</v>
      </c>
      <c r="K238" s="10">
        <f t="shared" si="188"/>
        <v>0</v>
      </c>
      <c r="L238" s="11">
        <f t="shared" si="193"/>
        <v>0</v>
      </c>
      <c r="M238" s="12">
        <f t="shared" si="194"/>
        <v>4.8</v>
      </c>
      <c r="N238" s="13">
        <v>0.55000000000000004</v>
      </c>
      <c r="O238" s="13">
        <f t="shared" si="195"/>
        <v>2.64</v>
      </c>
      <c r="P238" s="13">
        <f t="shared" si="189"/>
        <v>0</v>
      </c>
      <c r="Q238" s="14">
        <f t="shared" si="196"/>
        <v>0</v>
      </c>
    </row>
    <row r="239" spans="1:21" ht="15" thickBot="1" x14ac:dyDescent="0.35">
      <c r="A239" s="3">
        <f>SUM(A232:A238)</f>
        <v>0</v>
      </c>
      <c r="B239" s="4"/>
      <c r="C239" s="4"/>
      <c r="D239" s="644" t="s">
        <v>9</v>
      </c>
      <c r="E239" s="645"/>
      <c r="F239" s="645"/>
      <c r="G239" s="16">
        <f>SUM(G232:G238)</f>
        <v>0</v>
      </c>
      <c r="H239" s="1"/>
      <c r="I239" s="646" t="s">
        <v>10</v>
      </c>
      <c r="J239" s="646"/>
      <c r="K239" s="646"/>
      <c r="L239" s="17">
        <f>SUM(L232:L238)</f>
        <v>0</v>
      </c>
      <c r="M239" s="15"/>
      <c r="N239" s="647" t="s">
        <v>11</v>
      </c>
      <c r="O239" s="647"/>
      <c r="P239" s="647"/>
      <c r="Q239" s="18">
        <f>SUM(Q232:Q238)</f>
        <v>0</v>
      </c>
    </row>
    <row r="240" spans="1:21" ht="15" thickBot="1" x14ac:dyDescent="0.35"/>
    <row r="241" spans="1:21" ht="15" customHeight="1" x14ac:dyDescent="0.3">
      <c r="A241" s="689" t="s">
        <v>208</v>
      </c>
      <c r="B241" s="689"/>
      <c r="C241" s="689"/>
      <c r="D241" s="689"/>
      <c r="E241" s="689"/>
      <c r="F241" s="689"/>
      <c r="G241" s="122"/>
      <c r="H241" s="122"/>
      <c r="I241" s="122"/>
      <c r="J241" s="122"/>
      <c r="K241" s="730" t="s">
        <v>108</v>
      </c>
      <c r="L241" s="730"/>
      <c r="M241" s="730"/>
      <c r="N241" s="730"/>
      <c r="O241" s="730"/>
      <c r="P241" s="2"/>
      <c r="Q241" s="5"/>
    </row>
    <row r="242" spans="1:21" ht="15" customHeight="1" x14ac:dyDescent="0.3">
      <c r="A242" s="690"/>
      <c r="B242" s="690"/>
      <c r="C242" s="690"/>
      <c r="D242" s="690"/>
      <c r="E242" s="690"/>
      <c r="F242" s="690"/>
      <c r="G242" s="123"/>
      <c r="H242" s="123"/>
      <c r="I242" s="123"/>
      <c r="J242" s="123"/>
      <c r="K242" s="732"/>
      <c r="L242" s="732"/>
      <c r="M242" s="732"/>
      <c r="N242" s="732"/>
      <c r="O242" s="732"/>
      <c r="P242" s="29"/>
      <c r="Q242" s="30"/>
      <c r="S242" s="116"/>
      <c r="T242" s="116"/>
      <c r="U242" s="116"/>
    </row>
    <row r="243" spans="1:21" x14ac:dyDescent="0.3">
      <c r="A243" s="250">
        <f>VLOOKUP($B243,Reporting!$BL:$CD,MATCH($A$241,Reporting!$BM$4:$CD$4,0)+1,FALSE)</f>
        <v>0</v>
      </c>
      <c r="B243" s="266" t="s">
        <v>376</v>
      </c>
      <c r="C243" s="114">
        <v>1.8</v>
      </c>
      <c r="D243" s="6">
        <v>0.61</v>
      </c>
      <c r="E243" s="7">
        <f t="shared" ref="E243:E249" si="197">C243*D243</f>
        <v>1.0980000000000001</v>
      </c>
      <c r="F243" s="7">
        <f>A243*E243</f>
        <v>0</v>
      </c>
      <c r="G243" s="8">
        <f t="shared" ref="G243:G249" si="198">F243/8</f>
        <v>0</v>
      </c>
      <c r="H243" s="9">
        <f>C243</f>
        <v>1.8</v>
      </c>
      <c r="I243" s="10">
        <v>0.61</v>
      </c>
      <c r="J243" s="10">
        <f t="shared" ref="J243:J249" si="199">H243*I243</f>
        <v>1.0980000000000001</v>
      </c>
      <c r="K243" s="10">
        <f>A243*J243</f>
        <v>0</v>
      </c>
      <c r="L243" s="11">
        <f t="shared" ref="L243:L249" si="200">K243/8</f>
        <v>0</v>
      </c>
      <c r="M243" s="12">
        <f t="shared" ref="M243:M249" si="201">H243</f>
        <v>1.8</v>
      </c>
      <c r="N243" s="13">
        <v>0.55000000000000004</v>
      </c>
      <c r="O243" s="13">
        <f t="shared" ref="O243:O249" si="202">M243*N243</f>
        <v>0.9900000000000001</v>
      </c>
      <c r="P243" s="13">
        <f>A243*O243</f>
        <v>0</v>
      </c>
      <c r="Q243" s="14">
        <f t="shared" ref="Q243:Q249" si="203">P243/8</f>
        <v>0</v>
      </c>
    </row>
    <row r="244" spans="1:21" ht="15" customHeight="1" x14ac:dyDescent="0.3">
      <c r="A244" s="250">
        <f>VLOOKUP($B244,Reporting!$BL:$CD,MATCH($A$241,Reporting!$BM$4:$CD$4,0)+1,FALSE)</f>
        <v>0</v>
      </c>
      <c r="B244" s="266" t="s">
        <v>391</v>
      </c>
      <c r="C244" s="97">
        <v>2</v>
      </c>
      <c r="D244" s="6">
        <v>0.61</v>
      </c>
      <c r="E244" s="7">
        <f t="shared" si="197"/>
        <v>1.22</v>
      </c>
      <c r="F244" s="7">
        <f t="shared" ref="F244:F249" si="204">A244*E244</f>
        <v>0</v>
      </c>
      <c r="G244" s="8">
        <f t="shared" si="198"/>
        <v>0</v>
      </c>
      <c r="H244" s="9">
        <f t="shared" ref="H244:H249" si="205">C244</f>
        <v>2</v>
      </c>
      <c r="I244" s="10">
        <v>0.61</v>
      </c>
      <c r="J244" s="10">
        <f t="shared" si="199"/>
        <v>1.22</v>
      </c>
      <c r="K244" s="10">
        <f t="shared" ref="K244:K249" si="206">A244*J244</f>
        <v>0</v>
      </c>
      <c r="L244" s="11">
        <f t="shared" si="200"/>
        <v>0</v>
      </c>
      <c r="M244" s="12">
        <f t="shared" si="201"/>
        <v>2</v>
      </c>
      <c r="N244" s="13">
        <v>0.55000000000000004</v>
      </c>
      <c r="O244" s="13">
        <f t="shared" si="202"/>
        <v>1.1000000000000001</v>
      </c>
      <c r="P244" s="13">
        <f t="shared" ref="P244:P249" si="207">A244*O244</f>
        <v>0</v>
      </c>
      <c r="Q244" s="14">
        <f t="shared" si="203"/>
        <v>0</v>
      </c>
    </row>
    <row r="245" spans="1:21" ht="15" customHeight="1" x14ac:dyDescent="0.3">
      <c r="A245" s="250">
        <f>VLOOKUP($B245,Reporting!$BL:$CD,MATCH($A$241,Reporting!$BM$4:$CD$4,0)+1,FALSE)</f>
        <v>0</v>
      </c>
      <c r="B245" s="266" t="s">
        <v>392</v>
      </c>
      <c r="C245" s="97">
        <v>3.38</v>
      </c>
      <c r="D245" s="6">
        <v>0.61</v>
      </c>
      <c r="E245" s="7">
        <f t="shared" si="197"/>
        <v>2.0617999999999999</v>
      </c>
      <c r="F245" s="7">
        <f t="shared" si="204"/>
        <v>0</v>
      </c>
      <c r="G245" s="8">
        <f t="shared" si="198"/>
        <v>0</v>
      </c>
      <c r="H245" s="9">
        <f t="shared" si="205"/>
        <v>3.38</v>
      </c>
      <c r="I245" s="10">
        <v>0.61</v>
      </c>
      <c r="J245" s="10">
        <f t="shared" si="199"/>
        <v>2.0617999999999999</v>
      </c>
      <c r="K245" s="10">
        <f t="shared" si="206"/>
        <v>0</v>
      </c>
      <c r="L245" s="11">
        <f t="shared" si="200"/>
        <v>0</v>
      </c>
      <c r="M245" s="12">
        <f t="shared" si="201"/>
        <v>3.38</v>
      </c>
      <c r="N245" s="13">
        <v>0.55000000000000004</v>
      </c>
      <c r="O245" s="13">
        <f t="shared" si="202"/>
        <v>1.859</v>
      </c>
      <c r="P245" s="13">
        <f t="shared" si="207"/>
        <v>0</v>
      </c>
      <c r="Q245" s="14">
        <f t="shared" si="203"/>
        <v>0</v>
      </c>
    </row>
    <row r="246" spans="1:21" ht="15" customHeight="1" x14ac:dyDescent="0.3">
      <c r="A246" s="250">
        <f>VLOOKUP($B246,Reporting!$BL:$CD,MATCH($A$241,Reporting!$BM$4:$CD$4,0)+1,FALSE)</f>
        <v>0</v>
      </c>
      <c r="B246" s="266" t="s">
        <v>393</v>
      </c>
      <c r="C246" s="97">
        <v>4.34</v>
      </c>
      <c r="D246" s="6">
        <v>0.61</v>
      </c>
      <c r="E246" s="7">
        <f t="shared" si="197"/>
        <v>2.6473999999999998</v>
      </c>
      <c r="F246" s="7">
        <f t="shared" si="204"/>
        <v>0</v>
      </c>
      <c r="G246" s="8">
        <f t="shared" si="198"/>
        <v>0</v>
      </c>
      <c r="H246" s="9">
        <f t="shared" si="205"/>
        <v>4.34</v>
      </c>
      <c r="I246" s="10">
        <v>0.61</v>
      </c>
      <c r="J246" s="10">
        <f t="shared" si="199"/>
        <v>2.6473999999999998</v>
      </c>
      <c r="K246" s="10">
        <f t="shared" si="206"/>
        <v>0</v>
      </c>
      <c r="L246" s="11">
        <f t="shared" si="200"/>
        <v>0</v>
      </c>
      <c r="M246" s="12">
        <f t="shared" si="201"/>
        <v>4.34</v>
      </c>
      <c r="N246" s="13">
        <v>0.55000000000000004</v>
      </c>
      <c r="O246" s="13">
        <f t="shared" si="202"/>
        <v>2.387</v>
      </c>
      <c r="P246" s="13">
        <f t="shared" si="207"/>
        <v>0</v>
      </c>
      <c r="Q246" s="14">
        <f t="shared" si="203"/>
        <v>0</v>
      </c>
    </row>
    <row r="247" spans="1:21" ht="15.75" customHeight="1" x14ac:dyDescent="0.3">
      <c r="A247" s="250">
        <f>VLOOKUP($B247,Reporting!$BL:$CD,MATCH($A$241,Reporting!$BM$4:$CD$4,0)+1,FALSE)</f>
        <v>0</v>
      </c>
      <c r="B247" s="266" t="s">
        <v>394</v>
      </c>
      <c r="C247" s="97">
        <v>5.04</v>
      </c>
      <c r="D247" s="6">
        <v>0.61</v>
      </c>
      <c r="E247" s="7">
        <f t="shared" si="197"/>
        <v>3.0743999999999998</v>
      </c>
      <c r="F247" s="7">
        <f t="shared" si="204"/>
        <v>0</v>
      </c>
      <c r="G247" s="8">
        <f t="shared" si="198"/>
        <v>0</v>
      </c>
      <c r="H247" s="9">
        <f t="shared" si="205"/>
        <v>5.04</v>
      </c>
      <c r="I247" s="10">
        <v>0.61</v>
      </c>
      <c r="J247" s="10">
        <f t="shared" si="199"/>
        <v>3.0743999999999998</v>
      </c>
      <c r="K247" s="10">
        <f t="shared" si="206"/>
        <v>0</v>
      </c>
      <c r="L247" s="11">
        <f t="shared" si="200"/>
        <v>0</v>
      </c>
      <c r="M247" s="12">
        <f t="shared" si="201"/>
        <v>5.04</v>
      </c>
      <c r="N247" s="13">
        <v>0.55000000000000004</v>
      </c>
      <c r="O247" s="13">
        <f t="shared" si="202"/>
        <v>2.7720000000000002</v>
      </c>
      <c r="P247" s="13">
        <f t="shared" si="207"/>
        <v>0</v>
      </c>
      <c r="Q247" s="14">
        <f t="shared" si="203"/>
        <v>0</v>
      </c>
    </row>
    <row r="248" spans="1:21" x14ac:dyDescent="0.3">
      <c r="A248" s="250">
        <f>VLOOKUP($B248,Reporting!$BL:$CD,MATCH($A$241,Reporting!$BM$4:$CD$4,0)+1,FALSE)</f>
        <v>0</v>
      </c>
      <c r="B248" s="266" t="s">
        <v>395</v>
      </c>
      <c r="C248" s="97">
        <v>6.8</v>
      </c>
      <c r="D248" s="6">
        <v>0.61</v>
      </c>
      <c r="E248" s="7">
        <f t="shared" si="197"/>
        <v>4.1479999999999997</v>
      </c>
      <c r="F248" s="7">
        <f t="shared" si="204"/>
        <v>0</v>
      </c>
      <c r="G248" s="8">
        <f t="shared" si="198"/>
        <v>0</v>
      </c>
      <c r="H248" s="9">
        <f t="shared" si="205"/>
        <v>6.8</v>
      </c>
      <c r="I248" s="10">
        <v>0.61</v>
      </c>
      <c r="J248" s="10">
        <f t="shared" si="199"/>
        <v>4.1479999999999997</v>
      </c>
      <c r="K248" s="10">
        <f t="shared" si="206"/>
        <v>0</v>
      </c>
      <c r="L248" s="11">
        <f t="shared" si="200"/>
        <v>0</v>
      </c>
      <c r="M248" s="12">
        <f t="shared" si="201"/>
        <v>6.8</v>
      </c>
      <c r="N248" s="13">
        <v>0.55000000000000004</v>
      </c>
      <c r="O248" s="13">
        <f t="shared" si="202"/>
        <v>3.74</v>
      </c>
      <c r="P248" s="13">
        <f t="shared" si="207"/>
        <v>0</v>
      </c>
      <c r="Q248" s="14">
        <f t="shared" si="203"/>
        <v>0</v>
      </c>
    </row>
    <row r="249" spans="1:21" x14ac:dyDescent="0.3">
      <c r="A249" s="250">
        <f>VLOOKUP($B249,Reporting!$BL:$CD,MATCH($A$241,Reporting!$BM$4:$CD$4,0)+1,FALSE)</f>
        <v>0</v>
      </c>
      <c r="B249" s="266" t="s">
        <v>396</v>
      </c>
      <c r="C249" s="97">
        <v>9.32</v>
      </c>
      <c r="D249" s="6">
        <v>0.61</v>
      </c>
      <c r="E249" s="7">
        <f t="shared" si="197"/>
        <v>5.6852</v>
      </c>
      <c r="F249" s="7">
        <f t="shared" si="204"/>
        <v>0</v>
      </c>
      <c r="G249" s="8">
        <f t="shared" si="198"/>
        <v>0</v>
      </c>
      <c r="H249" s="9">
        <f t="shared" si="205"/>
        <v>9.32</v>
      </c>
      <c r="I249" s="10">
        <v>0.61</v>
      </c>
      <c r="J249" s="10">
        <f t="shared" si="199"/>
        <v>5.6852</v>
      </c>
      <c r="K249" s="10">
        <f t="shared" si="206"/>
        <v>0</v>
      </c>
      <c r="L249" s="11">
        <f t="shared" si="200"/>
        <v>0</v>
      </c>
      <c r="M249" s="12">
        <f t="shared" si="201"/>
        <v>9.32</v>
      </c>
      <c r="N249" s="13">
        <v>0.55000000000000004</v>
      </c>
      <c r="O249" s="13">
        <f t="shared" si="202"/>
        <v>5.1260000000000003</v>
      </c>
      <c r="P249" s="13">
        <f t="shared" si="207"/>
        <v>0</v>
      </c>
      <c r="Q249" s="14">
        <f t="shared" si="203"/>
        <v>0</v>
      </c>
    </row>
    <row r="250" spans="1:21" ht="15" thickBot="1" x14ac:dyDescent="0.35">
      <c r="A250" s="3">
        <f>SUM(A243:A249)</f>
        <v>0</v>
      </c>
      <c r="B250" s="4"/>
      <c r="C250" s="4"/>
      <c r="D250" s="644" t="s">
        <v>9</v>
      </c>
      <c r="E250" s="645"/>
      <c r="F250" s="645"/>
      <c r="G250" s="16">
        <f>SUM(G243:G249)</f>
        <v>0</v>
      </c>
      <c r="H250" s="1"/>
      <c r="I250" s="646" t="s">
        <v>10</v>
      </c>
      <c r="J250" s="646"/>
      <c r="K250" s="646"/>
      <c r="L250" s="17">
        <f>SUM(L243:L249)</f>
        <v>0</v>
      </c>
      <c r="M250" s="15"/>
      <c r="N250" s="647" t="s">
        <v>11</v>
      </c>
      <c r="O250" s="647"/>
      <c r="P250" s="647"/>
      <c r="Q250" s="18">
        <f>SUM(Q243:Q249)</f>
        <v>0</v>
      </c>
    </row>
    <row r="251" spans="1:21" ht="15" thickBot="1" x14ac:dyDescent="0.35"/>
    <row r="252" spans="1:21" x14ac:dyDescent="0.3">
      <c r="A252" s="687" t="s">
        <v>146</v>
      </c>
      <c r="B252" s="687"/>
      <c r="C252" s="687"/>
      <c r="D252" s="687"/>
      <c r="E252" s="687"/>
      <c r="F252" s="687"/>
      <c r="G252" s="726" t="s">
        <v>106</v>
      </c>
      <c r="H252" s="726"/>
      <c r="I252" s="726"/>
      <c r="J252" s="726"/>
      <c r="K252" s="726"/>
      <c r="L252" s="135"/>
      <c r="M252" s="23"/>
      <c r="N252" s="23"/>
      <c r="O252" s="23"/>
      <c r="P252" s="23"/>
      <c r="Q252" s="24"/>
    </row>
    <row r="253" spans="1:21" x14ac:dyDescent="0.3">
      <c r="A253" s="688"/>
      <c r="B253" s="688"/>
      <c r="C253" s="688"/>
      <c r="D253" s="688"/>
      <c r="E253" s="688"/>
      <c r="F253" s="688"/>
      <c r="G253" s="728"/>
      <c r="H253" s="728"/>
      <c r="I253" s="728"/>
      <c r="J253" s="728"/>
      <c r="K253" s="728"/>
      <c r="L253" s="136"/>
      <c r="M253" s="42"/>
      <c r="N253" s="42"/>
      <c r="O253" s="42"/>
      <c r="P253" s="42"/>
      <c r="Q253" s="43"/>
    </row>
    <row r="254" spans="1:21" x14ac:dyDescent="0.3">
      <c r="A254" s="259">
        <f>VLOOKUP($B254,Reporting!$BL:$CD,MATCH($A$252,Reporting!$BM$4:$CD$4,0)+1,FALSE)</f>
        <v>0</v>
      </c>
      <c r="B254" s="263" t="s">
        <v>376</v>
      </c>
      <c r="C254" s="110">
        <v>0.95</v>
      </c>
      <c r="D254" s="6">
        <v>0.61</v>
      </c>
      <c r="E254" s="7">
        <f t="shared" ref="E254:E259" si="208">C254*D254</f>
        <v>0.57950000000000002</v>
      </c>
      <c r="F254" s="7">
        <f t="shared" ref="F254:F259" si="209">A254*E254</f>
        <v>0</v>
      </c>
      <c r="G254" s="8">
        <f t="shared" ref="G254:G259" si="210">F254/8</f>
        <v>0</v>
      </c>
      <c r="H254" s="9">
        <f t="shared" ref="H254:H259" si="211">C254</f>
        <v>0.95</v>
      </c>
      <c r="I254" s="10">
        <v>0.61</v>
      </c>
      <c r="J254" s="10">
        <f t="shared" ref="J254:J259" si="212">H254*I254</f>
        <v>0.57950000000000002</v>
      </c>
      <c r="K254" s="10">
        <f t="shared" ref="K254:K259" si="213">A254*J254</f>
        <v>0</v>
      </c>
      <c r="L254" s="11">
        <f t="shared" ref="L254:L259" si="214">K254/8</f>
        <v>0</v>
      </c>
      <c r="M254" s="12">
        <f t="shared" ref="M254:M259" si="215">H254</f>
        <v>0.95</v>
      </c>
      <c r="N254" s="13">
        <v>0.55000000000000004</v>
      </c>
      <c r="O254" s="13">
        <f t="shared" ref="O254:O259" si="216">M254*N254</f>
        <v>0.52249999999999996</v>
      </c>
      <c r="P254" s="13">
        <f t="shared" ref="P254:P259" si="217">A254*O254</f>
        <v>0</v>
      </c>
      <c r="Q254" s="14">
        <f t="shared" ref="Q254:Q259" si="218">P254/8</f>
        <v>0</v>
      </c>
    </row>
    <row r="255" spans="1:21" x14ac:dyDescent="0.3">
      <c r="A255" s="259">
        <f>VLOOKUP($B255,Reporting!$BL:$CD,MATCH($A$252,Reporting!$BM$4:$CD$4,0)+1,FALSE)</f>
        <v>0</v>
      </c>
      <c r="B255" s="148" t="s">
        <v>391</v>
      </c>
      <c r="C255" s="99">
        <v>0.95</v>
      </c>
      <c r="D255" s="6">
        <v>0.61</v>
      </c>
      <c r="E255" s="7">
        <f t="shared" si="208"/>
        <v>0.57950000000000002</v>
      </c>
      <c r="F255" s="7">
        <f t="shared" si="209"/>
        <v>0</v>
      </c>
      <c r="G255" s="8">
        <f t="shared" si="210"/>
        <v>0</v>
      </c>
      <c r="H255" s="9">
        <f t="shared" si="211"/>
        <v>0.95</v>
      </c>
      <c r="I255" s="10">
        <v>0.61</v>
      </c>
      <c r="J255" s="10">
        <f t="shared" si="212"/>
        <v>0.57950000000000002</v>
      </c>
      <c r="K255" s="10">
        <f t="shared" si="213"/>
        <v>0</v>
      </c>
      <c r="L255" s="11">
        <f t="shared" si="214"/>
        <v>0</v>
      </c>
      <c r="M255" s="12">
        <f t="shared" si="215"/>
        <v>0.95</v>
      </c>
      <c r="N255" s="13">
        <v>0.55000000000000004</v>
      </c>
      <c r="O255" s="13">
        <f t="shared" si="216"/>
        <v>0.52249999999999996</v>
      </c>
      <c r="P255" s="13">
        <f t="shared" si="217"/>
        <v>0</v>
      </c>
      <c r="Q255" s="14">
        <f t="shared" si="218"/>
        <v>0</v>
      </c>
    </row>
    <row r="256" spans="1:21" x14ac:dyDescent="0.3">
      <c r="A256" s="259">
        <f>VLOOKUP($B256,Reporting!$BL:$CD,MATCH($A$252,Reporting!$BM$4:$CD$4,0)+1,FALSE)</f>
        <v>0</v>
      </c>
      <c r="B256" s="148" t="s">
        <v>392</v>
      </c>
      <c r="C256" s="99">
        <v>1.89</v>
      </c>
      <c r="D256" s="6">
        <v>0.61</v>
      </c>
      <c r="E256" s="7">
        <f t="shared" si="208"/>
        <v>1.1528999999999998</v>
      </c>
      <c r="F256" s="7">
        <f t="shared" si="209"/>
        <v>0</v>
      </c>
      <c r="G256" s="8">
        <f t="shared" si="210"/>
        <v>0</v>
      </c>
      <c r="H256" s="9">
        <f t="shared" si="211"/>
        <v>1.89</v>
      </c>
      <c r="I256" s="10">
        <v>0.61</v>
      </c>
      <c r="J256" s="10">
        <f t="shared" si="212"/>
        <v>1.1528999999999998</v>
      </c>
      <c r="K256" s="10">
        <f t="shared" si="213"/>
        <v>0</v>
      </c>
      <c r="L256" s="11">
        <f t="shared" si="214"/>
        <v>0</v>
      </c>
      <c r="M256" s="12">
        <f t="shared" si="215"/>
        <v>1.89</v>
      </c>
      <c r="N256" s="13">
        <v>0.55000000000000004</v>
      </c>
      <c r="O256" s="13">
        <f t="shared" si="216"/>
        <v>1.0395000000000001</v>
      </c>
      <c r="P256" s="13">
        <f t="shared" si="217"/>
        <v>0</v>
      </c>
      <c r="Q256" s="14">
        <f t="shared" si="218"/>
        <v>0</v>
      </c>
    </row>
    <row r="257" spans="1:25" x14ac:dyDescent="0.3">
      <c r="A257" s="259">
        <f>VLOOKUP($B257,Reporting!$BL:$CD,MATCH($A$252,Reporting!$BM$4:$CD$4,0)+1,FALSE)</f>
        <v>0</v>
      </c>
      <c r="B257" s="148" t="s">
        <v>393</v>
      </c>
      <c r="C257" s="99">
        <v>2.1800000000000002</v>
      </c>
      <c r="D257" s="6">
        <v>0.61</v>
      </c>
      <c r="E257" s="7">
        <f t="shared" si="208"/>
        <v>1.3298000000000001</v>
      </c>
      <c r="F257" s="7">
        <f t="shared" si="209"/>
        <v>0</v>
      </c>
      <c r="G257" s="8">
        <f t="shared" si="210"/>
        <v>0</v>
      </c>
      <c r="H257" s="9">
        <f t="shared" si="211"/>
        <v>2.1800000000000002</v>
      </c>
      <c r="I257" s="10">
        <v>0.61</v>
      </c>
      <c r="J257" s="10">
        <f t="shared" si="212"/>
        <v>1.3298000000000001</v>
      </c>
      <c r="K257" s="10">
        <f t="shared" si="213"/>
        <v>0</v>
      </c>
      <c r="L257" s="11">
        <f t="shared" si="214"/>
        <v>0</v>
      </c>
      <c r="M257" s="12">
        <f t="shared" si="215"/>
        <v>2.1800000000000002</v>
      </c>
      <c r="N257" s="13">
        <v>0.55000000000000004</v>
      </c>
      <c r="O257" s="13">
        <f t="shared" si="216"/>
        <v>1.1990000000000003</v>
      </c>
      <c r="P257" s="13">
        <f t="shared" si="217"/>
        <v>0</v>
      </c>
      <c r="Q257" s="14">
        <f t="shared" si="218"/>
        <v>0</v>
      </c>
    </row>
    <row r="258" spans="1:25" x14ac:dyDescent="0.3">
      <c r="A258" s="259">
        <f>VLOOKUP($B258,Reporting!$BL:$CD,MATCH($A$252,Reporting!$BM$4:$CD$4,0)+1,FALSE)</f>
        <v>0</v>
      </c>
      <c r="B258" s="148" t="s">
        <v>394</v>
      </c>
      <c r="C258" s="99">
        <v>2.2999999999999998</v>
      </c>
      <c r="D258" s="6">
        <v>0.61</v>
      </c>
      <c r="E258" s="7">
        <f t="shared" si="208"/>
        <v>1.4029999999999998</v>
      </c>
      <c r="F258" s="7">
        <f t="shared" si="209"/>
        <v>0</v>
      </c>
      <c r="G258" s="8">
        <f t="shared" si="210"/>
        <v>0</v>
      </c>
      <c r="H258" s="9">
        <f t="shared" si="211"/>
        <v>2.2999999999999998</v>
      </c>
      <c r="I258" s="10">
        <v>0.61</v>
      </c>
      <c r="J258" s="10">
        <f t="shared" si="212"/>
        <v>1.4029999999999998</v>
      </c>
      <c r="K258" s="10">
        <f t="shared" si="213"/>
        <v>0</v>
      </c>
      <c r="L258" s="11">
        <f t="shared" si="214"/>
        <v>0</v>
      </c>
      <c r="M258" s="12">
        <f t="shared" si="215"/>
        <v>2.2999999999999998</v>
      </c>
      <c r="N258" s="13">
        <v>0.55000000000000004</v>
      </c>
      <c r="O258" s="13">
        <f t="shared" si="216"/>
        <v>1.2649999999999999</v>
      </c>
      <c r="P258" s="13">
        <f t="shared" si="217"/>
        <v>0</v>
      </c>
      <c r="Q258" s="14">
        <f t="shared" si="218"/>
        <v>0</v>
      </c>
    </row>
    <row r="259" spans="1:25" x14ac:dyDescent="0.3">
      <c r="A259" s="259">
        <f>VLOOKUP($B259,Reporting!$BL:$CD,MATCH($A$252,Reporting!$BM$4:$CD$4,0)+1,FALSE)</f>
        <v>0</v>
      </c>
      <c r="B259" s="148" t="s">
        <v>395</v>
      </c>
      <c r="C259" s="99">
        <v>3.03</v>
      </c>
      <c r="D259" s="6">
        <v>0.61</v>
      </c>
      <c r="E259" s="7">
        <f t="shared" si="208"/>
        <v>1.8482999999999998</v>
      </c>
      <c r="F259" s="7">
        <f t="shared" si="209"/>
        <v>0</v>
      </c>
      <c r="G259" s="8">
        <f t="shared" si="210"/>
        <v>0</v>
      </c>
      <c r="H259" s="9">
        <f t="shared" si="211"/>
        <v>3.03</v>
      </c>
      <c r="I259" s="10">
        <v>0.61</v>
      </c>
      <c r="J259" s="10">
        <f t="shared" si="212"/>
        <v>1.8482999999999998</v>
      </c>
      <c r="K259" s="10">
        <f t="shared" si="213"/>
        <v>0</v>
      </c>
      <c r="L259" s="11">
        <f t="shared" si="214"/>
        <v>0</v>
      </c>
      <c r="M259" s="12">
        <f t="shared" si="215"/>
        <v>3.03</v>
      </c>
      <c r="N259" s="13">
        <v>0.55000000000000004</v>
      </c>
      <c r="O259" s="13">
        <f t="shared" si="216"/>
        <v>1.6665000000000001</v>
      </c>
      <c r="P259" s="13">
        <f t="shared" si="217"/>
        <v>0</v>
      </c>
      <c r="Q259" s="14">
        <f t="shared" si="218"/>
        <v>0</v>
      </c>
    </row>
    <row r="260" spans="1:25" ht="15" thickBot="1" x14ac:dyDescent="0.35">
      <c r="A260" s="21">
        <f>SUM(A254:A259)</f>
        <v>0</v>
      </c>
      <c r="B260" s="22"/>
      <c r="C260" s="22"/>
      <c r="D260" s="644" t="s">
        <v>9</v>
      </c>
      <c r="E260" s="645"/>
      <c r="F260" s="645"/>
      <c r="G260" s="16">
        <f>SUM(G254:G259)</f>
        <v>0</v>
      </c>
      <c r="H260" s="1"/>
      <c r="I260" s="646" t="s">
        <v>10</v>
      </c>
      <c r="J260" s="646"/>
      <c r="K260" s="646"/>
      <c r="L260" s="17">
        <f>SUM(L254:L259)</f>
        <v>0</v>
      </c>
      <c r="M260" s="15"/>
      <c r="N260" s="647" t="s">
        <v>11</v>
      </c>
      <c r="O260" s="647"/>
      <c r="P260" s="647"/>
      <c r="Q260" s="18">
        <f>SUM(Q254:Q259)</f>
        <v>0</v>
      </c>
    </row>
    <row r="261" spans="1:25" ht="15" thickBot="1" x14ac:dyDescent="0.35"/>
    <row r="262" spans="1:25" x14ac:dyDescent="0.3">
      <c r="A262" s="687" t="s">
        <v>147</v>
      </c>
      <c r="B262" s="687"/>
      <c r="C262" s="687"/>
      <c r="D262" s="687"/>
      <c r="E262" s="687"/>
      <c r="F262" s="726" t="s">
        <v>106</v>
      </c>
      <c r="G262" s="726"/>
      <c r="H262" s="726"/>
      <c r="I262" s="726"/>
      <c r="J262" s="726"/>
      <c r="K262" s="726"/>
      <c r="L262" s="23"/>
      <c r="M262" s="23"/>
      <c r="N262" s="23"/>
      <c r="O262" s="23"/>
      <c r="P262" s="23"/>
      <c r="Q262" s="24"/>
    </row>
    <row r="263" spans="1:25" x14ac:dyDescent="0.3">
      <c r="A263" s="688"/>
      <c r="B263" s="688"/>
      <c r="C263" s="688"/>
      <c r="D263" s="688"/>
      <c r="E263" s="688"/>
      <c r="F263" s="728"/>
      <c r="G263" s="728"/>
      <c r="H263" s="728"/>
      <c r="I263" s="728"/>
      <c r="J263" s="728"/>
      <c r="K263" s="728"/>
      <c r="L263" s="42"/>
      <c r="M263" s="42"/>
      <c r="N263" s="42"/>
      <c r="O263" s="42"/>
      <c r="P263" s="42"/>
      <c r="Q263" s="43"/>
      <c r="T263" s="598" t="s">
        <v>152</v>
      </c>
      <c r="U263" s="598"/>
      <c r="V263" s="598"/>
      <c r="W263" s="681" t="s">
        <v>152</v>
      </c>
      <c r="X263" s="681"/>
      <c r="Y263" s="681"/>
    </row>
    <row r="264" spans="1:25" x14ac:dyDescent="0.3">
      <c r="A264" s="259">
        <f>VLOOKUP($B264,Reporting!$BL:$CD,MATCH($A$262,Reporting!$BM$4:$CD$4,0)+1,FALSE)</f>
        <v>0</v>
      </c>
      <c r="B264" s="263" t="s">
        <v>376</v>
      </c>
      <c r="C264" s="110">
        <v>1.58</v>
      </c>
      <c r="D264" s="6">
        <v>0.61</v>
      </c>
      <c r="E264" s="7">
        <f t="shared" ref="E264:E269" si="219">C264*D264</f>
        <v>0.96379999999999999</v>
      </c>
      <c r="F264" s="7">
        <f t="shared" ref="F264:F269" si="220">A264*E264</f>
        <v>0</v>
      </c>
      <c r="G264" s="8">
        <f t="shared" ref="G264:G269" si="221">F264/8</f>
        <v>0</v>
      </c>
      <c r="H264" s="9">
        <f t="shared" ref="H264:H269" si="222">C264</f>
        <v>1.58</v>
      </c>
      <c r="I264" s="10">
        <v>0.61</v>
      </c>
      <c r="J264" s="10">
        <f t="shared" ref="J264:J269" si="223">H264*I264</f>
        <v>0.96379999999999999</v>
      </c>
      <c r="K264" s="10">
        <f t="shared" ref="K264:K269" si="224">A264*J264</f>
        <v>0</v>
      </c>
      <c r="L264" s="11">
        <f t="shared" ref="L264:L269" si="225">K264/8</f>
        <v>0</v>
      </c>
      <c r="M264" s="12">
        <f t="shared" ref="M264:M269" si="226">H264</f>
        <v>1.58</v>
      </c>
      <c r="N264" s="13">
        <v>0.55000000000000004</v>
      </c>
      <c r="O264" s="13">
        <f t="shared" ref="O264:O269" si="227">M264*N264</f>
        <v>0.86900000000000011</v>
      </c>
      <c r="P264" s="13">
        <f t="shared" ref="P264:P269" si="228">A264*O264</f>
        <v>0</v>
      </c>
      <c r="Q264" s="14">
        <f t="shared" ref="Q264:Q269" si="229">P264/8</f>
        <v>0</v>
      </c>
      <c r="T264" s="664">
        <f>Q260+Q270+Q281+Q291+Q301+Q311</f>
        <v>0</v>
      </c>
      <c r="U264" s="665"/>
      <c r="V264" s="665"/>
      <c r="W264" s="682">
        <f>L260+L270+L281+L291+L301+L311</f>
        <v>0</v>
      </c>
      <c r="X264" s="683"/>
      <c r="Y264" s="683"/>
    </row>
    <row r="265" spans="1:25" x14ac:dyDescent="0.3">
      <c r="A265" s="259">
        <f>VLOOKUP($B265,Reporting!$BL:$CD,MATCH($A$262,Reporting!$BM$4:$CD$4,0)+1,FALSE)</f>
        <v>0</v>
      </c>
      <c r="B265" s="148" t="s">
        <v>391</v>
      </c>
      <c r="C265" s="99">
        <v>1.73</v>
      </c>
      <c r="D265" s="6">
        <v>0.61</v>
      </c>
      <c r="E265" s="7">
        <f t="shared" si="219"/>
        <v>1.0552999999999999</v>
      </c>
      <c r="F265" s="7">
        <f t="shared" si="220"/>
        <v>0</v>
      </c>
      <c r="G265" s="8">
        <f t="shared" si="221"/>
        <v>0</v>
      </c>
      <c r="H265" s="9">
        <f t="shared" si="222"/>
        <v>1.73</v>
      </c>
      <c r="I265" s="10">
        <v>0.61</v>
      </c>
      <c r="J265" s="10">
        <f t="shared" si="223"/>
        <v>1.0552999999999999</v>
      </c>
      <c r="K265" s="10">
        <f t="shared" si="224"/>
        <v>0</v>
      </c>
      <c r="L265" s="11">
        <f t="shared" si="225"/>
        <v>0</v>
      </c>
      <c r="M265" s="12">
        <f t="shared" si="226"/>
        <v>1.73</v>
      </c>
      <c r="N265" s="13">
        <v>0.55000000000000004</v>
      </c>
      <c r="O265" s="13">
        <f t="shared" si="227"/>
        <v>0.95150000000000001</v>
      </c>
      <c r="P265" s="13">
        <f t="shared" si="228"/>
        <v>0</v>
      </c>
      <c r="Q265" s="14">
        <f t="shared" si="229"/>
        <v>0</v>
      </c>
      <c r="T265" s="665"/>
      <c r="U265" s="665"/>
      <c r="V265" s="665"/>
      <c r="W265" s="683"/>
      <c r="X265" s="683"/>
      <c r="Y265" s="683"/>
    </row>
    <row r="266" spans="1:25" x14ac:dyDescent="0.3">
      <c r="A266" s="259">
        <f>VLOOKUP($B266,Reporting!$BL:$CD,MATCH($A$262,Reporting!$BM$4:$CD$4,0)+1,FALSE)</f>
        <v>0</v>
      </c>
      <c r="B266" s="148" t="s">
        <v>392</v>
      </c>
      <c r="C266" s="99">
        <v>3.23</v>
      </c>
      <c r="D266" s="6">
        <v>0.61</v>
      </c>
      <c r="E266" s="7">
        <f t="shared" si="219"/>
        <v>1.9702999999999999</v>
      </c>
      <c r="F266" s="7">
        <f t="shared" si="220"/>
        <v>0</v>
      </c>
      <c r="G266" s="8">
        <f t="shared" si="221"/>
        <v>0</v>
      </c>
      <c r="H266" s="9">
        <f t="shared" si="222"/>
        <v>3.23</v>
      </c>
      <c r="I266" s="10">
        <v>0.61</v>
      </c>
      <c r="J266" s="10">
        <f t="shared" si="223"/>
        <v>1.9702999999999999</v>
      </c>
      <c r="K266" s="10">
        <f t="shared" si="224"/>
        <v>0</v>
      </c>
      <c r="L266" s="11">
        <f t="shared" si="225"/>
        <v>0</v>
      </c>
      <c r="M266" s="12">
        <f t="shared" si="226"/>
        <v>3.23</v>
      </c>
      <c r="N266" s="13">
        <v>0.55000000000000004</v>
      </c>
      <c r="O266" s="13">
        <f t="shared" si="227"/>
        <v>1.7765000000000002</v>
      </c>
      <c r="P266" s="13">
        <f t="shared" si="228"/>
        <v>0</v>
      </c>
      <c r="Q266" s="14">
        <f t="shared" si="229"/>
        <v>0</v>
      </c>
      <c r="T266" s="665"/>
      <c r="U266" s="665"/>
      <c r="V266" s="665"/>
      <c r="W266" s="683"/>
      <c r="X266" s="683"/>
      <c r="Y266" s="683"/>
    </row>
    <row r="267" spans="1:25" x14ac:dyDescent="0.3">
      <c r="A267" s="259">
        <f>VLOOKUP($B267,Reporting!$BL:$CD,MATCH($A$262,Reporting!$BM$4:$CD$4,0)+1,FALSE)</f>
        <v>0</v>
      </c>
      <c r="B267" s="148" t="s">
        <v>393</v>
      </c>
      <c r="C267" s="99">
        <v>3.98</v>
      </c>
      <c r="D267" s="6">
        <v>0.61</v>
      </c>
      <c r="E267" s="7">
        <f t="shared" si="219"/>
        <v>2.4278</v>
      </c>
      <c r="F267" s="7">
        <f t="shared" si="220"/>
        <v>0</v>
      </c>
      <c r="G267" s="8">
        <f t="shared" si="221"/>
        <v>0</v>
      </c>
      <c r="H267" s="9">
        <f t="shared" si="222"/>
        <v>3.98</v>
      </c>
      <c r="I267" s="10">
        <v>0.61</v>
      </c>
      <c r="J267" s="10">
        <f t="shared" si="223"/>
        <v>2.4278</v>
      </c>
      <c r="K267" s="10">
        <f t="shared" si="224"/>
        <v>0</v>
      </c>
      <c r="L267" s="11">
        <f t="shared" si="225"/>
        <v>0</v>
      </c>
      <c r="M267" s="12">
        <f t="shared" si="226"/>
        <v>3.98</v>
      </c>
      <c r="N267" s="13">
        <v>0.55000000000000004</v>
      </c>
      <c r="O267" s="13">
        <f t="shared" si="227"/>
        <v>2.1890000000000001</v>
      </c>
      <c r="P267" s="13">
        <f t="shared" si="228"/>
        <v>0</v>
      </c>
      <c r="Q267" s="14">
        <f t="shared" si="229"/>
        <v>0</v>
      </c>
    </row>
    <row r="268" spans="1:25" x14ac:dyDescent="0.3">
      <c r="A268" s="259">
        <f>VLOOKUP($B268,Reporting!$BL:$CD,MATCH($A$262,Reporting!$BM$4:$CD$4,0)+1,FALSE)</f>
        <v>0</v>
      </c>
      <c r="B268" s="148" t="s">
        <v>394</v>
      </c>
      <c r="C268" s="99">
        <v>4.3499999999999996</v>
      </c>
      <c r="D268" s="6">
        <v>0.61</v>
      </c>
      <c r="E268" s="7">
        <f t="shared" si="219"/>
        <v>2.6534999999999997</v>
      </c>
      <c r="F268" s="7">
        <f t="shared" si="220"/>
        <v>0</v>
      </c>
      <c r="G268" s="8">
        <f t="shared" si="221"/>
        <v>0</v>
      </c>
      <c r="H268" s="9">
        <f t="shared" si="222"/>
        <v>4.3499999999999996</v>
      </c>
      <c r="I268" s="10">
        <v>0.61</v>
      </c>
      <c r="J268" s="10">
        <f t="shared" si="223"/>
        <v>2.6534999999999997</v>
      </c>
      <c r="K268" s="10">
        <f t="shared" si="224"/>
        <v>0</v>
      </c>
      <c r="L268" s="11">
        <f t="shared" si="225"/>
        <v>0</v>
      </c>
      <c r="M268" s="12">
        <f t="shared" si="226"/>
        <v>4.3499999999999996</v>
      </c>
      <c r="N268" s="13">
        <v>0.55000000000000004</v>
      </c>
      <c r="O268" s="13">
        <f t="shared" si="227"/>
        <v>2.3925000000000001</v>
      </c>
      <c r="P268" s="13">
        <f t="shared" si="228"/>
        <v>0</v>
      </c>
      <c r="Q268" s="14">
        <f t="shared" si="229"/>
        <v>0</v>
      </c>
    </row>
    <row r="269" spans="1:25" x14ac:dyDescent="0.3">
      <c r="A269" s="259">
        <f>VLOOKUP($B269,Reporting!$BL:$CD,MATCH($A$262,Reporting!$BM$4:$CD$4,0)+1,FALSE)</f>
        <v>0</v>
      </c>
      <c r="B269" s="148" t="s">
        <v>395</v>
      </c>
      <c r="C269" s="99">
        <v>5.96</v>
      </c>
      <c r="D269" s="6">
        <v>0.61</v>
      </c>
      <c r="E269" s="7">
        <f t="shared" si="219"/>
        <v>3.6355999999999997</v>
      </c>
      <c r="F269" s="7">
        <f t="shared" si="220"/>
        <v>0</v>
      </c>
      <c r="G269" s="8">
        <f t="shared" si="221"/>
        <v>0</v>
      </c>
      <c r="H269" s="9">
        <f t="shared" si="222"/>
        <v>5.96</v>
      </c>
      <c r="I269" s="10">
        <v>0.61</v>
      </c>
      <c r="J269" s="10">
        <f t="shared" si="223"/>
        <v>3.6355999999999997</v>
      </c>
      <c r="K269" s="10">
        <f t="shared" si="224"/>
        <v>0</v>
      </c>
      <c r="L269" s="11">
        <f t="shared" si="225"/>
        <v>0</v>
      </c>
      <c r="M269" s="12">
        <f t="shared" si="226"/>
        <v>5.96</v>
      </c>
      <c r="N269" s="13">
        <v>0.55000000000000004</v>
      </c>
      <c r="O269" s="13">
        <f t="shared" si="227"/>
        <v>3.278</v>
      </c>
      <c r="P269" s="13">
        <f t="shared" si="228"/>
        <v>0</v>
      </c>
      <c r="Q269" s="14">
        <f t="shared" si="229"/>
        <v>0</v>
      </c>
    </row>
    <row r="270" spans="1:25" ht="15" thickBot="1" x14ac:dyDescent="0.35">
      <c r="A270" s="21">
        <f>SUM(A264:A269)</f>
        <v>0</v>
      </c>
      <c r="B270" s="22"/>
      <c r="C270" s="22"/>
      <c r="D270" s="644" t="s">
        <v>9</v>
      </c>
      <c r="E270" s="645"/>
      <c r="F270" s="645"/>
      <c r="G270" s="16">
        <f>SUM(G264:G269)</f>
        <v>0</v>
      </c>
      <c r="H270" s="1"/>
      <c r="I270" s="646" t="s">
        <v>10</v>
      </c>
      <c r="J270" s="646"/>
      <c r="K270" s="646"/>
      <c r="L270" s="17">
        <f>SUM(L264:L269)</f>
        <v>0</v>
      </c>
      <c r="M270" s="15"/>
      <c r="N270" s="647" t="s">
        <v>11</v>
      </c>
      <c r="O270" s="647"/>
      <c r="P270" s="647"/>
      <c r="Q270" s="18">
        <f>SUM(Q264:Q269)</f>
        <v>0</v>
      </c>
    </row>
    <row r="271" spans="1:25" ht="15" thickBot="1" x14ac:dyDescent="0.35"/>
    <row r="272" spans="1:25" ht="15" customHeight="1" x14ac:dyDescent="0.3">
      <c r="A272" s="687" t="s">
        <v>148</v>
      </c>
      <c r="B272" s="687"/>
      <c r="C272" s="687"/>
      <c r="D272" s="687"/>
      <c r="E272" s="687"/>
      <c r="F272" s="687"/>
      <c r="G272" s="726" t="s">
        <v>106</v>
      </c>
      <c r="H272" s="726"/>
      <c r="I272" s="726"/>
      <c r="J272" s="726"/>
      <c r="K272" s="726"/>
      <c r="L272" s="23"/>
      <c r="M272" s="23"/>
      <c r="N272" s="23"/>
      <c r="O272" s="23"/>
      <c r="P272" s="23"/>
      <c r="Q272" s="24"/>
    </row>
    <row r="273" spans="1:17" ht="15" customHeight="1" x14ac:dyDescent="0.3">
      <c r="A273" s="688"/>
      <c r="B273" s="688"/>
      <c r="C273" s="688"/>
      <c r="D273" s="688"/>
      <c r="E273" s="688"/>
      <c r="F273" s="688"/>
      <c r="G273" s="728"/>
      <c r="H273" s="728"/>
      <c r="I273" s="728"/>
      <c r="J273" s="728"/>
      <c r="K273" s="728"/>
      <c r="L273" s="42"/>
      <c r="M273" s="42"/>
      <c r="N273" s="42"/>
      <c r="O273" s="42"/>
      <c r="P273" s="42"/>
      <c r="Q273" s="43"/>
    </row>
    <row r="274" spans="1:17" x14ac:dyDescent="0.3">
      <c r="A274" s="259">
        <f>VLOOKUP($B274,Reporting!$BL:$CD,MATCH($A$272,Reporting!$BM$4:$CD$4,0)+1,FALSE)</f>
        <v>0</v>
      </c>
      <c r="B274" s="263" t="s">
        <v>390</v>
      </c>
      <c r="C274" s="110">
        <v>1.21</v>
      </c>
      <c r="D274" s="6">
        <v>0.61</v>
      </c>
      <c r="E274" s="7">
        <f t="shared" ref="E274:E280" si="230">C274*D274</f>
        <v>0.73809999999999998</v>
      </c>
      <c r="F274" s="7">
        <f>A274*E274</f>
        <v>0</v>
      </c>
      <c r="G274" s="8">
        <f t="shared" ref="G274:G280" si="231">F274/8</f>
        <v>0</v>
      </c>
      <c r="H274" s="9">
        <f>C274</f>
        <v>1.21</v>
      </c>
      <c r="I274" s="10">
        <v>0.61</v>
      </c>
      <c r="J274" s="10">
        <f t="shared" ref="J274:J280" si="232">H274*I274</f>
        <v>0.73809999999999998</v>
      </c>
      <c r="K274" s="10">
        <f>A274*J274</f>
        <v>0</v>
      </c>
      <c r="L274" s="11">
        <f t="shared" ref="L274:L280" si="233">K274/8</f>
        <v>0</v>
      </c>
      <c r="M274" s="12">
        <f t="shared" ref="M274:M280" si="234">H274</f>
        <v>1.21</v>
      </c>
      <c r="N274" s="13">
        <v>0.55000000000000004</v>
      </c>
      <c r="O274" s="13">
        <f t="shared" ref="O274:O280" si="235">M274*N274</f>
        <v>0.66549999999999998</v>
      </c>
      <c r="P274" s="13">
        <f>A274*O274</f>
        <v>0</v>
      </c>
      <c r="Q274" s="14">
        <f t="shared" ref="Q274:Q280" si="236">P274/8</f>
        <v>0</v>
      </c>
    </row>
    <row r="275" spans="1:17" x14ac:dyDescent="0.3">
      <c r="A275" s="259">
        <f>VLOOKUP($B275,Reporting!$BL:$CD,MATCH($A$272,Reporting!$BM$4:$CD$4,0)+1,FALSE)</f>
        <v>0</v>
      </c>
      <c r="B275" s="263" t="s">
        <v>376</v>
      </c>
      <c r="C275" s="99">
        <v>1.35</v>
      </c>
      <c r="D275" s="6">
        <v>0.61</v>
      </c>
      <c r="E275" s="7">
        <f t="shared" si="230"/>
        <v>0.82350000000000001</v>
      </c>
      <c r="F275" s="7">
        <f t="shared" ref="F275:F280" si="237">A275*E275</f>
        <v>0</v>
      </c>
      <c r="G275" s="8">
        <f t="shared" si="231"/>
        <v>0</v>
      </c>
      <c r="H275" s="9">
        <f t="shared" ref="H275:H280" si="238">C275</f>
        <v>1.35</v>
      </c>
      <c r="I275" s="10">
        <v>0.61</v>
      </c>
      <c r="J275" s="10">
        <f t="shared" si="232"/>
        <v>0.82350000000000001</v>
      </c>
      <c r="K275" s="10">
        <f t="shared" ref="K275:K280" si="239">A275*J275</f>
        <v>0</v>
      </c>
      <c r="L275" s="11">
        <f t="shared" si="233"/>
        <v>0</v>
      </c>
      <c r="M275" s="12">
        <f t="shared" si="234"/>
        <v>1.35</v>
      </c>
      <c r="N275" s="13">
        <v>0.55000000000000004</v>
      </c>
      <c r="O275" s="13">
        <f t="shared" si="235"/>
        <v>0.74250000000000016</v>
      </c>
      <c r="P275" s="13">
        <f t="shared" ref="P275:P280" si="240">A275*O275</f>
        <v>0</v>
      </c>
      <c r="Q275" s="14">
        <f t="shared" si="236"/>
        <v>0</v>
      </c>
    </row>
    <row r="276" spans="1:17" x14ac:dyDescent="0.3">
      <c r="A276" s="259">
        <f>VLOOKUP($B276,Reporting!$BL:$CD,MATCH($A$272,Reporting!$BM$4:$CD$4,0)+1,FALSE)</f>
        <v>0</v>
      </c>
      <c r="B276" s="148" t="s">
        <v>391</v>
      </c>
      <c r="C276" s="99">
        <v>1.5</v>
      </c>
      <c r="D276" s="6">
        <v>0.61</v>
      </c>
      <c r="E276" s="7">
        <f t="shared" si="230"/>
        <v>0.91500000000000004</v>
      </c>
      <c r="F276" s="7">
        <f t="shared" si="237"/>
        <v>0</v>
      </c>
      <c r="G276" s="8">
        <f t="shared" si="231"/>
        <v>0</v>
      </c>
      <c r="H276" s="9">
        <f t="shared" si="238"/>
        <v>1.5</v>
      </c>
      <c r="I276" s="10">
        <v>0.61</v>
      </c>
      <c r="J276" s="10">
        <f t="shared" si="232"/>
        <v>0.91500000000000004</v>
      </c>
      <c r="K276" s="10">
        <f t="shared" si="239"/>
        <v>0</v>
      </c>
      <c r="L276" s="11">
        <f t="shared" si="233"/>
        <v>0</v>
      </c>
      <c r="M276" s="12">
        <f t="shared" si="234"/>
        <v>1.5</v>
      </c>
      <c r="N276" s="13">
        <v>0.55000000000000004</v>
      </c>
      <c r="O276" s="13">
        <f t="shared" si="235"/>
        <v>0.82500000000000007</v>
      </c>
      <c r="P276" s="13">
        <f t="shared" si="240"/>
        <v>0</v>
      </c>
      <c r="Q276" s="14">
        <f t="shared" si="236"/>
        <v>0</v>
      </c>
    </row>
    <row r="277" spans="1:17" x14ac:dyDescent="0.3">
      <c r="A277" s="259">
        <f>VLOOKUP($B277,Reporting!$BL:$CD,MATCH($A$272,Reporting!$BM$4:$CD$4,0)+1,FALSE)</f>
        <v>0</v>
      </c>
      <c r="B277" s="148" t="s">
        <v>392</v>
      </c>
      <c r="C277" s="99">
        <v>2.72</v>
      </c>
      <c r="D277" s="6">
        <v>0.61</v>
      </c>
      <c r="E277" s="7">
        <f t="shared" si="230"/>
        <v>1.6592</v>
      </c>
      <c r="F277" s="7">
        <f t="shared" si="237"/>
        <v>0</v>
      </c>
      <c r="G277" s="8">
        <f t="shared" si="231"/>
        <v>0</v>
      </c>
      <c r="H277" s="9">
        <f t="shared" si="238"/>
        <v>2.72</v>
      </c>
      <c r="I277" s="10">
        <v>0.61</v>
      </c>
      <c r="J277" s="10">
        <f t="shared" si="232"/>
        <v>1.6592</v>
      </c>
      <c r="K277" s="10">
        <f t="shared" si="239"/>
        <v>0</v>
      </c>
      <c r="L277" s="11">
        <f t="shared" si="233"/>
        <v>0</v>
      </c>
      <c r="M277" s="12">
        <f t="shared" si="234"/>
        <v>2.72</v>
      </c>
      <c r="N277" s="13">
        <v>0.55000000000000004</v>
      </c>
      <c r="O277" s="13">
        <f t="shared" si="235"/>
        <v>1.4960000000000002</v>
      </c>
      <c r="P277" s="13">
        <f t="shared" si="240"/>
        <v>0</v>
      </c>
      <c r="Q277" s="14">
        <f t="shared" si="236"/>
        <v>0</v>
      </c>
    </row>
    <row r="278" spans="1:17" x14ac:dyDescent="0.3">
      <c r="A278" s="259">
        <f>VLOOKUP($B278,Reporting!$BL:$CD,MATCH($A$272,Reporting!$BM$4:$CD$4,0)+1,FALSE)</f>
        <v>0</v>
      </c>
      <c r="B278" s="148" t="s">
        <v>393</v>
      </c>
      <c r="C278" s="99">
        <v>3.41</v>
      </c>
      <c r="D278" s="6">
        <v>0.61</v>
      </c>
      <c r="E278" s="7">
        <f t="shared" si="230"/>
        <v>2.0800999999999998</v>
      </c>
      <c r="F278" s="7">
        <f t="shared" si="237"/>
        <v>0</v>
      </c>
      <c r="G278" s="8">
        <f t="shared" si="231"/>
        <v>0</v>
      </c>
      <c r="H278" s="9">
        <f t="shared" si="238"/>
        <v>3.41</v>
      </c>
      <c r="I278" s="10">
        <v>0.61</v>
      </c>
      <c r="J278" s="10">
        <f t="shared" si="232"/>
        <v>2.0800999999999998</v>
      </c>
      <c r="K278" s="10">
        <f t="shared" si="239"/>
        <v>0</v>
      </c>
      <c r="L278" s="11">
        <f t="shared" si="233"/>
        <v>0</v>
      </c>
      <c r="M278" s="12">
        <f t="shared" si="234"/>
        <v>3.41</v>
      </c>
      <c r="N278" s="13">
        <v>0.55000000000000004</v>
      </c>
      <c r="O278" s="13">
        <f t="shared" si="235"/>
        <v>1.8755000000000002</v>
      </c>
      <c r="P278" s="13">
        <f t="shared" si="240"/>
        <v>0</v>
      </c>
      <c r="Q278" s="14">
        <f t="shared" si="236"/>
        <v>0</v>
      </c>
    </row>
    <row r="279" spans="1:17" x14ac:dyDescent="0.3">
      <c r="A279" s="259">
        <f>VLOOKUP($B279,Reporting!$BL:$CD,MATCH($A$272,Reporting!$BM$4:$CD$4,0)+1,FALSE)</f>
        <v>0</v>
      </c>
      <c r="B279" s="148" t="s">
        <v>394</v>
      </c>
      <c r="C279" s="99">
        <v>3.93</v>
      </c>
      <c r="D279" s="6">
        <v>0.61</v>
      </c>
      <c r="E279" s="7">
        <f t="shared" si="230"/>
        <v>2.3973</v>
      </c>
      <c r="F279" s="7">
        <f t="shared" si="237"/>
        <v>0</v>
      </c>
      <c r="G279" s="8">
        <f t="shared" si="231"/>
        <v>0</v>
      </c>
      <c r="H279" s="9">
        <f t="shared" si="238"/>
        <v>3.93</v>
      </c>
      <c r="I279" s="10">
        <v>0.61</v>
      </c>
      <c r="J279" s="10">
        <f t="shared" si="232"/>
        <v>2.3973</v>
      </c>
      <c r="K279" s="10">
        <f t="shared" si="239"/>
        <v>0</v>
      </c>
      <c r="L279" s="11">
        <f t="shared" si="233"/>
        <v>0</v>
      </c>
      <c r="M279" s="12">
        <f t="shared" si="234"/>
        <v>3.93</v>
      </c>
      <c r="N279" s="13">
        <v>0.55000000000000004</v>
      </c>
      <c r="O279" s="13">
        <f t="shared" si="235"/>
        <v>2.1615000000000002</v>
      </c>
      <c r="P279" s="13">
        <f t="shared" si="240"/>
        <v>0</v>
      </c>
      <c r="Q279" s="14">
        <f t="shared" si="236"/>
        <v>0</v>
      </c>
    </row>
    <row r="280" spans="1:17" x14ac:dyDescent="0.3">
      <c r="A280" s="259">
        <f>VLOOKUP($B280,Reporting!$BL:$CD,MATCH($A$272,Reporting!$BM$4:$CD$4,0)+1,FALSE)</f>
        <v>0</v>
      </c>
      <c r="B280" s="148" t="s">
        <v>395</v>
      </c>
      <c r="C280" s="99">
        <v>5.62</v>
      </c>
      <c r="D280" s="6">
        <v>0.61</v>
      </c>
      <c r="E280" s="7">
        <f t="shared" si="230"/>
        <v>3.4281999999999999</v>
      </c>
      <c r="F280" s="7">
        <f t="shared" si="237"/>
        <v>0</v>
      </c>
      <c r="G280" s="8">
        <f t="shared" si="231"/>
        <v>0</v>
      </c>
      <c r="H280" s="9">
        <f t="shared" si="238"/>
        <v>5.62</v>
      </c>
      <c r="I280" s="10">
        <v>0.61</v>
      </c>
      <c r="J280" s="10">
        <f t="shared" si="232"/>
        <v>3.4281999999999999</v>
      </c>
      <c r="K280" s="10">
        <f t="shared" si="239"/>
        <v>0</v>
      </c>
      <c r="L280" s="11">
        <f t="shared" si="233"/>
        <v>0</v>
      </c>
      <c r="M280" s="12">
        <f t="shared" si="234"/>
        <v>5.62</v>
      </c>
      <c r="N280" s="13">
        <v>0.55000000000000004</v>
      </c>
      <c r="O280" s="13">
        <f t="shared" si="235"/>
        <v>3.0910000000000002</v>
      </c>
      <c r="P280" s="13">
        <f t="shared" si="240"/>
        <v>0</v>
      </c>
      <c r="Q280" s="14">
        <f t="shared" si="236"/>
        <v>0</v>
      </c>
    </row>
    <row r="281" spans="1:17" ht="15" thickBot="1" x14ac:dyDescent="0.35">
      <c r="A281" s="21">
        <f>SUM(A274:A280)</f>
        <v>0</v>
      </c>
      <c r="B281" s="22"/>
      <c r="C281" s="22"/>
      <c r="D281" s="644" t="s">
        <v>9</v>
      </c>
      <c r="E281" s="645"/>
      <c r="F281" s="645"/>
      <c r="G281" s="16">
        <f>SUM(G274:G280)</f>
        <v>0</v>
      </c>
      <c r="H281" s="1"/>
      <c r="I281" s="646" t="s">
        <v>10</v>
      </c>
      <c r="J281" s="646"/>
      <c r="K281" s="646"/>
      <c r="L281" s="17">
        <f>SUM(L274:L280)</f>
        <v>0</v>
      </c>
      <c r="M281" s="15"/>
      <c r="N281" s="647" t="s">
        <v>11</v>
      </c>
      <c r="O281" s="647"/>
      <c r="P281" s="647"/>
      <c r="Q281" s="18">
        <f>SUM(Q274:Q280)</f>
        <v>0</v>
      </c>
    </row>
    <row r="282" spans="1:17" ht="15" thickBot="1" x14ac:dyDescent="0.35"/>
    <row r="283" spans="1:17" ht="15" customHeight="1" x14ac:dyDescent="0.3">
      <c r="A283" s="687" t="s">
        <v>149</v>
      </c>
      <c r="B283" s="687"/>
      <c r="C283" s="687"/>
      <c r="D283" s="687"/>
      <c r="E283" s="687"/>
      <c r="F283" s="687"/>
      <c r="G283" s="687"/>
      <c r="H283" s="726" t="s">
        <v>106</v>
      </c>
      <c r="I283" s="726"/>
      <c r="J283" s="726"/>
      <c r="K283" s="726"/>
      <c r="L283" s="726"/>
      <c r="M283" s="23"/>
      <c r="N283" s="23"/>
      <c r="O283" s="23"/>
      <c r="P283" s="23"/>
      <c r="Q283" s="24"/>
    </row>
    <row r="284" spans="1:17" ht="15" customHeight="1" x14ac:dyDescent="0.3">
      <c r="A284" s="688"/>
      <c r="B284" s="688"/>
      <c r="C284" s="688"/>
      <c r="D284" s="688"/>
      <c r="E284" s="688"/>
      <c r="F284" s="688"/>
      <c r="G284" s="688"/>
      <c r="H284" s="728"/>
      <c r="I284" s="728"/>
      <c r="J284" s="728"/>
      <c r="K284" s="728"/>
      <c r="L284" s="728"/>
      <c r="M284" s="42"/>
      <c r="N284" s="42"/>
      <c r="O284" s="42"/>
      <c r="P284" s="42"/>
      <c r="Q284" s="43"/>
    </row>
    <row r="285" spans="1:17" x14ac:dyDescent="0.3">
      <c r="A285" s="259">
        <f>VLOOKUP($B285,Reporting!$BL:$CD,MATCH($A$283,Reporting!$BM$4:$CD$4,0)+1,FALSE)</f>
        <v>0</v>
      </c>
      <c r="B285" s="263" t="s">
        <v>376</v>
      </c>
      <c r="C285" s="110">
        <v>1.08</v>
      </c>
      <c r="D285" s="6">
        <v>0.61</v>
      </c>
      <c r="E285" s="7">
        <f t="shared" ref="E285:E290" si="241">C285*D285</f>
        <v>0.65880000000000005</v>
      </c>
      <c r="F285" s="7">
        <f t="shared" ref="F285:F290" si="242">A285*E285</f>
        <v>0</v>
      </c>
      <c r="G285" s="8">
        <f t="shared" ref="G285:G290" si="243">F285/8</f>
        <v>0</v>
      </c>
      <c r="H285" s="9">
        <f t="shared" ref="H285:H290" si="244">C285</f>
        <v>1.08</v>
      </c>
      <c r="I285" s="10">
        <v>0.61</v>
      </c>
      <c r="J285" s="10">
        <f t="shared" ref="J285:J290" si="245">H285*I285</f>
        <v>0.65880000000000005</v>
      </c>
      <c r="K285" s="10">
        <f t="shared" ref="K285:K290" si="246">A285*J285</f>
        <v>0</v>
      </c>
      <c r="L285" s="11">
        <f t="shared" ref="L285:L290" si="247">K285/8</f>
        <v>0</v>
      </c>
      <c r="M285" s="12">
        <f t="shared" ref="M285:M290" si="248">H285</f>
        <v>1.08</v>
      </c>
      <c r="N285" s="13">
        <v>0.55000000000000004</v>
      </c>
      <c r="O285" s="13">
        <f t="shared" ref="O285:O290" si="249">M285*N285</f>
        <v>0.59400000000000008</v>
      </c>
      <c r="P285" s="13">
        <f t="shared" ref="P285:P290" si="250">A285*O285</f>
        <v>0</v>
      </c>
      <c r="Q285" s="14">
        <f t="shared" ref="Q285:Q290" si="251">P285/8</f>
        <v>0</v>
      </c>
    </row>
    <row r="286" spans="1:17" x14ac:dyDescent="0.3">
      <c r="A286" s="259">
        <f>VLOOKUP($B286,Reporting!$BL:$CD,MATCH($A$283,Reporting!$BM$4:$CD$4,0)+1,FALSE)</f>
        <v>0</v>
      </c>
      <c r="B286" s="148" t="s">
        <v>391</v>
      </c>
      <c r="C286" s="99">
        <v>1.25</v>
      </c>
      <c r="D286" s="6">
        <v>0.61</v>
      </c>
      <c r="E286" s="7">
        <f t="shared" si="241"/>
        <v>0.76249999999999996</v>
      </c>
      <c r="F286" s="7">
        <f t="shared" si="242"/>
        <v>0</v>
      </c>
      <c r="G286" s="8">
        <f t="shared" si="243"/>
        <v>0</v>
      </c>
      <c r="H286" s="9">
        <f t="shared" si="244"/>
        <v>1.25</v>
      </c>
      <c r="I286" s="10">
        <v>0.61</v>
      </c>
      <c r="J286" s="10">
        <f t="shared" si="245"/>
        <v>0.76249999999999996</v>
      </c>
      <c r="K286" s="10">
        <f t="shared" si="246"/>
        <v>0</v>
      </c>
      <c r="L286" s="11">
        <f t="shared" si="247"/>
        <v>0</v>
      </c>
      <c r="M286" s="12">
        <f t="shared" si="248"/>
        <v>1.25</v>
      </c>
      <c r="N286" s="13">
        <v>0.55000000000000004</v>
      </c>
      <c r="O286" s="13">
        <f t="shared" si="249"/>
        <v>0.6875</v>
      </c>
      <c r="P286" s="13">
        <f t="shared" si="250"/>
        <v>0</v>
      </c>
      <c r="Q286" s="14">
        <f t="shared" si="251"/>
        <v>0</v>
      </c>
    </row>
    <row r="287" spans="1:17" x14ac:dyDescent="0.3">
      <c r="A287" s="259">
        <f>VLOOKUP($B287,Reporting!$BL:$CD,MATCH($A$283,Reporting!$BM$4:$CD$4,0)+1,FALSE)</f>
        <v>0</v>
      </c>
      <c r="B287" s="148" t="s">
        <v>392</v>
      </c>
      <c r="C287" s="99">
        <v>1.5</v>
      </c>
      <c r="D287" s="6">
        <v>0.61</v>
      </c>
      <c r="E287" s="7">
        <f t="shared" si="241"/>
        <v>0.91500000000000004</v>
      </c>
      <c r="F287" s="7">
        <f t="shared" si="242"/>
        <v>0</v>
      </c>
      <c r="G287" s="8">
        <f t="shared" si="243"/>
        <v>0</v>
      </c>
      <c r="H287" s="9">
        <f t="shared" si="244"/>
        <v>1.5</v>
      </c>
      <c r="I287" s="10">
        <v>0.61</v>
      </c>
      <c r="J287" s="10">
        <f t="shared" si="245"/>
        <v>0.91500000000000004</v>
      </c>
      <c r="K287" s="10">
        <f t="shared" si="246"/>
        <v>0</v>
      </c>
      <c r="L287" s="11">
        <f t="shared" si="247"/>
        <v>0</v>
      </c>
      <c r="M287" s="12">
        <f t="shared" si="248"/>
        <v>1.5</v>
      </c>
      <c r="N287" s="13">
        <v>0.55000000000000004</v>
      </c>
      <c r="O287" s="13">
        <f t="shared" si="249"/>
        <v>0.82500000000000007</v>
      </c>
      <c r="P287" s="13">
        <f t="shared" si="250"/>
        <v>0</v>
      </c>
      <c r="Q287" s="14">
        <f t="shared" si="251"/>
        <v>0</v>
      </c>
    </row>
    <row r="288" spans="1:17" x14ac:dyDescent="0.3">
      <c r="A288" s="259">
        <f>VLOOKUP($B288,Reporting!$BL:$CD,MATCH($A$283,Reporting!$BM$4:$CD$4,0)+1,FALSE)</f>
        <v>0</v>
      </c>
      <c r="B288" s="148" t="s">
        <v>393</v>
      </c>
      <c r="C288" s="99">
        <v>2.17</v>
      </c>
      <c r="D288" s="6">
        <v>0.61</v>
      </c>
      <c r="E288" s="7">
        <f t="shared" si="241"/>
        <v>1.3236999999999999</v>
      </c>
      <c r="F288" s="7">
        <f t="shared" si="242"/>
        <v>0</v>
      </c>
      <c r="G288" s="8">
        <f t="shared" si="243"/>
        <v>0</v>
      </c>
      <c r="H288" s="9">
        <f t="shared" si="244"/>
        <v>2.17</v>
      </c>
      <c r="I288" s="10">
        <v>0.61</v>
      </c>
      <c r="J288" s="10">
        <f t="shared" si="245"/>
        <v>1.3236999999999999</v>
      </c>
      <c r="K288" s="10">
        <f t="shared" si="246"/>
        <v>0</v>
      </c>
      <c r="L288" s="11">
        <f t="shared" si="247"/>
        <v>0</v>
      </c>
      <c r="M288" s="12">
        <f t="shared" si="248"/>
        <v>2.17</v>
      </c>
      <c r="N288" s="13">
        <v>0.55000000000000004</v>
      </c>
      <c r="O288" s="13">
        <f t="shared" si="249"/>
        <v>1.1935</v>
      </c>
      <c r="P288" s="13">
        <f t="shared" si="250"/>
        <v>0</v>
      </c>
      <c r="Q288" s="14">
        <f t="shared" si="251"/>
        <v>0</v>
      </c>
    </row>
    <row r="289" spans="1:17" x14ac:dyDescent="0.3">
      <c r="A289" s="259">
        <f>VLOOKUP($B289,Reporting!$BL:$CD,MATCH($A$283,Reporting!$BM$4:$CD$4,0)+1,FALSE)</f>
        <v>0</v>
      </c>
      <c r="B289" s="148" t="s">
        <v>394</v>
      </c>
      <c r="C289" s="99">
        <v>2.61</v>
      </c>
      <c r="D289" s="6">
        <v>0.61</v>
      </c>
      <c r="E289" s="7">
        <f t="shared" si="241"/>
        <v>1.5920999999999998</v>
      </c>
      <c r="F289" s="7">
        <f t="shared" si="242"/>
        <v>0</v>
      </c>
      <c r="G289" s="8">
        <f t="shared" si="243"/>
        <v>0</v>
      </c>
      <c r="H289" s="9">
        <f t="shared" si="244"/>
        <v>2.61</v>
      </c>
      <c r="I289" s="10">
        <v>0.61</v>
      </c>
      <c r="J289" s="10">
        <f t="shared" si="245"/>
        <v>1.5920999999999998</v>
      </c>
      <c r="K289" s="10">
        <f t="shared" si="246"/>
        <v>0</v>
      </c>
      <c r="L289" s="11">
        <f t="shared" si="247"/>
        <v>0</v>
      </c>
      <c r="M289" s="12">
        <f t="shared" si="248"/>
        <v>2.61</v>
      </c>
      <c r="N289" s="13">
        <v>0.55000000000000004</v>
      </c>
      <c r="O289" s="13">
        <f t="shared" si="249"/>
        <v>1.4355</v>
      </c>
      <c r="P289" s="13">
        <f t="shared" si="250"/>
        <v>0</v>
      </c>
      <c r="Q289" s="14">
        <f t="shared" si="251"/>
        <v>0</v>
      </c>
    </row>
    <row r="290" spans="1:17" x14ac:dyDescent="0.3">
      <c r="A290" s="259">
        <f>VLOOKUP($B290,Reporting!$BL:$CD,MATCH($A$283,Reporting!$BM$4:$CD$4,0)+1,FALSE)</f>
        <v>0</v>
      </c>
      <c r="B290" s="148" t="s">
        <v>395</v>
      </c>
      <c r="C290" s="99">
        <v>3.68</v>
      </c>
      <c r="D290" s="6">
        <v>0.61</v>
      </c>
      <c r="E290" s="7">
        <f t="shared" si="241"/>
        <v>2.2448000000000001</v>
      </c>
      <c r="F290" s="7">
        <f t="shared" si="242"/>
        <v>0</v>
      </c>
      <c r="G290" s="8">
        <f t="shared" si="243"/>
        <v>0</v>
      </c>
      <c r="H290" s="9">
        <f t="shared" si="244"/>
        <v>3.68</v>
      </c>
      <c r="I290" s="10">
        <v>0.61</v>
      </c>
      <c r="J290" s="10">
        <f t="shared" si="245"/>
        <v>2.2448000000000001</v>
      </c>
      <c r="K290" s="10">
        <f t="shared" si="246"/>
        <v>0</v>
      </c>
      <c r="L290" s="11">
        <f t="shared" si="247"/>
        <v>0</v>
      </c>
      <c r="M290" s="12">
        <f t="shared" si="248"/>
        <v>3.68</v>
      </c>
      <c r="N290" s="13">
        <v>0.55000000000000004</v>
      </c>
      <c r="O290" s="13">
        <f t="shared" si="249"/>
        <v>2.0240000000000005</v>
      </c>
      <c r="P290" s="13">
        <f t="shared" si="250"/>
        <v>0</v>
      </c>
      <c r="Q290" s="14">
        <f t="shared" si="251"/>
        <v>0</v>
      </c>
    </row>
    <row r="291" spans="1:17" ht="15" thickBot="1" x14ac:dyDescent="0.35">
      <c r="A291" s="21">
        <f>SUM(A285:A290)</f>
        <v>0</v>
      </c>
      <c r="B291" s="22"/>
      <c r="C291" s="22"/>
      <c r="D291" s="644" t="s">
        <v>9</v>
      </c>
      <c r="E291" s="645"/>
      <c r="F291" s="645"/>
      <c r="G291" s="16">
        <f>SUM(G285:G290)</f>
        <v>0</v>
      </c>
      <c r="H291" s="1"/>
      <c r="I291" s="646" t="s">
        <v>10</v>
      </c>
      <c r="J291" s="646"/>
      <c r="K291" s="646"/>
      <c r="L291" s="17">
        <f>SUM(L285:L290)</f>
        <v>0</v>
      </c>
      <c r="M291" s="15"/>
      <c r="N291" s="647" t="s">
        <v>11</v>
      </c>
      <c r="O291" s="647"/>
      <c r="P291" s="647"/>
      <c r="Q291" s="18">
        <f>SUM(Q285:Q290)</f>
        <v>0</v>
      </c>
    </row>
    <row r="292" spans="1:17" ht="15" thickBot="1" x14ac:dyDescent="0.35"/>
    <row r="293" spans="1:17" ht="15" customHeight="1" x14ac:dyDescent="0.3">
      <c r="A293" s="687" t="s">
        <v>150</v>
      </c>
      <c r="B293" s="687"/>
      <c r="C293" s="687"/>
      <c r="D293" s="687"/>
      <c r="E293" s="687"/>
      <c r="F293" s="687"/>
      <c r="G293" s="726" t="s">
        <v>107</v>
      </c>
      <c r="H293" s="726"/>
      <c r="I293" s="726"/>
      <c r="J293" s="726"/>
      <c r="K293" s="726"/>
      <c r="L293" s="23"/>
      <c r="M293" s="23"/>
      <c r="N293" s="23"/>
      <c r="O293" s="23"/>
      <c r="P293" s="23"/>
      <c r="Q293" s="24"/>
    </row>
    <row r="294" spans="1:17" ht="15" customHeight="1" x14ac:dyDescent="0.3">
      <c r="A294" s="688"/>
      <c r="B294" s="688"/>
      <c r="C294" s="688"/>
      <c r="D294" s="688"/>
      <c r="E294" s="688"/>
      <c r="F294" s="688"/>
      <c r="G294" s="728"/>
      <c r="H294" s="728"/>
      <c r="I294" s="728"/>
      <c r="J294" s="728"/>
      <c r="K294" s="728"/>
      <c r="L294" s="42"/>
      <c r="M294" s="42"/>
      <c r="N294" s="42"/>
      <c r="O294" s="42"/>
      <c r="P294" s="42"/>
      <c r="Q294" s="43"/>
    </row>
    <row r="295" spans="1:17" x14ac:dyDescent="0.3">
      <c r="A295" s="259">
        <f>VLOOKUP($B295,Reporting!$BL:$CD,MATCH($A$293,Reporting!$BM$4:$CD$4,0)+1,FALSE)</f>
        <v>0</v>
      </c>
      <c r="B295" s="263" t="s">
        <v>376</v>
      </c>
      <c r="C295" s="99">
        <v>1.0900000000000001</v>
      </c>
      <c r="D295" s="6">
        <v>0.61</v>
      </c>
      <c r="E295" s="7">
        <f t="shared" ref="E295:E300" si="252">C295*D295</f>
        <v>0.66490000000000005</v>
      </c>
      <c r="F295" s="7">
        <f t="shared" ref="F295:F300" si="253">A295*E295</f>
        <v>0</v>
      </c>
      <c r="G295" s="8">
        <f t="shared" ref="G295:G300" si="254">F295/8</f>
        <v>0</v>
      </c>
      <c r="H295" s="9">
        <f t="shared" ref="H295:H300" si="255">C295</f>
        <v>1.0900000000000001</v>
      </c>
      <c r="I295" s="10">
        <v>0.61</v>
      </c>
      <c r="J295" s="10">
        <f t="shared" ref="J295:J300" si="256">H295*I295</f>
        <v>0.66490000000000005</v>
      </c>
      <c r="K295" s="10">
        <f t="shared" ref="K295:K300" si="257">A295*J295</f>
        <v>0</v>
      </c>
      <c r="L295" s="11">
        <f t="shared" ref="L295:L300" si="258">K295/8</f>
        <v>0</v>
      </c>
      <c r="M295" s="12">
        <f t="shared" ref="M295:M300" si="259">H295</f>
        <v>1.0900000000000001</v>
      </c>
      <c r="N295" s="13">
        <v>0.55000000000000004</v>
      </c>
      <c r="O295" s="13">
        <f t="shared" ref="O295:O300" si="260">M295*N295</f>
        <v>0.59950000000000014</v>
      </c>
      <c r="P295" s="13">
        <f t="shared" ref="P295:P300" si="261">A295*O295</f>
        <v>0</v>
      </c>
      <c r="Q295" s="14">
        <f t="shared" ref="Q295:Q300" si="262">P295/8</f>
        <v>0</v>
      </c>
    </row>
    <row r="296" spans="1:17" x14ac:dyDescent="0.3">
      <c r="A296" s="259">
        <f>VLOOKUP($B296,Reporting!$BL:$CD,MATCH($A$293,Reporting!$BM$4:$CD$4,0)+1,FALSE)</f>
        <v>0</v>
      </c>
      <c r="B296" s="148" t="s">
        <v>391</v>
      </c>
      <c r="C296" s="99">
        <v>1.32</v>
      </c>
      <c r="D296" s="6">
        <v>0.61</v>
      </c>
      <c r="E296" s="7">
        <f t="shared" si="252"/>
        <v>0.80520000000000003</v>
      </c>
      <c r="F296" s="7">
        <f t="shared" si="253"/>
        <v>0</v>
      </c>
      <c r="G296" s="8">
        <f t="shared" si="254"/>
        <v>0</v>
      </c>
      <c r="H296" s="9">
        <f t="shared" si="255"/>
        <v>1.32</v>
      </c>
      <c r="I296" s="10">
        <v>0.61</v>
      </c>
      <c r="J296" s="10">
        <f t="shared" si="256"/>
        <v>0.80520000000000003</v>
      </c>
      <c r="K296" s="10">
        <f t="shared" si="257"/>
        <v>0</v>
      </c>
      <c r="L296" s="11">
        <f t="shared" si="258"/>
        <v>0</v>
      </c>
      <c r="M296" s="12">
        <f t="shared" si="259"/>
        <v>1.32</v>
      </c>
      <c r="N296" s="13">
        <v>0.55000000000000004</v>
      </c>
      <c r="O296" s="13">
        <f t="shared" si="260"/>
        <v>0.72600000000000009</v>
      </c>
      <c r="P296" s="13">
        <f t="shared" si="261"/>
        <v>0</v>
      </c>
      <c r="Q296" s="14">
        <f t="shared" si="262"/>
        <v>0</v>
      </c>
    </row>
    <row r="297" spans="1:17" x14ac:dyDescent="0.3">
      <c r="A297" s="259">
        <f>VLOOKUP($B297,Reporting!$BL:$CD,MATCH($A$293,Reporting!$BM$4:$CD$4,0)+1,FALSE)</f>
        <v>0</v>
      </c>
      <c r="B297" s="148" t="s">
        <v>392</v>
      </c>
      <c r="C297" s="99">
        <v>1.85</v>
      </c>
      <c r="D297" s="6">
        <v>0.61</v>
      </c>
      <c r="E297" s="7">
        <f t="shared" si="252"/>
        <v>1.1285000000000001</v>
      </c>
      <c r="F297" s="7">
        <f t="shared" si="253"/>
        <v>0</v>
      </c>
      <c r="G297" s="8">
        <f t="shared" si="254"/>
        <v>0</v>
      </c>
      <c r="H297" s="9">
        <f t="shared" si="255"/>
        <v>1.85</v>
      </c>
      <c r="I297" s="10">
        <v>0.61</v>
      </c>
      <c r="J297" s="10">
        <f t="shared" si="256"/>
        <v>1.1285000000000001</v>
      </c>
      <c r="K297" s="10">
        <f t="shared" si="257"/>
        <v>0</v>
      </c>
      <c r="L297" s="11">
        <f t="shared" si="258"/>
        <v>0</v>
      </c>
      <c r="M297" s="12">
        <f t="shared" si="259"/>
        <v>1.85</v>
      </c>
      <c r="N297" s="13">
        <v>0.55000000000000004</v>
      </c>
      <c r="O297" s="13">
        <f t="shared" si="260"/>
        <v>1.0175000000000001</v>
      </c>
      <c r="P297" s="13">
        <f t="shared" si="261"/>
        <v>0</v>
      </c>
      <c r="Q297" s="14">
        <f t="shared" si="262"/>
        <v>0</v>
      </c>
    </row>
    <row r="298" spans="1:17" x14ac:dyDescent="0.3">
      <c r="A298" s="259">
        <f>VLOOKUP($B298,Reporting!$BL:$CD,MATCH($A$293,Reporting!$BM$4:$CD$4,0)+1,FALSE)</f>
        <v>0</v>
      </c>
      <c r="B298" s="148" t="s">
        <v>393</v>
      </c>
      <c r="C298" s="99">
        <v>2.4900000000000002</v>
      </c>
      <c r="D298" s="6">
        <v>0.61</v>
      </c>
      <c r="E298" s="7">
        <f t="shared" si="252"/>
        <v>1.5189000000000001</v>
      </c>
      <c r="F298" s="7">
        <f t="shared" si="253"/>
        <v>0</v>
      </c>
      <c r="G298" s="8">
        <f t="shared" si="254"/>
        <v>0</v>
      </c>
      <c r="H298" s="9">
        <f t="shared" si="255"/>
        <v>2.4900000000000002</v>
      </c>
      <c r="I298" s="10">
        <v>0.61</v>
      </c>
      <c r="J298" s="10">
        <f t="shared" si="256"/>
        <v>1.5189000000000001</v>
      </c>
      <c r="K298" s="10">
        <f t="shared" si="257"/>
        <v>0</v>
      </c>
      <c r="L298" s="11">
        <f t="shared" si="258"/>
        <v>0</v>
      </c>
      <c r="M298" s="12">
        <f t="shared" si="259"/>
        <v>2.4900000000000002</v>
      </c>
      <c r="N298" s="13">
        <v>0.55000000000000004</v>
      </c>
      <c r="O298" s="13">
        <f t="shared" si="260"/>
        <v>1.3695000000000002</v>
      </c>
      <c r="P298" s="13">
        <f t="shared" si="261"/>
        <v>0</v>
      </c>
      <c r="Q298" s="14">
        <f t="shared" si="262"/>
        <v>0</v>
      </c>
    </row>
    <row r="299" spans="1:17" x14ac:dyDescent="0.3">
      <c r="A299" s="259">
        <f>VLOOKUP($B299,Reporting!$BL:$CD,MATCH($A$293,Reporting!$BM$4:$CD$4,0)+1,FALSE)</f>
        <v>0</v>
      </c>
      <c r="B299" s="148" t="s">
        <v>394</v>
      </c>
      <c r="C299" s="99">
        <v>3.13</v>
      </c>
      <c r="D299" s="6">
        <v>0.61</v>
      </c>
      <c r="E299" s="7">
        <f t="shared" si="252"/>
        <v>1.9093</v>
      </c>
      <c r="F299" s="7">
        <f t="shared" si="253"/>
        <v>0</v>
      </c>
      <c r="G299" s="8">
        <f t="shared" si="254"/>
        <v>0</v>
      </c>
      <c r="H299" s="9">
        <f t="shared" si="255"/>
        <v>3.13</v>
      </c>
      <c r="I299" s="10">
        <v>0.61</v>
      </c>
      <c r="J299" s="10">
        <f t="shared" si="256"/>
        <v>1.9093</v>
      </c>
      <c r="K299" s="10">
        <f t="shared" si="257"/>
        <v>0</v>
      </c>
      <c r="L299" s="11">
        <f t="shared" si="258"/>
        <v>0</v>
      </c>
      <c r="M299" s="12">
        <f t="shared" si="259"/>
        <v>3.13</v>
      </c>
      <c r="N299" s="13">
        <v>0.55000000000000004</v>
      </c>
      <c r="O299" s="13">
        <f t="shared" si="260"/>
        <v>1.7215</v>
      </c>
      <c r="P299" s="13">
        <f t="shared" si="261"/>
        <v>0</v>
      </c>
      <c r="Q299" s="14">
        <f t="shared" si="262"/>
        <v>0</v>
      </c>
    </row>
    <row r="300" spans="1:17" x14ac:dyDescent="0.3">
      <c r="A300" s="259">
        <f>VLOOKUP($B300,Reporting!$BL:$CD,MATCH($A$293,Reporting!$BM$4:$CD$4,0)+1,FALSE)</f>
        <v>0</v>
      </c>
      <c r="B300" s="148" t="s">
        <v>395</v>
      </c>
      <c r="C300" s="99">
        <v>3.76</v>
      </c>
      <c r="D300" s="6">
        <v>0.61</v>
      </c>
      <c r="E300" s="7">
        <f t="shared" si="252"/>
        <v>2.2935999999999996</v>
      </c>
      <c r="F300" s="7">
        <f t="shared" si="253"/>
        <v>0</v>
      </c>
      <c r="G300" s="8">
        <f t="shared" si="254"/>
        <v>0</v>
      </c>
      <c r="H300" s="9">
        <f t="shared" si="255"/>
        <v>3.76</v>
      </c>
      <c r="I300" s="10">
        <v>0.61</v>
      </c>
      <c r="J300" s="10">
        <f t="shared" si="256"/>
        <v>2.2935999999999996</v>
      </c>
      <c r="K300" s="10">
        <f t="shared" si="257"/>
        <v>0</v>
      </c>
      <c r="L300" s="11">
        <f t="shared" si="258"/>
        <v>0</v>
      </c>
      <c r="M300" s="12">
        <f t="shared" si="259"/>
        <v>3.76</v>
      </c>
      <c r="N300" s="13">
        <v>0.55000000000000004</v>
      </c>
      <c r="O300" s="13">
        <f t="shared" si="260"/>
        <v>2.0680000000000001</v>
      </c>
      <c r="P300" s="13">
        <f t="shared" si="261"/>
        <v>0</v>
      </c>
      <c r="Q300" s="14">
        <f t="shared" si="262"/>
        <v>0</v>
      </c>
    </row>
    <row r="301" spans="1:17" ht="15" thickBot="1" x14ac:dyDescent="0.35">
      <c r="A301" s="21">
        <f>SUM(A295:A300)</f>
        <v>0</v>
      </c>
      <c r="B301" s="22"/>
      <c r="C301" s="22"/>
      <c r="D301" s="644" t="s">
        <v>9</v>
      </c>
      <c r="E301" s="645"/>
      <c r="F301" s="645"/>
      <c r="G301" s="16">
        <f>SUM(G295:G300)</f>
        <v>0</v>
      </c>
      <c r="H301" s="1"/>
      <c r="I301" s="646" t="s">
        <v>10</v>
      </c>
      <c r="J301" s="646"/>
      <c r="K301" s="646"/>
      <c r="L301" s="17">
        <f>SUM(L295:L300)</f>
        <v>0</v>
      </c>
      <c r="M301" s="15"/>
      <c r="N301" s="647" t="s">
        <v>11</v>
      </c>
      <c r="O301" s="647"/>
      <c r="P301" s="647"/>
      <c r="Q301" s="18">
        <f>SUM(Q295:Q300)</f>
        <v>0</v>
      </c>
    </row>
    <row r="302" spans="1:17" ht="15" thickBot="1" x14ac:dyDescent="0.35"/>
    <row r="303" spans="1:17" x14ac:dyDescent="0.3">
      <c r="A303" s="687" t="s">
        <v>151</v>
      </c>
      <c r="B303" s="687"/>
      <c r="C303" s="687"/>
      <c r="D303" s="687"/>
      <c r="E303" s="687"/>
      <c r="F303" s="726" t="s">
        <v>108</v>
      </c>
      <c r="G303" s="726"/>
      <c r="H303" s="726"/>
      <c r="I303" s="726"/>
      <c r="J303" s="726"/>
      <c r="K303" s="23"/>
      <c r="L303" s="23"/>
      <c r="M303" s="23"/>
      <c r="N303" s="23"/>
      <c r="O303" s="23"/>
      <c r="P303" s="23"/>
      <c r="Q303" s="24"/>
    </row>
    <row r="304" spans="1:17" x14ac:dyDescent="0.3">
      <c r="A304" s="688"/>
      <c r="B304" s="688"/>
      <c r="C304" s="688"/>
      <c r="D304" s="688"/>
      <c r="E304" s="688"/>
      <c r="F304" s="728"/>
      <c r="G304" s="728"/>
      <c r="H304" s="728"/>
      <c r="I304" s="728"/>
      <c r="J304" s="728"/>
      <c r="K304" s="42"/>
      <c r="L304" s="42"/>
      <c r="M304" s="42"/>
      <c r="N304" s="42"/>
      <c r="O304" s="42"/>
      <c r="P304" s="42"/>
      <c r="Q304" s="43"/>
    </row>
    <row r="305" spans="1:21" x14ac:dyDescent="0.3">
      <c r="A305" s="259">
        <f>VLOOKUP($B305,Reporting!$BL:$CD,MATCH($A$303,Reporting!$BM$4:$CD$4,0)+1,FALSE)</f>
        <v>0</v>
      </c>
      <c r="B305" s="263" t="s">
        <v>376</v>
      </c>
      <c r="C305" s="110">
        <v>1.8</v>
      </c>
      <c r="D305" s="6">
        <v>0.61</v>
      </c>
      <c r="E305" s="7">
        <f t="shared" ref="E305:E310" si="263">C305*D305</f>
        <v>1.0980000000000001</v>
      </c>
      <c r="F305" s="7">
        <f t="shared" ref="F305:F310" si="264">A305*E305</f>
        <v>0</v>
      </c>
      <c r="G305" s="8">
        <f t="shared" ref="G305:G310" si="265">F305/8</f>
        <v>0</v>
      </c>
      <c r="H305" s="9">
        <f t="shared" ref="H305:H310" si="266">C305</f>
        <v>1.8</v>
      </c>
      <c r="I305" s="10">
        <v>0.61</v>
      </c>
      <c r="J305" s="10">
        <f t="shared" ref="J305:J310" si="267">H305*I305</f>
        <v>1.0980000000000001</v>
      </c>
      <c r="K305" s="10">
        <f t="shared" ref="K305:K310" si="268">A305*J305</f>
        <v>0</v>
      </c>
      <c r="L305" s="11">
        <f t="shared" ref="L305:L310" si="269">K305/8</f>
        <v>0</v>
      </c>
      <c r="M305" s="12">
        <f t="shared" ref="M305:M310" si="270">H305</f>
        <v>1.8</v>
      </c>
      <c r="N305" s="13">
        <v>0.55000000000000004</v>
      </c>
      <c r="O305" s="13">
        <f t="shared" ref="O305:O310" si="271">M305*N305</f>
        <v>0.9900000000000001</v>
      </c>
      <c r="P305" s="13">
        <f t="shared" ref="P305:P310" si="272">A305*O305</f>
        <v>0</v>
      </c>
      <c r="Q305" s="14">
        <f t="shared" ref="Q305:Q310" si="273">P305/8</f>
        <v>0</v>
      </c>
    </row>
    <row r="306" spans="1:21" x14ac:dyDescent="0.3">
      <c r="A306" s="259">
        <f>VLOOKUP($B306,Reporting!$BL:$CD,MATCH($A$303,Reporting!$BM$4:$CD$4,0)+1,FALSE)</f>
        <v>0</v>
      </c>
      <c r="B306" s="148" t="s">
        <v>391</v>
      </c>
      <c r="C306" s="99">
        <v>2</v>
      </c>
      <c r="D306" s="6">
        <v>0.61</v>
      </c>
      <c r="E306" s="7">
        <f t="shared" si="263"/>
        <v>1.22</v>
      </c>
      <c r="F306" s="7">
        <f t="shared" si="264"/>
        <v>0</v>
      </c>
      <c r="G306" s="8">
        <f t="shared" si="265"/>
        <v>0</v>
      </c>
      <c r="H306" s="9">
        <f t="shared" si="266"/>
        <v>2</v>
      </c>
      <c r="I306" s="10">
        <v>0.61</v>
      </c>
      <c r="J306" s="10">
        <f t="shared" si="267"/>
        <v>1.22</v>
      </c>
      <c r="K306" s="10">
        <f t="shared" si="268"/>
        <v>0</v>
      </c>
      <c r="L306" s="11">
        <f t="shared" si="269"/>
        <v>0</v>
      </c>
      <c r="M306" s="12">
        <f t="shared" si="270"/>
        <v>2</v>
      </c>
      <c r="N306" s="13">
        <v>0.55000000000000004</v>
      </c>
      <c r="O306" s="13">
        <f t="shared" si="271"/>
        <v>1.1000000000000001</v>
      </c>
      <c r="P306" s="13">
        <f t="shared" si="272"/>
        <v>0</v>
      </c>
      <c r="Q306" s="14">
        <f t="shared" si="273"/>
        <v>0</v>
      </c>
    </row>
    <row r="307" spans="1:21" x14ac:dyDescent="0.3">
      <c r="A307" s="259">
        <f>VLOOKUP($B307,Reporting!$BL:$CD,MATCH($A$303,Reporting!$BM$4:$CD$4,0)+1,FALSE)</f>
        <v>0</v>
      </c>
      <c r="B307" s="148" t="s">
        <v>392</v>
      </c>
      <c r="C307" s="99">
        <v>3.38</v>
      </c>
      <c r="D307" s="6">
        <v>0.61</v>
      </c>
      <c r="E307" s="7">
        <f t="shared" si="263"/>
        <v>2.0617999999999999</v>
      </c>
      <c r="F307" s="7">
        <f t="shared" si="264"/>
        <v>0</v>
      </c>
      <c r="G307" s="8">
        <f t="shared" si="265"/>
        <v>0</v>
      </c>
      <c r="H307" s="9">
        <f t="shared" si="266"/>
        <v>3.38</v>
      </c>
      <c r="I307" s="10">
        <v>0.61</v>
      </c>
      <c r="J307" s="10">
        <f t="shared" si="267"/>
        <v>2.0617999999999999</v>
      </c>
      <c r="K307" s="10">
        <f t="shared" si="268"/>
        <v>0</v>
      </c>
      <c r="L307" s="11">
        <f t="shared" si="269"/>
        <v>0</v>
      </c>
      <c r="M307" s="12">
        <f t="shared" si="270"/>
        <v>3.38</v>
      </c>
      <c r="N307" s="13">
        <v>0.55000000000000004</v>
      </c>
      <c r="O307" s="13">
        <f t="shared" si="271"/>
        <v>1.859</v>
      </c>
      <c r="P307" s="13">
        <f t="shared" si="272"/>
        <v>0</v>
      </c>
      <c r="Q307" s="14">
        <f t="shared" si="273"/>
        <v>0</v>
      </c>
    </row>
    <row r="308" spans="1:21" x14ac:dyDescent="0.3">
      <c r="A308" s="259">
        <f>VLOOKUP($B308,Reporting!$BL:$CD,MATCH($A$303,Reporting!$BM$4:$CD$4,0)+1,FALSE)</f>
        <v>0</v>
      </c>
      <c r="B308" s="148" t="s">
        <v>393</v>
      </c>
      <c r="C308" s="99">
        <v>4.34</v>
      </c>
      <c r="D308" s="6">
        <v>0.61</v>
      </c>
      <c r="E308" s="7">
        <f t="shared" si="263"/>
        <v>2.6473999999999998</v>
      </c>
      <c r="F308" s="7">
        <f t="shared" si="264"/>
        <v>0</v>
      </c>
      <c r="G308" s="8">
        <f t="shared" si="265"/>
        <v>0</v>
      </c>
      <c r="H308" s="9">
        <f t="shared" si="266"/>
        <v>4.34</v>
      </c>
      <c r="I308" s="10">
        <v>0.61</v>
      </c>
      <c r="J308" s="10">
        <f t="shared" si="267"/>
        <v>2.6473999999999998</v>
      </c>
      <c r="K308" s="10">
        <f t="shared" si="268"/>
        <v>0</v>
      </c>
      <c r="L308" s="11">
        <f t="shared" si="269"/>
        <v>0</v>
      </c>
      <c r="M308" s="12">
        <f t="shared" si="270"/>
        <v>4.34</v>
      </c>
      <c r="N308" s="13">
        <v>0.55000000000000004</v>
      </c>
      <c r="O308" s="13">
        <f t="shared" si="271"/>
        <v>2.387</v>
      </c>
      <c r="P308" s="13">
        <f t="shared" si="272"/>
        <v>0</v>
      </c>
      <c r="Q308" s="14">
        <f t="shared" si="273"/>
        <v>0</v>
      </c>
    </row>
    <row r="309" spans="1:21" x14ac:dyDescent="0.3">
      <c r="A309" s="259">
        <f>VLOOKUP($B309,Reporting!$BL:$CD,MATCH($A$303,Reporting!$BM$4:$CD$4,0)+1,FALSE)</f>
        <v>0</v>
      </c>
      <c r="B309" s="148" t="s">
        <v>394</v>
      </c>
      <c r="C309" s="99">
        <v>5.04</v>
      </c>
      <c r="D309" s="6">
        <v>0.61</v>
      </c>
      <c r="E309" s="7">
        <f t="shared" si="263"/>
        <v>3.0743999999999998</v>
      </c>
      <c r="F309" s="7">
        <f t="shared" si="264"/>
        <v>0</v>
      </c>
      <c r="G309" s="8">
        <f t="shared" si="265"/>
        <v>0</v>
      </c>
      <c r="H309" s="9">
        <f t="shared" si="266"/>
        <v>5.04</v>
      </c>
      <c r="I309" s="10">
        <v>0.61</v>
      </c>
      <c r="J309" s="10">
        <f t="shared" si="267"/>
        <v>3.0743999999999998</v>
      </c>
      <c r="K309" s="10">
        <f t="shared" si="268"/>
        <v>0</v>
      </c>
      <c r="L309" s="11">
        <f t="shared" si="269"/>
        <v>0</v>
      </c>
      <c r="M309" s="12">
        <f t="shared" si="270"/>
        <v>5.04</v>
      </c>
      <c r="N309" s="13">
        <v>0.55000000000000004</v>
      </c>
      <c r="O309" s="13">
        <f t="shared" si="271"/>
        <v>2.7720000000000002</v>
      </c>
      <c r="P309" s="13">
        <f t="shared" si="272"/>
        <v>0</v>
      </c>
      <c r="Q309" s="14">
        <f t="shared" si="273"/>
        <v>0</v>
      </c>
    </row>
    <row r="310" spans="1:21" x14ac:dyDescent="0.3">
      <c r="A310" s="259">
        <f>VLOOKUP($B310,Reporting!$BL:$CD,MATCH($A$303,Reporting!$BM$4:$CD$4,0)+1,FALSE)</f>
        <v>0</v>
      </c>
      <c r="B310" s="148" t="s">
        <v>395</v>
      </c>
      <c r="C310" s="99">
        <v>6.8</v>
      </c>
      <c r="D310" s="6">
        <v>0.61</v>
      </c>
      <c r="E310" s="7">
        <f t="shared" si="263"/>
        <v>4.1479999999999997</v>
      </c>
      <c r="F310" s="7">
        <f t="shared" si="264"/>
        <v>0</v>
      </c>
      <c r="G310" s="8">
        <f t="shared" si="265"/>
        <v>0</v>
      </c>
      <c r="H310" s="9">
        <f t="shared" si="266"/>
        <v>6.8</v>
      </c>
      <c r="I310" s="10">
        <v>0.61</v>
      </c>
      <c r="J310" s="10">
        <f t="shared" si="267"/>
        <v>4.1479999999999997</v>
      </c>
      <c r="K310" s="10">
        <f t="shared" si="268"/>
        <v>0</v>
      </c>
      <c r="L310" s="11">
        <f t="shared" si="269"/>
        <v>0</v>
      </c>
      <c r="M310" s="12">
        <f t="shared" si="270"/>
        <v>6.8</v>
      </c>
      <c r="N310" s="13">
        <v>0.55000000000000004</v>
      </c>
      <c r="O310" s="13">
        <f t="shared" si="271"/>
        <v>3.74</v>
      </c>
      <c r="P310" s="13">
        <f t="shared" si="272"/>
        <v>0</v>
      </c>
      <c r="Q310" s="14">
        <f t="shared" si="273"/>
        <v>0</v>
      </c>
    </row>
    <row r="311" spans="1:21" ht="15" thickBot="1" x14ac:dyDescent="0.35">
      <c r="A311" s="21">
        <f>SUM(A305:A310)</f>
        <v>0</v>
      </c>
      <c r="B311" s="22"/>
      <c r="C311" s="22"/>
      <c r="D311" s="644" t="s">
        <v>9</v>
      </c>
      <c r="E311" s="645"/>
      <c r="F311" s="645"/>
      <c r="G311" s="16">
        <f>SUM(G305:G310)</f>
        <v>0</v>
      </c>
      <c r="H311" s="1"/>
      <c r="I311" s="646" t="s">
        <v>10</v>
      </c>
      <c r="J311" s="646"/>
      <c r="K311" s="646"/>
      <c r="L311" s="17">
        <f>SUM(L305:L310)</f>
        <v>0</v>
      </c>
      <c r="M311" s="15"/>
      <c r="N311" s="647" t="s">
        <v>11</v>
      </c>
      <c r="O311" s="647"/>
      <c r="P311" s="647"/>
      <c r="Q311" s="18">
        <f>SUM(Q305:Q310)</f>
        <v>0</v>
      </c>
    </row>
    <row r="312" spans="1:21" ht="15" thickBot="1" x14ac:dyDescent="0.35"/>
    <row r="313" spans="1:21" x14ac:dyDescent="0.3">
      <c r="A313" s="689" t="s">
        <v>111</v>
      </c>
      <c r="B313" s="689"/>
      <c r="C313" s="689"/>
      <c r="D313" s="698" t="s">
        <v>283</v>
      </c>
      <c r="E313" s="698"/>
      <c r="F313" s="698" t="s">
        <v>284</v>
      </c>
      <c r="G313" s="698"/>
      <c r="H313" s="698"/>
      <c r="I313" s="698"/>
      <c r="J313" s="698"/>
      <c r="K313" s="698"/>
      <c r="L313" s="698"/>
      <c r="M313" s="2"/>
      <c r="N313" s="2"/>
      <c r="O313" s="2"/>
      <c r="P313" s="2"/>
      <c r="Q313" s="5"/>
    </row>
    <row r="314" spans="1:21" x14ac:dyDescent="0.3">
      <c r="A314" s="690"/>
      <c r="B314" s="690"/>
      <c r="C314" s="690"/>
      <c r="D314" s="699"/>
      <c r="E314" s="699"/>
      <c r="F314" s="699"/>
      <c r="G314" s="699"/>
      <c r="H314" s="699"/>
      <c r="I314" s="699"/>
      <c r="J314" s="699"/>
      <c r="K314" s="699"/>
      <c r="L314" s="699"/>
      <c r="M314" s="29"/>
      <c r="N314" s="29"/>
      <c r="O314" s="29"/>
      <c r="P314" s="29"/>
      <c r="Q314" s="30"/>
      <c r="S314" s="116"/>
      <c r="T314" s="116"/>
      <c r="U314" s="116"/>
    </row>
    <row r="315" spans="1:21" x14ac:dyDescent="0.3">
      <c r="A315" s="129"/>
      <c r="B315" s="19" t="s">
        <v>112</v>
      </c>
      <c r="C315" s="114">
        <v>4.43</v>
      </c>
      <c r="D315" s="6">
        <v>1.1000000000000001</v>
      </c>
      <c r="E315" s="7">
        <f t="shared" ref="E315:E320" si="274">C315*D315</f>
        <v>4.8730000000000002</v>
      </c>
      <c r="F315" s="7">
        <f t="shared" ref="F315:F320" si="275">A315*E315</f>
        <v>0</v>
      </c>
      <c r="G315" s="8">
        <f t="shared" ref="G315:G320" si="276">F315/8</f>
        <v>0</v>
      </c>
      <c r="H315" s="9">
        <f t="shared" ref="H315:H320" si="277">C315</f>
        <v>4.43</v>
      </c>
      <c r="I315" s="10">
        <v>1.1000000000000001</v>
      </c>
      <c r="J315" s="10">
        <f t="shared" ref="J315:J320" si="278">H315*I315</f>
        <v>4.8730000000000002</v>
      </c>
      <c r="K315" s="10">
        <f t="shared" ref="K315:K320" si="279">A315*J315</f>
        <v>0</v>
      </c>
      <c r="L315" s="11">
        <f t="shared" ref="L315:L320" si="280">K315/8</f>
        <v>0</v>
      </c>
      <c r="M315" s="12">
        <f t="shared" ref="M315:M320" si="281">H315</f>
        <v>4.43</v>
      </c>
      <c r="N315" s="13">
        <v>1</v>
      </c>
      <c r="O315" s="13">
        <f t="shared" ref="O315:O320" si="282">M315*N315</f>
        <v>4.43</v>
      </c>
      <c r="P315" s="13">
        <f t="shared" ref="P315:P320" si="283">A315*O315</f>
        <v>0</v>
      </c>
      <c r="Q315" s="14">
        <f t="shared" ref="Q315:Q320" si="284">P315/8</f>
        <v>0</v>
      </c>
    </row>
    <row r="316" spans="1:21" ht="15" customHeight="1" x14ac:dyDescent="0.3">
      <c r="A316" s="130"/>
      <c r="B316" s="119" t="s">
        <v>113</v>
      </c>
      <c r="C316" s="97">
        <v>5.56</v>
      </c>
      <c r="D316" s="6">
        <v>1.1000000000000001</v>
      </c>
      <c r="E316" s="7">
        <f t="shared" si="274"/>
        <v>6.1159999999999997</v>
      </c>
      <c r="F316" s="7">
        <f t="shared" si="275"/>
        <v>0</v>
      </c>
      <c r="G316" s="8">
        <f t="shared" si="276"/>
        <v>0</v>
      </c>
      <c r="H316" s="9">
        <f t="shared" si="277"/>
        <v>5.56</v>
      </c>
      <c r="I316" s="10">
        <v>1.1000000000000001</v>
      </c>
      <c r="J316" s="10">
        <f t="shared" si="278"/>
        <v>6.1159999999999997</v>
      </c>
      <c r="K316" s="10">
        <f t="shared" si="279"/>
        <v>0</v>
      </c>
      <c r="L316" s="11">
        <f t="shared" si="280"/>
        <v>0</v>
      </c>
      <c r="M316" s="12">
        <f t="shared" si="281"/>
        <v>5.56</v>
      </c>
      <c r="N316" s="13">
        <v>1</v>
      </c>
      <c r="O316" s="13">
        <f t="shared" si="282"/>
        <v>5.56</v>
      </c>
      <c r="P316" s="13">
        <f t="shared" si="283"/>
        <v>0</v>
      </c>
      <c r="Q316" s="14">
        <f t="shared" si="284"/>
        <v>0</v>
      </c>
    </row>
    <row r="317" spans="1:21" ht="15" customHeight="1" x14ac:dyDescent="0.3">
      <c r="A317" s="130"/>
      <c r="B317" s="119" t="s">
        <v>287</v>
      </c>
      <c r="C317" s="97">
        <v>4.8</v>
      </c>
      <c r="D317" s="6">
        <v>1.1000000000000001</v>
      </c>
      <c r="E317" s="7">
        <f t="shared" si="274"/>
        <v>5.28</v>
      </c>
      <c r="F317" s="7">
        <f t="shared" si="275"/>
        <v>0</v>
      </c>
      <c r="G317" s="8">
        <f t="shared" si="276"/>
        <v>0</v>
      </c>
      <c r="H317" s="9">
        <f t="shared" si="277"/>
        <v>4.8</v>
      </c>
      <c r="I317" s="10">
        <v>1.1000000000000001</v>
      </c>
      <c r="J317" s="10">
        <f t="shared" si="278"/>
        <v>5.28</v>
      </c>
      <c r="K317" s="10">
        <f t="shared" si="279"/>
        <v>0</v>
      </c>
      <c r="L317" s="11">
        <f t="shared" si="280"/>
        <v>0</v>
      </c>
      <c r="M317" s="12">
        <f t="shared" si="281"/>
        <v>4.8</v>
      </c>
      <c r="N317" s="13">
        <v>1</v>
      </c>
      <c r="O317" s="13">
        <f t="shared" si="282"/>
        <v>4.8</v>
      </c>
      <c r="P317" s="13">
        <f t="shared" si="283"/>
        <v>0</v>
      </c>
      <c r="Q317" s="14">
        <f t="shared" si="284"/>
        <v>0</v>
      </c>
    </row>
    <row r="318" spans="1:21" ht="15" customHeight="1" x14ac:dyDescent="0.3">
      <c r="A318" s="130"/>
      <c r="B318" s="119" t="s">
        <v>286</v>
      </c>
      <c r="C318" s="97">
        <v>5.4</v>
      </c>
      <c r="D318" s="6">
        <v>1.1000000000000001</v>
      </c>
      <c r="E318" s="7">
        <f t="shared" si="274"/>
        <v>5.9400000000000013</v>
      </c>
      <c r="F318" s="7">
        <f t="shared" si="275"/>
        <v>0</v>
      </c>
      <c r="G318" s="8">
        <f t="shared" si="276"/>
        <v>0</v>
      </c>
      <c r="H318" s="9">
        <f t="shared" si="277"/>
        <v>5.4</v>
      </c>
      <c r="I318" s="10">
        <v>1.1000000000000001</v>
      </c>
      <c r="J318" s="10">
        <f t="shared" si="278"/>
        <v>5.9400000000000013</v>
      </c>
      <c r="K318" s="10">
        <f t="shared" si="279"/>
        <v>0</v>
      </c>
      <c r="L318" s="11">
        <f t="shared" si="280"/>
        <v>0</v>
      </c>
      <c r="M318" s="12">
        <f t="shared" si="281"/>
        <v>5.4</v>
      </c>
      <c r="N318" s="13">
        <v>1</v>
      </c>
      <c r="O318" s="13">
        <f t="shared" si="282"/>
        <v>5.4</v>
      </c>
      <c r="P318" s="13">
        <f t="shared" si="283"/>
        <v>0</v>
      </c>
      <c r="Q318" s="14">
        <f t="shared" si="284"/>
        <v>0</v>
      </c>
    </row>
    <row r="319" spans="1:21" ht="15" customHeight="1" x14ac:dyDescent="0.3">
      <c r="A319" s="130"/>
      <c r="B319" s="119" t="s">
        <v>288</v>
      </c>
      <c r="C319" s="97">
        <v>4.58</v>
      </c>
      <c r="D319" s="6">
        <v>1.1000000000000001</v>
      </c>
      <c r="E319" s="7">
        <f t="shared" si="274"/>
        <v>5.0380000000000003</v>
      </c>
      <c r="F319" s="7">
        <f t="shared" si="275"/>
        <v>0</v>
      </c>
      <c r="G319" s="8">
        <f t="shared" si="276"/>
        <v>0</v>
      </c>
      <c r="H319" s="9">
        <f t="shared" si="277"/>
        <v>4.58</v>
      </c>
      <c r="I319" s="10">
        <v>1.1000000000000001</v>
      </c>
      <c r="J319" s="10">
        <f t="shared" si="278"/>
        <v>5.0380000000000003</v>
      </c>
      <c r="K319" s="10">
        <f t="shared" si="279"/>
        <v>0</v>
      </c>
      <c r="L319" s="11">
        <f t="shared" si="280"/>
        <v>0</v>
      </c>
      <c r="M319" s="12">
        <f t="shared" si="281"/>
        <v>4.58</v>
      </c>
      <c r="N319" s="13">
        <v>1</v>
      </c>
      <c r="O319" s="13">
        <f t="shared" si="282"/>
        <v>4.58</v>
      </c>
      <c r="P319" s="13">
        <f t="shared" si="283"/>
        <v>0</v>
      </c>
      <c r="Q319" s="14">
        <f t="shared" si="284"/>
        <v>0</v>
      </c>
    </row>
    <row r="320" spans="1:21" ht="15.75" customHeight="1" x14ac:dyDescent="0.3">
      <c r="A320" s="130"/>
      <c r="B320" s="119" t="s">
        <v>285</v>
      </c>
      <c r="C320" s="97">
        <v>5.13</v>
      </c>
      <c r="D320" s="6">
        <v>1.1000000000000001</v>
      </c>
      <c r="E320" s="7">
        <f t="shared" si="274"/>
        <v>5.6430000000000007</v>
      </c>
      <c r="F320" s="7">
        <f t="shared" si="275"/>
        <v>0</v>
      </c>
      <c r="G320" s="8">
        <f t="shared" si="276"/>
        <v>0</v>
      </c>
      <c r="H320" s="9">
        <f t="shared" si="277"/>
        <v>5.13</v>
      </c>
      <c r="I320" s="10">
        <v>1.1000000000000001</v>
      </c>
      <c r="J320" s="10">
        <f t="shared" si="278"/>
        <v>5.6430000000000007</v>
      </c>
      <c r="K320" s="10">
        <f t="shared" si="279"/>
        <v>0</v>
      </c>
      <c r="L320" s="11">
        <f t="shared" si="280"/>
        <v>0</v>
      </c>
      <c r="M320" s="12">
        <f t="shared" si="281"/>
        <v>5.13</v>
      </c>
      <c r="N320" s="13">
        <v>1</v>
      </c>
      <c r="O320" s="13">
        <f t="shared" si="282"/>
        <v>5.13</v>
      </c>
      <c r="P320" s="13">
        <f t="shared" si="283"/>
        <v>0</v>
      </c>
      <c r="Q320" s="14">
        <f t="shared" si="284"/>
        <v>0</v>
      </c>
    </row>
    <row r="321" spans="1:21" ht="15" thickBot="1" x14ac:dyDescent="0.35">
      <c r="A321" s="3"/>
      <c r="B321" s="4"/>
      <c r="C321" s="4"/>
      <c r="D321" s="644" t="s">
        <v>9</v>
      </c>
      <c r="E321" s="645"/>
      <c r="F321" s="645"/>
      <c r="G321" s="16">
        <f>SUM(G315:G320)</f>
        <v>0</v>
      </c>
      <c r="H321" s="1"/>
      <c r="I321" s="646" t="s">
        <v>10</v>
      </c>
      <c r="J321" s="646"/>
      <c r="K321" s="646"/>
      <c r="L321" s="17">
        <f>SUM(L315:L320)</f>
        <v>0</v>
      </c>
      <c r="M321" s="15"/>
      <c r="N321" s="647" t="s">
        <v>11</v>
      </c>
      <c r="O321" s="647"/>
      <c r="P321" s="647"/>
      <c r="Q321" s="18">
        <f>SUM(Q315:Q320)</f>
        <v>0</v>
      </c>
    </row>
    <row r="324" spans="1:21" x14ac:dyDescent="0.3">
      <c r="S324" s="116"/>
      <c r="T324" s="116"/>
      <c r="U324" s="116"/>
    </row>
  </sheetData>
  <sheetProtection algorithmName="SHA-512" hashValue="uZK0hbpEc4dYnA59Awe6xHNS0N9eVCzVQYG9XBfyLAEqfCHc37xA8MHLmcqCpBG1GbxqIWqT4V8vlMV8FGntlg==" saltValue="kxlreHlhtl7LfJcCUBx+8Q==" spinCount="100000" sheet="1" objects="1" scenarios="1"/>
  <mergeCells count="165">
    <mergeCell ref="N169:P169"/>
    <mergeCell ref="N127:P127"/>
    <mergeCell ref="N140:P140"/>
    <mergeCell ref="A171:F172"/>
    <mergeCell ref="D239:F239"/>
    <mergeCell ref="I239:K239"/>
    <mergeCell ref="T204:V204"/>
    <mergeCell ref="W19:Y19"/>
    <mergeCell ref="W20:Y22"/>
    <mergeCell ref="N239:P239"/>
    <mergeCell ref="L95:P96"/>
    <mergeCell ref="A95:H96"/>
    <mergeCell ref="A112:G113"/>
    <mergeCell ref="L112:O113"/>
    <mergeCell ref="H112:K113"/>
    <mergeCell ref="L129:P130"/>
    <mergeCell ref="A129:G130"/>
    <mergeCell ref="M142:Q143"/>
    <mergeCell ref="A142:H143"/>
    <mergeCell ref="I110:K110"/>
    <mergeCell ref="N110:P110"/>
    <mergeCell ref="D33:F33"/>
    <mergeCell ref="I33:K33"/>
    <mergeCell ref="N33:P33"/>
    <mergeCell ref="W263:Y263"/>
    <mergeCell ref="W264:Y266"/>
    <mergeCell ref="W126:Y126"/>
    <mergeCell ref="W127:Y129"/>
    <mergeCell ref="W204:Y204"/>
    <mergeCell ref="W205:Y207"/>
    <mergeCell ref="T205:V207"/>
    <mergeCell ref="T126:V126"/>
    <mergeCell ref="T127:V129"/>
    <mergeCell ref="T263:V263"/>
    <mergeCell ref="T264:V266"/>
    <mergeCell ref="D250:F250"/>
    <mergeCell ref="I250:K250"/>
    <mergeCell ref="N250:P250"/>
    <mergeCell ref="L230:P231"/>
    <mergeCell ref="A230:G231"/>
    <mergeCell ref="K241:O242"/>
    <mergeCell ref="A241:F242"/>
    <mergeCell ref="L185:P186"/>
    <mergeCell ref="A185:H186"/>
    <mergeCell ref="L196:Q197"/>
    <mergeCell ref="A196:G197"/>
    <mergeCell ref="L207:P208"/>
    <mergeCell ref="A207:H208"/>
    <mergeCell ref="M219:Q220"/>
    <mergeCell ref="A219:H220"/>
    <mergeCell ref="D205:F205"/>
    <mergeCell ref="I205:K205"/>
    <mergeCell ref="N205:P205"/>
    <mergeCell ref="D217:F217"/>
    <mergeCell ref="I217:K217"/>
    <mergeCell ref="N217:P217"/>
    <mergeCell ref="W2:Y2"/>
    <mergeCell ref="D23:F23"/>
    <mergeCell ref="I23:K23"/>
    <mergeCell ref="N23:P23"/>
    <mergeCell ref="AA2:AC2"/>
    <mergeCell ref="S3:T3"/>
    <mergeCell ref="W3:X3"/>
    <mergeCell ref="AA3:AB3"/>
    <mergeCell ref="D13:F13"/>
    <mergeCell ref="I13:K13"/>
    <mergeCell ref="N13:P13"/>
    <mergeCell ref="A5:E6"/>
    <mergeCell ref="A1:C2"/>
    <mergeCell ref="D2:G2"/>
    <mergeCell ref="H2:L2"/>
    <mergeCell ref="M2:Q2"/>
    <mergeCell ref="S2:U2"/>
    <mergeCell ref="T19:V19"/>
    <mergeCell ref="T20:V22"/>
    <mergeCell ref="D44:F44"/>
    <mergeCell ref="I44:K44"/>
    <mergeCell ref="N44:P44"/>
    <mergeCell ref="A86:E87"/>
    <mergeCell ref="F5:G6"/>
    <mergeCell ref="F15:G16"/>
    <mergeCell ref="F25:G26"/>
    <mergeCell ref="A15:C16"/>
    <mergeCell ref="D55:F55"/>
    <mergeCell ref="I55:K55"/>
    <mergeCell ref="N55:P55"/>
    <mergeCell ref="A35:J36"/>
    <mergeCell ref="A46:K47"/>
    <mergeCell ref="D77:F77"/>
    <mergeCell ref="I77:K77"/>
    <mergeCell ref="N77:P77"/>
    <mergeCell ref="A57:J58"/>
    <mergeCell ref="A68:J69"/>
    <mergeCell ref="F86:I87"/>
    <mergeCell ref="N93:P93"/>
    <mergeCell ref="N66:P66"/>
    <mergeCell ref="D321:F321"/>
    <mergeCell ref="I321:K321"/>
    <mergeCell ref="N321:P321"/>
    <mergeCell ref="A313:C314"/>
    <mergeCell ref="D313:E314"/>
    <mergeCell ref="F313:L314"/>
    <mergeCell ref="D15:E16"/>
    <mergeCell ref="A25:C26"/>
    <mergeCell ref="D25:E26"/>
    <mergeCell ref="D93:F93"/>
    <mergeCell ref="I93:K93"/>
    <mergeCell ref="D110:F110"/>
    <mergeCell ref="D66:F66"/>
    <mergeCell ref="I66:K66"/>
    <mergeCell ref="D127:F127"/>
    <mergeCell ref="I127:K127"/>
    <mergeCell ref="D140:F140"/>
    <mergeCell ref="I140:K140"/>
    <mergeCell ref="D84:F84"/>
    <mergeCell ref="I84:K84"/>
    <mergeCell ref="N84:P84"/>
    <mergeCell ref="A79:H80"/>
    <mergeCell ref="D291:F291"/>
    <mergeCell ref="I291:K291"/>
    <mergeCell ref="N291:P291"/>
    <mergeCell ref="A283:G284"/>
    <mergeCell ref="G293:K294"/>
    <mergeCell ref="G272:K273"/>
    <mergeCell ref="D281:F281"/>
    <mergeCell ref="D270:F270"/>
    <mergeCell ref="I270:K270"/>
    <mergeCell ref="N270:P270"/>
    <mergeCell ref="I281:K281"/>
    <mergeCell ref="N281:P281"/>
    <mergeCell ref="A272:F273"/>
    <mergeCell ref="H283:L284"/>
    <mergeCell ref="D311:F311"/>
    <mergeCell ref="I311:K311"/>
    <mergeCell ref="N311:P311"/>
    <mergeCell ref="D301:F301"/>
    <mergeCell ref="I301:K301"/>
    <mergeCell ref="N301:P301"/>
    <mergeCell ref="A293:F294"/>
    <mergeCell ref="A303:E304"/>
    <mergeCell ref="F303:J304"/>
    <mergeCell ref="A262:E263"/>
    <mergeCell ref="F262:K263"/>
    <mergeCell ref="D157:F157"/>
    <mergeCell ref="I157:K157"/>
    <mergeCell ref="D169:F169"/>
    <mergeCell ref="I169:K169"/>
    <mergeCell ref="N183:P183"/>
    <mergeCell ref="D228:F228"/>
    <mergeCell ref="I228:K228"/>
    <mergeCell ref="N228:P228"/>
    <mergeCell ref="A252:F253"/>
    <mergeCell ref="G252:K253"/>
    <mergeCell ref="D260:F260"/>
    <mergeCell ref="I260:K260"/>
    <mergeCell ref="N260:P260"/>
    <mergeCell ref="D183:F183"/>
    <mergeCell ref="I183:K183"/>
    <mergeCell ref="D194:F194"/>
    <mergeCell ref="I194:K194"/>
    <mergeCell ref="N194:P194"/>
    <mergeCell ref="L159:P160"/>
    <mergeCell ref="A159:G160"/>
    <mergeCell ref="K171:O172"/>
    <mergeCell ref="N157:P157"/>
  </mergeCells>
  <printOptions horizontalCentered="1"/>
  <pageMargins left="0.25" right="0.25" top="0.75" bottom="0.75" header="0.3" footer="0.3"/>
  <pageSetup scale="62" fitToHeight="0" orientation="portrait" r:id="rId1"/>
  <headerFooter alignWithMargins="0">
    <oddFooter>&amp;F&amp;RPage &amp;P</oddFooter>
  </headerFooter>
  <rowBreaks count="4" manualBreakCount="4">
    <brk id="67" max="16" man="1"/>
    <brk id="128" max="16" man="1"/>
    <brk id="195" max="16" man="1"/>
    <brk id="261" max="16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5275a9-65b9-4763-89ae-f285724e29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93B962C3CD70488B90C21FF5102ABF" ma:contentTypeVersion="16" ma:contentTypeDescription="Create a new document." ma:contentTypeScope="" ma:versionID="fd7eb0545b2eb6f00d99ef1a31e86e35">
  <xsd:schema xmlns:xsd="http://www.w3.org/2001/XMLSchema" xmlns:xs="http://www.w3.org/2001/XMLSchema" xmlns:p="http://schemas.microsoft.com/office/2006/metadata/properties" xmlns:ns3="fdcc2874-b03d-4e75-ae5b-5bb4a30d78c6" xmlns:ns4="475275a9-65b9-4763-89ae-f285724e29f8" targetNamespace="http://schemas.microsoft.com/office/2006/metadata/properties" ma:root="true" ma:fieldsID="01455990e9782ca6c22e4a73a293a7c0" ns3:_="" ns4:_="">
    <xsd:import namespace="fdcc2874-b03d-4e75-ae5b-5bb4a30d78c6"/>
    <xsd:import namespace="475275a9-65b9-4763-89ae-f285724e29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c2874-b03d-4e75-ae5b-5bb4a30d78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275a9-65b9-4763-89ae-f285724e2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573D98A-5B5D-4A12-8916-05659EDA9077}">
  <ds:schemaRefs>
    <ds:schemaRef ds:uri="http://www.w3.org/XML/1998/namespace"/>
    <ds:schemaRef ds:uri="http://schemas.microsoft.com/office/2006/documentManagement/types"/>
    <ds:schemaRef ds:uri="http://purl.org/dc/elements/1.1/"/>
    <ds:schemaRef ds:uri="fdcc2874-b03d-4e75-ae5b-5bb4a30d78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475275a9-65b9-4763-89ae-f285724e29f8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85F9D19-E0DC-4098-B834-2FC2DE824E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12EEB4-466F-46F8-8663-B600F9D66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c2874-b03d-4e75-ae5b-5bb4a30d78c6"/>
    <ds:schemaRef ds:uri="475275a9-65b9-4763-89ae-f285724e29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504F10-0A6B-4CDF-9650-CFF1E0D0DD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Quote</vt:lpstr>
      <vt:lpstr>PD WORKSHEET</vt:lpstr>
      <vt:lpstr>CSV Table</vt:lpstr>
      <vt:lpstr>Reporting</vt:lpstr>
      <vt:lpstr>BOM PVF</vt:lpstr>
      <vt:lpstr>Cut List</vt:lpstr>
      <vt:lpstr>Cut List LB</vt:lpstr>
      <vt:lpstr>Shop Recap</vt:lpstr>
      <vt:lpstr>Material Handling</vt:lpstr>
      <vt:lpstr>Material Cutting</vt:lpstr>
      <vt:lpstr>Pipe End Prep</vt:lpstr>
      <vt:lpstr>Material Joining</vt:lpstr>
      <vt:lpstr>Hangers &amp; Supports</vt:lpstr>
      <vt:lpstr>Assemblies</vt:lpstr>
      <vt:lpstr>Assemblies!Print_Area</vt:lpstr>
      <vt:lpstr>'Hangers &amp; Supports'!Print_Area</vt:lpstr>
      <vt:lpstr>'Material Cutting'!Print_Area</vt:lpstr>
      <vt:lpstr>'Material Handling'!Print_Area</vt:lpstr>
      <vt:lpstr>'Material Joining'!Print_Area</vt:lpstr>
      <vt:lpstr>Assemblies!Print_Titles</vt:lpstr>
      <vt:lpstr>'Hangers &amp; Supports'!Print_Titles</vt:lpstr>
      <vt:lpstr>'Material Cutting'!Print_Titles</vt:lpstr>
      <vt:lpstr>'Material Handling'!Print_Titles</vt:lpstr>
      <vt:lpstr>'Material Joining'!Print_Titles</vt:lpstr>
      <vt:lpstr>'Shop Recap'!Print_Titles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E. Falgoust</dc:creator>
  <cp:lastModifiedBy>Gabe E. Falgoust</cp:lastModifiedBy>
  <cp:lastPrinted>2022-02-09T20:17:52Z</cp:lastPrinted>
  <dcterms:created xsi:type="dcterms:W3CDTF">2014-04-30T21:57:35Z</dcterms:created>
  <dcterms:modified xsi:type="dcterms:W3CDTF">2026-04-01T14:12:00Z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0x0101005B93B962C3CD70488B90C21FF5102ABF</vt:lpwstr>
  </property>
</Properties>
</file>