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unouille\ChromeWebServerApps\divers-test\sudocps-unicas\data\"/>
    </mc:Choice>
  </mc:AlternateContent>
  <bookViews>
    <workbookView xWindow="0" yWindow="0" windowWidth="24000" windowHeight="9735" activeTab="1"/>
  </bookViews>
  <sheets>
    <sheet name="230-formules" sheetId="1" r:id="rId1"/>
    <sheet name="230-data" sheetId="2" r:id="rId2"/>
  </sheets>
  <definedNames>
    <definedName name="_xlcn.WorksheetConnection_230A1G24" hidden="1">'230-formules'!$A$1:$H$24</definedName>
    <definedName name="_xlcn.WorksheetConnection_230A1I1148" hidden="1">'230-formules'!$A$1:$I$1148</definedName>
    <definedName name="_xlcn.WorksheetConnection_230D1E24" hidden="1">'230-formules'!$D$1:$E$24</definedName>
  </definedNames>
  <calcPr calcId="152511"/>
  <extLst>
    <ext xmlns:x15="http://schemas.microsoft.com/office/spreadsheetml/2010/11/main" uri="{FCE2AD5D-F65C-4FA6-A056-5C36A1767C68}">
      <x15:dataModel>
        <x15:modelTables>
          <x15:modelTable id="Plage1-e1aa3b83-86ed-418e-8a0d-4c8fbd720e83" name="Plage1" connection="WorksheetConnection_230!$D$1:$E$24"/>
          <x15:modelTable id="Plage-8bbc10cb-9ce1-4bd5-9e72-d784459804da" name="Plage" connection="WorksheetConnection_230!$A$1:$G$24"/>
          <x15:modelTable id="Plage2-dd24bde5-9c9d-477a-8416-ae9b97c0e263" name="Plage2" connection="WorksheetConnection_230!$A$1:$I$1148"/>
        </x15:modelTables>
      </x15:dataModel>
    </ext>
  </extLst>
</workbook>
</file>

<file path=xl/calcChain.xml><?xml version="1.0" encoding="utf-8"?>
<calcChain xmlns="http://schemas.openxmlformats.org/spreadsheetml/2006/main">
  <c r="B729" i="1" l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001" i="1"/>
  <c r="C1001" i="1"/>
  <c r="D1001" i="1"/>
  <c r="E1001" i="1"/>
  <c r="F1001" i="1"/>
  <c r="G1001" i="1"/>
  <c r="H1001" i="1"/>
  <c r="I1001" i="1"/>
  <c r="B1002" i="1"/>
  <c r="C1002" i="1"/>
  <c r="D1002" i="1"/>
  <c r="E1002" i="1"/>
  <c r="F1002" i="1"/>
  <c r="G1002" i="1"/>
  <c r="H1002" i="1"/>
  <c r="I1002" i="1"/>
  <c r="B1003" i="1"/>
  <c r="C1003" i="1"/>
  <c r="D1003" i="1"/>
  <c r="E1003" i="1"/>
  <c r="F1003" i="1"/>
  <c r="G1003" i="1"/>
  <c r="H1003" i="1"/>
  <c r="I1003" i="1"/>
  <c r="B1004" i="1"/>
  <c r="C1004" i="1"/>
  <c r="D1004" i="1"/>
  <c r="E1004" i="1"/>
  <c r="F1004" i="1"/>
  <c r="G1004" i="1"/>
  <c r="H1004" i="1"/>
  <c r="I1004" i="1"/>
  <c r="B1005" i="1"/>
  <c r="C1005" i="1"/>
  <c r="D1005" i="1"/>
  <c r="E1005" i="1"/>
  <c r="F1005" i="1"/>
  <c r="G1005" i="1"/>
  <c r="H1005" i="1"/>
  <c r="I1005" i="1"/>
  <c r="B1006" i="1"/>
  <c r="C1006" i="1"/>
  <c r="D1006" i="1"/>
  <c r="E1006" i="1"/>
  <c r="F1006" i="1"/>
  <c r="G1006" i="1"/>
  <c r="H1006" i="1"/>
  <c r="I1006" i="1"/>
  <c r="B1007" i="1"/>
  <c r="C1007" i="1"/>
  <c r="D1007" i="1"/>
  <c r="E1007" i="1"/>
  <c r="F1007" i="1"/>
  <c r="G1007" i="1"/>
  <c r="H1007" i="1"/>
  <c r="I1007" i="1"/>
  <c r="B1008" i="1"/>
  <c r="C1008" i="1"/>
  <c r="D1008" i="1"/>
  <c r="E1008" i="1"/>
  <c r="F1008" i="1"/>
  <c r="G1008" i="1"/>
  <c r="H1008" i="1"/>
  <c r="I1008" i="1"/>
  <c r="B1009" i="1"/>
  <c r="C1009" i="1"/>
  <c r="D1009" i="1"/>
  <c r="E1009" i="1"/>
  <c r="F1009" i="1"/>
  <c r="G1009" i="1"/>
  <c r="H1009" i="1"/>
  <c r="I1009" i="1"/>
  <c r="B1010" i="1"/>
  <c r="C1010" i="1"/>
  <c r="D1010" i="1"/>
  <c r="E1010" i="1"/>
  <c r="F1010" i="1"/>
  <c r="G1010" i="1"/>
  <c r="H1010" i="1"/>
  <c r="I1010" i="1"/>
  <c r="B1011" i="1"/>
  <c r="C1011" i="1"/>
  <c r="D1011" i="1"/>
  <c r="E1011" i="1"/>
  <c r="F1011" i="1"/>
  <c r="G1011" i="1"/>
  <c r="H1011" i="1"/>
  <c r="I1011" i="1"/>
  <c r="B1012" i="1"/>
  <c r="C1012" i="1"/>
  <c r="D1012" i="1"/>
  <c r="E1012" i="1"/>
  <c r="F1012" i="1"/>
  <c r="G1012" i="1"/>
  <c r="H1012" i="1"/>
  <c r="I1012" i="1"/>
  <c r="B1013" i="1"/>
  <c r="C1013" i="1"/>
  <c r="D1013" i="1"/>
  <c r="E1013" i="1"/>
  <c r="F1013" i="1"/>
  <c r="G1013" i="1"/>
  <c r="H1013" i="1"/>
  <c r="I1013" i="1"/>
  <c r="B1014" i="1"/>
  <c r="C1014" i="1"/>
  <c r="D1014" i="1"/>
  <c r="E1014" i="1"/>
  <c r="F1014" i="1"/>
  <c r="G1014" i="1"/>
  <c r="H1014" i="1"/>
  <c r="I1014" i="1"/>
  <c r="B1015" i="1"/>
  <c r="C1015" i="1"/>
  <c r="D1015" i="1"/>
  <c r="E1015" i="1"/>
  <c r="F1015" i="1"/>
  <c r="G1015" i="1"/>
  <c r="H1015" i="1"/>
  <c r="I1015" i="1"/>
  <c r="B1016" i="1"/>
  <c r="C1016" i="1"/>
  <c r="D1016" i="1"/>
  <c r="E1016" i="1"/>
  <c r="F1016" i="1"/>
  <c r="G1016" i="1"/>
  <c r="H1016" i="1"/>
  <c r="I1016" i="1"/>
  <c r="B1017" i="1"/>
  <c r="C1017" i="1"/>
  <c r="D1017" i="1"/>
  <c r="E1017" i="1"/>
  <c r="F1017" i="1"/>
  <c r="G1017" i="1"/>
  <c r="H1017" i="1"/>
  <c r="I1017" i="1"/>
  <c r="B1018" i="1"/>
  <c r="C1018" i="1"/>
  <c r="D1018" i="1"/>
  <c r="E1018" i="1"/>
  <c r="F1018" i="1"/>
  <c r="G1018" i="1"/>
  <c r="H1018" i="1"/>
  <c r="I1018" i="1"/>
  <c r="B1019" i="1"/>
  <c r="C1019" i="1"/>
  <c r="D1019" i="1"/>
  <c r="E1019" i="1"/>
  <c r="F1019" i="1"/>
  <c r="G1019" i="1"/>
  <c r="H1019" i="1"/>
  <c r="I1019" i="1"/>
  <c r="B1020" i="1"/>
  <c r="C1020" i="1"/>
  <c r="D1020" i="1"/>
  <c r="E1020" i="1"/>
  <c r="F1020" i="1"/>
  <c r="G1020" i="1"/>
  <c r="H1020" i="1"/>
  <c r="I1020" i="1"/>
  <c r="B1021" i="1"/>
  <c r="C1021" i="1"/>
  <c r="D1021" i="1"/>
  <c r="E1021" i="1"/>
  <c r="F1021" i="1"/>
  <c r="G1021" i="1"/>
  <c r="H1021" i="1"/>
  <c r="I1021" i="1"/>
  <c r="B1022" i="1"/>
  <c r="C1022" i="1"/>
  <c r="D1022" i="1"/>
  <c r="E1022" i="1"/>
  <c r="F1022" i="1"/>
  <c r="G1022" i="1"/>
  <c r="H1022" i="1"/>
  <c r="I1022" i="1"/>
  <c r="B1023" i="1"/>
  <c r="C1023" i="1"/>
  <c r="D1023" i="1"/>
  <c r="E1023" i="1"/>
  <c r="F1023" i="1"/>
  <c r="G1023" i="1"/>
  <c r="H1023" i="1"/>
  <c r="I1023" i="1"/>
  <c r="B1024" i="1"/>
  <c r="C1024" i="1"/>
  <c r="D1024" i="1"/>
  <c r="E1024" i="1"/>
  <c r="F1024" i="1"/>
  <c r="G1024" i="1"/>
  <c r="H1024" i="1"/>
  <c r="I1024" i="1"/>
  <c r="B1025" i="1"/>
  <c r="C1025" i="1"/>
  <c r="D1025" i="1"/>
  <c r="E1025" i="1"/>
  <c r="F1025" i="1"/>
  <c r="G1025" i="1"/>
  <c r="H1025" i="1"/>
  <c r="I1025" i="1"/>
  <c r="B1026" i="1"/>
  <c r="C1026" i="1"/>
  <c r="D1026" i="1"/>
  <c r="E1026" i="1"/>
  <c r="F1026" i="1"/>
  <c r="G1026" i="1"/>
  <c r="H1026" i="1"/>
  <c r="I1026" i="1"/>
  <c r="B1027" i="1"/>
  <c r="C1027" i="1"/>
  <c r="D1027" i="1"/>
  <c r="E1027" i="1"/>
  <c r="F1027" i="1"/>
  <c r="G1027" i="1"/>
  <c r="H1027" i="1"/>
  <c r="I1027" i="1"/>
  <c r="B1028" i="1"/>
  <c r="C1028" i="1"/>
  <c r="D1028" i="1"/>
  <c r="E1028" i="1"/>
  <c r="F1028" i="1"/>
  <c r="G1028" i="1"/>
  <c r="H1028" i="1"/>
  <c r="I1028" i="1"/>
  <c r="B1029" i="1"/>
  <c r="C1029" i="1"/>
  <c r="D1029" i="1"/>
  <c r="E1029" i="1"/>
  <c r="F1029" i="1"/>
  <c r="G1029" i="1"/>
  <c r="H1029" i="1"/>
  <c r="I1029" i="1"/>
  <c r="B1030" i="1"/>
  <c r="C1030" i="1"/>
  <c r="D1030" i="1"/>
  <c r="E1030" i="1"/>
  <c r="F1030" i="1"/>
  <c r="G1030" i="1"/>
  <c r="H1030" i="1"/>
  <c r="I1030" i="1"/>
  <c r="B1031" i="1"/>
  <c r="C1031" i="1"/>
  <c r="D1031" i="1"/>
  <c r="E1031" i="1"/>
  <c r="F1031" i="1"/>
  <c r="G1031" i="1"/>
  <c r="H1031" i="1"/>
  <c r="I1031" i="1"/>
  <c r="B1032" i="1"/>
  <c r="C1032" i="1"/>
  <c r="D1032" i="1"/>
  <c r="E1032" i="1"/>
  <c r="F1032" i="1"/>
  <c r="G1032" i="1"/>
  <c r="H1032" i="1"/>
  <c r="I1032" i="1"/>
  <c r="B1033" i="1"/>
  <c r="C1033" i="1"/>
  <c r="D1033" i="1"/>
  <c r="E1033" i="1"/>
  <c r="F1033" i="1"/>
  <c r="G1033" i="1"/>
  <c r="H1033" i="1"/>
  <c r="I1033" i="1"/>
  <c r="B1034" i="1"/>
  <c r="C1034" i="1"/>
  <c r="D1034" i="1"/>
  <c r="E1034" i="1"/>
  <c r="F1034" i="1"/>
  <c r="G1034" i="1"/>
  <c r="H1034" i="1"/>
  <c r="I1034" i="1"/>
  <c r="B1035" i="1"/>
  <c r="C1035" i="1"/>
  <c r="D1035" i="1"/>
  <c r="E1035" i="1"/>
  <c r="F1035" i="1"/>
  <c r="G1035" i="1"/>
  <c r="H1035" i="1"/>
  <c r="I1035" i="1"/>
  <c r="B1036" i="1"/>
  <c r="C1036" i="1"/>
  <c r="D1036" i="1"/>
  <c r="E1036" i="1"/>
  <c r="F1036" i="1"/>
  <c r="G1036" i="1"/>
  <c r="H1036" i="1"/>
  <c r="I1036" i="1"/>
  <c r="B1037" i="1"/>
  <c r="C1037" i="1"/>
  <c r="D1037" i="1"/>
  <c r="E1037" i="1"/>
  <c r="F1037" i="1"/>
  <c r="G1037" i="1"/>
  <c r="H1037" i="1"/>
  <c r="I1037" i="1"/>
  <c r="B1038" i="1"/>
  <c r="C1038" i="1"/>
  <c r="D1038" i="1"/>
  <c r="E1038" i="1"/>
  <c r="F1038" i="1"/>
  <c r="G1038" i="1"/>
  <c r="H1038" i="1"/>
  <c r="I1038" i="1"/>
  <c r="B1039" i="1"/>
  <c r="C1039" i="1"/>
  <c r="D1039" i="1"/>
  <c r="E1039" i="1"/>
  <c r="F1039" i="1"/>
  <c r="G1039" i="1"/>
  <c r="H1039" i="1"/>
  <c r="I1039" i="1"/>
  <c r="B1040" i="1"/>
  <c r="C1040" i="1"/>
  <c r="D1040" i="1"/>
  <c r="E1040" i="1"/>
  <c r="F1040" i="1"/>
  <c r="G1040" i="1"/>
  <c r="H1040" i="1"/>
  <c r="I1040" i="1"/>
  <c r="B1041" i="1"/>
  <c r="C1041" i="1"/>
  <c r="D1041" i="1"/>
  <c r="E1041" i="1"/>
  <c r="F1041" i="1"/>
  <c r="G1041" i="1"/>
  <c r="H1041" i="1"/>
  <c r="I1041" i="1"/>
  <c r="B1042" i="1"/>
  <c r="C1042" i="1"/>
  <c r="D1042" i="1"/>
  <c r="E1042" i="1"/>
  <c r="F1042" i="1"/>
  <c r="G1042" i="1"/>
  <c r="H1042" i="1"/>
  <c r="I1042" i="1"/>
  <c r="B1043" i="1"/>
  <c r="C1043" i="1"/>
  <c r="D1043" i="1"/>
  <c r="E1043" i="1"/>
  <c r="F1043" i="1"/>
  <c r="G1043" i="1"/>
  <c r="H1043" i="1"/>
  <c r="I1043" i="1"/>
  <c r="B1044" i="1"/>
  <c r="C1044" i="1"/>
  <c r="D1044" i="1"/>
  <c r="E1044" i="1"/>
  <c r="F1044" i="1"/>
  <c r="G1044" i="1"/>
  <c r="H1044" i="1"/>
  <c r="I1044" i="1"/>
  <c r="B1045" i="1"/>
  <c r="C1045" i="1"/>
  <c r="D1045" i="1"/>
  <c r="E1045" i="1"/>
  <c r="F1045" i="1"/>
  <c r="G1045" i="1"/>
  <c r="H1045" i="1"/>
  <c r="I1045" i="1"/>
  <c r="B1046" i="1"/>
  <c r="C1046" i="1"/>
  <c r="D1046" i="1"/>
  <c r="E1046" i="1"/>
  <c r="F1046" i="1"/>
  <c r="G1046" i="1"/>
  <c r="H1046" i="1"/>
  <c r="I1046" i="1"/>
  <c r="B1047" i="1"/>
  <c r="C1047" i="1"/>
  <c r="D1047" i="1"/>
  <c r="E1047" i="1"/>
  <c r="F1047" i="1"/>
  <c r="G1047" i="1"/>
  <c r="H1047" i="1"/>
  <c r="I1047" i="1"/>
  <c r="B1048" i="1"/>
  <c r="C1048" i="1"/>
  <c r="D1048" i="1"/>
  <c r="E1048" i="1"/>
  <c r="F1048" i="1"/>
  <c r="G1048" i="1"/>
  <c r="H1048" i="1"/>
  <c r="I1048" i="1"/>
  <c r="B1049" i="1"/>
  <c r="C1049" i="1"/>
  <c r="D1049" i="1"/>
  <c r="E1049" i="1"/>
  <c r="F1049" i="1"/>
  <c r="G1049" i="1"/>
  <c r="H1049" i="1"/>
  <c r="I1049" i="1"/>
  <c r="B1050" i="1"/>
  <c r="C1050" i="1"/>
  <c r="D1050" i="1"/>
  <c r="E1050" i="1"/>
  <c r="F1050" i="1"/>
  <c r="G1050" i="1"/>
  <c r="H1050" i="1"/>
  <c r="I1050" i="1"/>
  <c r="B1051" i="1"/>
  <c r="C1051" i="1"/>
  <c r="D1051" i="1"/>
  <c r="E1051" i="1"/>
  <c r="F1051" i="1"/>
  <c r="G1051" i="1"/>
  <c r="H1051" i="1"/>
  <c r="I1051" i="1"/>
  <c r="B1052" i="1"/>
  <c r="C1052" i="1"/>
  <c r="D1052" i="1"/>
  <c r="E1052" i="1"/>
  <c r="F1052" i="1"/>
  <c r="G1052" i="1"/>
  <c r="H1052" i="1"/>
  <c r="I1052" i="1"/>
  <c r="B1053" i="1"/>
  <c r="C1053" i="1"/>
  <c r="D1053" i="1"/>
  <c r="E1053" i="1"/>
  <c r="F1053" i="1"/>
  <c r="G1053" i="1"/>
  <c r="H1053" i="1"/>
  <c r="I1053" i="1"/>
  <c r="B1054" i="1"/>
  <c r="C1054" i="1"/>
  <c r="D1054" i="1"/>
  <c r="E1054" i="1"/>
  <c r="F1054" i="1"/>
  <c r="G1054" i="1"/>
  <c r="H1054" i="1"/>
  <c r="I1054" i="1"/>
  <c r="B1055" i="1"/>
  <c r="C1055" i="1"/>
  <c r="D1055" i="1"/>
  <c r="E1055" i="1"/>
  <c r="F1055" i="1"/>
  <c r="G1055" i="1"/>
  <c r="H1055" i="1"/>
  <c r="I1055" i="1"/>
  <c r="B1056" i="1"/>
  <c r="C1056" i="1"/>
  <c r="D1056" i="1"/>
  <c r="E1056" i="1"/>
  <c r="F1056" i="1"/>
  <c r="G1056" i="1"/>
  <c r="H1056" i="1"/>
  <c r="I1056" i="1"/>
  <c r="B1057" i="1"/>
  <c r="C1057" i="1"/>
  <c r="D1057" i="1"/>
  <c r="E1057" i="1"/>
  <c r="F1057" i="1"/>
  <c r="G1057" i="1"/>
  <c r="H1057" i="1"/>
  <c r="I1057" i="1"/>
  <c r="B1058" i="1"/>
  <c r="C1058" i="1"/>
  <c r="D1058" i="1"/>
  <c r="E1058" i="1"/>
  <c r="F1058" i="1"/>
  <c r="G1058" i="1"/>
  <c r="H1058" i="1"/>
  <c r="I1058" i="1"/>
  <c r="B1059" i="1"/>
  <c r="C1059" i="1"/>
  <c r="D1059" i="1"/>
  <c r="E1059" i="1"/>
  <c r="F1059" i="1"/>
  <c r="G1059" i="1"/>
  <c r="H1059" i="1"/>
  <c r="I1059" i="1"/>
  <c r="B1060" i="1"/>
  <c r="C1060" i="1"/>
  <c r="D1060" i="1"/>
  <c r="E1060" i="1"/>
  <c r="F1060" i="1"/>
  <c r="G1060" i="1"/>
  <c r="H1060" i="1"/>
  <c r="I1060" i="1"/>
  <c r="B1061" i="1"/>
  <c r="C1061" i="1"/>
  <c r="D1061" i="1"/>
  <c r="E1061" i="1"/>
  <c r="F1061" i="1"/>
  <c r="G1061" i="1"/>
  <c r="H1061" i="1"/>
  <c r="I1061" i="1"/>
  <c r="B1062" i="1"/>
  <c r="C1062" i="1"/>
  <c r="D1062" i="1"/>
  <c r="E1062" i="1"/>
  <c r="F1062" i="1"/>
  <c r="G1062" i="1"/>
  <c r="H1062" i="1"/>
  <c r="I1062" i="1"/>
  <c r="B1063" i="1"/>
  <c r="C1063" i="1"/>
  <c r="D1063" i="1"/>
  <c r="E1063" i="1"/>
  <c r="F1063" i="1"/>
  <c r="G1063" i="1"/>
  <c r="H1063" i="1"/>
  <c r="I1063" i="1"/>
  <c r="B1064" i="1"/>
  <c r="C1064" i="1"/>
  <c r="D1064" i="1"/>
  <c r="E1064" i="1"/>
  <c r="F1064" i="1"/>
  <c r="G1064" i="1"/>
  <c r="H1064" i="1"/>
  <c r="I1064" i="1"/>
  <c r="B1065" i="1"/>
  <c r="C1065" i="1"/>
  <c r="D1065" i="1"/>
  <c r="E1065" i="1"/>
  <c r="F1065" i="1"/>
  <c r="G1065" i="1"/>
  <c r="H1065" i="1"/>
  <c r="I1065" i="1"/>
  <c r="B1066" i="1"/>
  <c r="C1066" i="1"/>
  <c r="D1066" i="1"/>
  <c r="E1066" i="1"/>
  <c r="F1066" i="1"/>
  <c r="G1066" i="1"/>
  <c r="H1066" i="1"/>
  <c r="I1066" i="1"/>
  <c r="B1067" i="1"/>
  <c r="C1067" i="1"/>
  <c r="D1067" i="1"/>
  <c r="E1067" i="1"/>
  <c r="F1067" i="1"/>
  <c r="G1067" i="1"/>
  <c r="H1067" i="1"/>
  <c r="I1067" i="1"/>
  <c r="B1068" i="1"/>
  <c r="C1068" i="1"/>
  <c r="D1068" i="1"/>
  <c r="E1068" i="1"/>
  <c r="F1068" i="1"/>
  <c r="G1068" i="1"/>
  <c r="H1068" i="1"/>
  <c r="I1068" i="1"/>
  <c r="B1069" i="1"/>
  <c r="C1069" i="1"/>
  <c r="D1069" i="1"/>
  <c r="E1069" i="1"/>
  <c r="F1069" i="1"/>
  <c r="G1069" i="1"/>
  <c r="H1069" i="1"/>
  <c r="I1069" i="1"/>
  <c r="B1070" i="1"/>
  <c r="C1070" i="1"/>
  <c r="D1070" i="1"/>
  <c r="E1070" i="1"/>
  <c r="F1070" i="1"/>
  <c r="G1070" i="1"/>
  <c r="H1070" i="1"/>
  <c r="I1070" i="1"/>
  <c r="B1071" i="1"/>
  <c r="C1071" i="1"/>
  <c r="D1071" i="1"/>
  <c r="E1071" i="1"/>
  <c r="F1071" i="1"/>
  <c r="G1071" i="1"/>
  <c r="H1071" i="1"/>
  <c r="I1071" i="1"/>
  <c r="B1072" i="1"/>
  <c r="C1072" i="1"/>
  <c r="D1072" i="1"/>
  <c r="E1072" i="1"/>
  <c r="F1072" i="1"/>
  <c r="G1072" i="1"/>
  <c r="H1072" i="1"/>
  <c r="I1072" i="1"/>
  <c r="B1073" i="1"/>
  <c r="C1073" i="1"/>
  <c r="D1073" i="1"/>
  <c r="E1073" i="1"/>
  <c r="F1073" i="1"/>
  <c r="G1073" i="1"/>
  <c r="H1073" i="1"/>
  <c r="I1073" i="1"/>
  <c r="B1074" i="1"/>
  <c r="C1074" i="1"/>
  <c r="D1074" i="1"/>
  <c r="E1074" i="1"/>
  <c r="F1074" i="1"/>
  <c r="G1074" i="1"/>
  <c r="H1074" i="1"/>
  <c r="I1074" i="1"/>
  <c r="B1075" i="1"/>
  <c r="C1075" i="1"/>
  <c r="D1075" i="1"/>
  <c r="E1075" i="1"/>
  <c r="F1075" i="1"/>
  <c r="G1075" i="1"/>
  <c r="H1075" i="1"/>
  <c r="I1075" i="1"/>
  <c r="B1076" i="1"/>
  <c r="C1076" i="1"/>
  <c r="D1076" i="1"/>
  <c r="E1076" i="1"/>
  <c r="F1076" i="1"/>
  <c r="G1076" i="1"/>
  <c r="H1076" i="1"/>
  <c r="I1076" i="1"/>
  <c r="B1077" i="1"/>
  <c r="C1077" i="1"/>
  <c r="D1077" i="1"/>
  <c r="E1077" i="1"/>
  <c r="F1077" i="1"/>
  <c r="G1077" i="1"/>
  <c r="H1077" i="1"/>
  <c r="I1077" i="1"/>
  <c r="B1078" i="1"/>
  <c r="C1078" i="1"/>
  <c r="D1078" i="1"/>
  <c r="E1078" i="1"/>
  <c r="F1078" i="1"/>
  <c r="G1078" i="1"/>
  <c r="H1078" i="1"/>
  <c r="I1078" i="1"/>
  <c r="B1079" i="1"/>
  <c r="C1079" i="1"/>
  <c r="D1079" i="1"/>
  <c r="E1079" i="1"/>
  <c r="F1079" i="1"/>
  <c r="G1079" i="1"/>
  <c r="H1079" i="1"/>
  <c r="I1079" i="1"/>
  <c r="B1080" i="1"/>
  <c r="C1080" i="1"/>
  <c r="D1080" i="1"/>
  <c r="E1080" i="1"/>
  <c r="F1080" i="1"/>
  <c r="G1080" i="1"/>
  <c r="H1080" i="1"/>
  <c r="I1080" i="1"/>
  <c r="B1081" i="1"/>
  <c r="C1081" i="1"/>
  <c r="D1081" i="1"/>
  <c r="E1081" i="1"/>
  <c r="F1081" i="1"/>
  <c r="G1081" i="1"/>
  <c r="H1081" i="1"/>
  <c r="I1081" i="1"/>
  <c r="B1082" i="1"/>
  <c r="C1082" i="1"/>
  <c r="D1082" i="1"/>
  <c r="E1082" i="1"/>
  <c r="F1082" i="1"/>
  <c r="G1082" i="1"/>
  <c r="H1082" i="1"/>
  <c r="I1082" i="1"/>
  <c r="B1083" i="1"/>
  <c r="C1083" i="1"/>
  <c r="D1083" i="1"/>
  <c r="E1083" i="1"/>
  <c r="F1083" i="1"/>
  <c r="G1083" i="1"/>
  <c r="H1083" i="1"/>
  <c r="I1083" i="1"/>
  <c r="B1084" i="1"/>
  <c r="C1084" i="1"/>
  <c r="D1084" i="1"/>
  <c r="E1084" i="1"/>
  <c r="F1084" i="1"/>
  <c r="G1084" i="1"/>
  <c r="H1084" i="1"/>
  <c r="I1084" i="1"/>
  <c r="B1085" i="1"/>
  <c r="C1085" i="1"/>
  <c r="D1085" i="1"/>
  <c r="E1085" i="1"/>
  <c r="F1085" i="1"/>
  <c r="G1085" i="1"/>
  <c r="H1085" i="1"/>
  <c r="I1085" i="1"/>
  <c r="B1086" i="1"/>
  <c r="C1086" i="1"/>
  <c r="D1086" i="1"/>
  <c r="E1086" i="1"/>
  <c r="F1086" i="1"/>
  <c r="G1086" i="1"/>
  <c r="H1086" i="1"/>
  <c r="I1086" i="1"/>
  <c r="B1087" i="1"/>
  <c r="C1087" i="1"/>
  <c r="D1087" i="1"/>
  <c r="E1087" i="1"/>
  <c r="F1087" i="1"/>
  <c r="G1087" i="1"/>
  <c r="H1087" i="1"/>
  <c r="I1087" i="1"/>
  <c r="B1088" i="1"/>
  <c r="C1088" i="1"/>
  <c r="D1088" i="1"/>
  <c r="E1088" i="1"/>
  <c r="F1088" i="1"/>
  <c r="G1088" i="1"/>
  <c r="H1088" i="1"/>
  <c r="I1088" i="1"/>
  <c r="B1089" i="1"/>
  <c r="C1089" i="1"/>
  <c r="D1089" i="1"/>
  <c r="E1089" i="1"/>
  <c r="F1089" i="1"/>
  <c r="G1089" i="1"/>
  <c r="H1089" i="1"/>
  <c r="I1089" i="1"/>
  <c r="B1090" i="1"/>
  <c r="C1090" i="1"/>
  <c r="D1090" i="1"/>
  <c r="E1090" i="1"/>
  <c r="F1090" i="1"/>
  <c r="G1090" i="1"/>
  <c r="H1090" i="1"/>
  <c r="I1090" i="1"/>
  <c r="B1091" i="1"/>
  <c r="C1091" i="1"/>
  <c r="D1091" i="1"/>
  <c r="E1091" i="1"/>
  <c r="F1091" i="1"/>
  <c r="G1091" i="1"/>
  <c r="H1091" i="1"/>
  <c r="I1091" i="1"/>
  <c r="B1092" i="1"/>
  <c r="C1092" i="1"/>
  <c r="D1092" i="1"/>
  <c r="E1092" i="1"/>
  <c r="F1092" i="1"/>
  <c r="G1092" i="1"/>
  <c r="H1092" i="1"/>
  <c r="I1092" i="1"/>
  <c r="B1093" i="1"/>
  <c r="C1093" i="1"/>
  <c r="D1093" i="1"/>
  <c r="E1093" i="1"/>
  <c r="F1093" i="1"/>
  <c r="G1093" i="1"/>
  <c r="H1093" i="1"/>
  <c r="I1093" i="1"/>
  <c r="B1094" i="1"/>
  <c r="C1094" i="1"/>
  <c r="D1094" i="1"/>
  <c r="E1094" i="1"/>
  <c r="F1094" i="1"/>
  <c r="G1094" i="1"/>
  <c r="H1094" i="1"/>
  <c r="I1094" i="1"/>
  <c r="B1095" i="1"/>
  <c r="C1095" i="1"/>
  <c r="D1095" i="1"/>
  <c r="E1095" i="1"/>
  <c r="F1095" i="1"/>
  <c r="G1095" i="1"/>
  <c r="H1095" i="1"/>
  <c r="I1095" i="1"/>
  <c r="B1096" i="1"/>
  <c r="C1096" i="1"/>
  <c r="D1096" i="1"/>
  <c r="E1096" i="1"/>
  <c r="F1096" i="1"/>
  <c r="G1096" i="1"/>
  <c r="H1096" i="1"/>
  <c r="I1096" i="1"/>
  <c r="B1097" i="1"/>
  <c r="C1097" i="1"/>
  <c r="D1097" i="1"/>
  <c r="E1097" i="1"/>
  <c r="F1097" i="1"/>
  <c r="G1097" i="1"/>
  <c r="H1097" i="1"/>
  <c r="I1097" i="1"/>
  <c r="B1098" i="1"/>
  <c r="C1098" i="1"/>
  <c r="D1098" i="1"/>
  <c r="E1098" i="1"/>
  <c r="F1098" i="1"/>
  <c r="G1098" i="1"/>
  <c r="H1098" i="1"/>
  <c r="I1098" i="1"/>
  <c r="B1099" i="1"/>
  <c r="C1099" i="1"/>
  <c r="D1099" i="1"/>
  <c r="E1099" i="1"/>
  <c r="F1099" i="1"/>
  <c r="G1099" i="1"/>
  <c r="H1099" i="1"/>
  <c r="I1099" i="1"/>
  <c r="B1100" i="1"/>
  <c r="C1100" i="1"/>
  <c r="D1100" i="1"/>
  <c r="E1100" i="1"/>
  <c r="F1100" i="1"/>
  <c r="G1100" i="1"/>
  <c r="H1100" i="1"/>
  <c r="I1100" i="1"/>
  <c r="B1101" i="1"/>
  <c r="C1101" i="1"/>
  <c r="D1101" i="1"/>
  <c r="E1101" i="1"/>
  <c r="F1101" i="1"/>
  <c r="G1101" i="1"/>
  <c r="H1101" i="1"/>
  <c r="I1101" i="1"/>
  <c r="B1102" i="1"/>
  <c r="C1102" i="1"/>
  <c r="D1102" i="1"/>
  <c r="E1102" i="1"/>
  <c r="F1102" i="1"/>
  <c r="G1102" i="1"/>
  <c r="H1102" i="1"/>
  <c r="I1102" i="1"/>
  <c r="B1103" i="1"/>
  <c r="C1103" i="1"/>
  <c r="D1103" i="1"/>
  <c r="E1103" i="1"/>
  <c r="F1103" i="1"/>
  <c r="G1103" i="1"/>
  <c r="H1103" i="1"/>
  <c r="I1103" i="1"/>
  <c r="B1104" i="1"/>
  <c r="C1104" i="1"/>
  <c r="D1104" i="1"/>
  <c r="E1104" i="1"/>
  <c r="F1104" i="1"/>
  <c r="G1104" i="1"/>
  <c r="H1104" i="1"/>
  <c r="I1104" i="1"/>
  <c r="B1105" i="1"/>
  <c r="C1105" i="1"/>
  <c r="D1105" i="1"/>
  <c r="E1105" i="1"/>
  <c r="F1105" i="1"/>
  <c r="G1105" i="1"/>
  <c r="H1105" i="1"/>
  <c r="I1105" i="1"/>
  <c r="B1106" i="1"/>
  <c r="C1106" i="1"/>
  <c r="D1106" i="1"/>
  <c r="E1106" i="1"/>
  <c r="F1106" i="1"/>
  <c r="G1106" i="1"/>
  <c r="H1106" i="1"/>
  <c r="I1106" i="1"/>
  <c r="B1107" i="1"/>
  <c r="C1107" i="1"/>
  <c r="D1107" i="1"/>
  <c r="E1107" i="1"/>
  <c r="F1107" i="1"/>
  <c r="G1107" i="1"/>
  <c r="H1107" i="1"/>
  <c r="I1107" i="1"/>
  <c r="B1108" i="1"/>
  <c r="C1108" i="1"/>
  <c r="D1108" i="1"/>
  <c r="E1108" i="1"/>
  <c r="F1108" i="1"/>
  <c r="G1108" i="1"/>
  <c r="H1108" i="1"/>
  <c r="I1108" i="1"/>
  <c r="B1109" i="1"/>
  <c r="C1109" i="1"/>
  <c r="D1109" i="1"/>
  <c r="E1109" i="1"/>
  <c r="F1109" i="1"/>
  <c r="G1109" i="1"/>
  <c r="H1109" i="1"/>
  <c r="I1109" i="1"/>
  <c r="B1110" i="1"/>
  <c r="C1110" i="1"/>
  <c r="D1110" i="1"/>
  <c r="E1110" i="1"/>
  <c r="F1110" i="1"/>
  <c r="G1110" i="1"/>
  <c r="H1110" i="1"/>
  <c r="I1110" i="1"/>
  <c r="B1111" i="1"/>
  <c r="C1111" i="1"/>
  <c r="D1111" i="1"/>
  <c r="E1111" i="1"/>
  <c r="F1111" i="1"/>
  <c r="G1111" i="1"/>
  <c r="H1111" i="1"/>
  <c r="I1111" i="1"/>
  <c r="B1112" i="1"/>
  <c r="C1112" i="1"/>
  <c r="D1112" i="1"/>
  <c r="E1112" i="1"/>
  <c r="F1112" i="1"/>
  <c r="G1112" i="1"/>
  <c r="H1112" i="1"/>
  <c r="I1112" i="1"/>
  <c r="B1113" i="1"/>
  <c r="C1113" i="1"/>
  <c r="D1113" i="1"/>
  <c r="E1113" i="1"/>
  <c r="F1113" i="1"/>
  <c r="G1113" i="1"/>
  <c r="H1113" i="1"/>
  <c r="I1113" i="1"/>
  <c r="B1114" i="1"/>
  <c r="C1114" i="1"/>
  <c r="D1114" i="1"/>
  <c r="E1114" i="1"/>
  <c r="F1114" i="1"/>
  <c r="G1114" i="1"/>
  <c r="H1114" i="1"/>
  <c r="I1114" i="1"/>
  <c r="B1115" i="1"/>
  <c r="C1115" i="1"/>
  <c r="D1115" i="1"/>
  <c r="E1115" i="1"/>
  <c r="F1115" i="1"/>
  <c r="G1115" i="1"/>
  <c r="H1115" i="1"/>
  <c r="I1115" i="1"/>
  <c r="B1116" i="1"/>
  <c r="C1116" i="1"/>
  <c r="D1116" i="1"/>
  <c r="E1116" i="1"/>
  <c r="F1116" i="1"/>
  <c r="G1116" i="1"/>
  <c r="H1116" i="1"/>
  <c r="I1116" i="1"/>
  <c r="B1117" i="1"/>
  <c r="C1117" i="1"/>
  <c r="D1117" i="1"/>
  <c r="E1117" i="1"/>
  <c r="F1117" i="1"/>
  <c r="G1117" i="1"/>
  <c r="H1117" i="1"/>
  <c r="I1117" i="1"/>
  <c r="B1118" i="1"/>
  <c r="C1118" i="1"/>
  <c r="D1118" i="1"/>
  <c r="E1118" i="1"/>
  <c r="F1118" i="1"/>
  <c r="G1118" i="1"/>
  <c r="H1118" i="1"/>
  <c r="I1118" i="1"/>
  <c r="B1119" i="1"/>
  <c r="C1119" i="1"/>
  <c r="D1119" i="1"/>
  <c r="E1119" i="1"/>
  <c r="F1119" i="1"/>
  <c r="G1119" i="1"/>
  <c r="H1119" i="1"/>
  <c r="I1119" i="1"/>
  <c r="B1120" i="1"/>
  <c r="C1120" i="1"/>
  <c r="D1120" i="1"/>
  <c r="E1120" i="1"/>
  <c r="F1120" i="1"/>
  <c r="G1120" i="1"/>
  <c r="H1120" i="1"/>
  <c r="I1120" i="1"/>
  <c r="B1121" i="1"/>
  <c r="C1121" i="1"/>
  <c r="D1121" i="1"/>
  <c r="E1121" i="1"/>
  <c r="F1121" i="1"/>
  <c r="G1121" i="1"/>
  <c r="H1121" i="1"/>
  <c r="I1121" i="1"/>
  <c r="B1122" i="1"/>
  <c r="C1122" i="1"/>
  <c r="D1122" i="1"/>
  <c r="E1122" i="1"/>
  <c r="F1122" i="1"/>
  <c r="G1122" i="1"/>
  <c r="H1122" i="1"/>
  <c r="I1122" i="1"/>
  <c r="B1123" i="1"/>
  <c r="C1123" i="1"/>
  <c r="D1123" i="1"/>
  <c r="E1123" i="1"/>
  <c r="F1123" i="1"/>
  <c r="G1123" i="1"/>
  <c r="H1123" i="1"/>
  <c r="I1123" i="1"/>
  <c r="B1124" i="1"/>
  <c r="C1124" i="1"/>
  <c r="D1124" i="1"/>
  <c r="E1124" i="1"/>
  <c r="F1124" i="1"/>
  <c r="G1124" i="1"/>
  <c r="H1124" i="1"/>
  <c r="I1124" i="1"/>
  <c r="B1125" i="1"/>
  <c r="C1125" i="1"/>
  <c r="D1125" i="1"/>
  <c r="E1125" i="1"/>
  <c r="F1125" i="1"/>
  <c r="G1125" i="1"/>
  <c r="H1125" i="1"/>
  <c r="I1125" i="1"/>
  <c r="B1126" i="1"/>
  <c r="C1126" i="1"/>
  <c r="D1126" i="1"/>
  <c r="E1126" i="1"/>
  <c r="F1126" i="1"/>
  <c r="G1126" i="1"/>
  <c r="H1126" i="1"/>
  <c r="I1126" i="1"/>
  <c r="B1127" i="1"/>
  <c r="C1127" i="1"/>
  <c r="D1127" i="1"/>
  <c r="E1127" i="1"/>
  <c r="F1127" i="1"/>
  <c r="G1127" i="1"/>
  <c r="H1127" i="1"/>
  <c r="I1127" i="1"/>
  <c r="B1128" i="1"/>
  <c r="C1128" i="1"/>
  <c r="D1128" i="1"/>
  <c r="E1128" i="1"/>
  <c r="F1128" i="1"/>
  <c r="G1128" i="1"/>
  <c r="H1128" i="1"/>
  <c r="I1128" i="1"/>
  <c r="B1129" i="1"/>
  <c r="C1129" i="1"/>
  <c r="D1129" i="1"/>
  <c r="E1129" i="1"/>
  <c r="F1129" i="1"/>
  <c r="G1129" i="1"/>
  <c r="H1129" i="1"/>
  <c r="I1129" i="1"/>
  <c r="B1130" i="1"/>
  <c r="C1130" i="1"/>
  <c r="D1130" i="1"/>
  <c r="E1130" i="1"/>
  <c r="F1130" i="1"/>
  <c r="G1130" i="1"/>
  <c r="H1130" i="1"/>
  <c r="I1130" i="1"/>
  <c r="B1131" i="1"/>
  <c r="C1131" i="1"/>
  <c r="D1131" i="1"/>
  <c r="E1131" i="1"/>
  <c r="F1131" i="1"/>
  <c r="G1131" i="1"/>
  <c r="H1131" i="1"/>
  <c r="I1131" i="1"/>
  <c r="B1132" i="1"/>
  <c r="C1132" i="1"/>
  <c r="D1132" i="1"/>
  <c r="E1132" i="1"/>
  <c r="F1132" i="1"/>
  <c r="G1132" i="1"/>
  <c r="H1132" i="1"/>
  <c r="I1132" i="1"/>
  <c r="B1133" i="1"/>
  <c r="C1133" i="1"/>
  <c r="D1133" i="1"/>
  <c r="E1133" i="1"/>
  <c r="F1133" i="1"/>
  <c r="G1133" i="1"/>
  <c r="H1133" i="1"/>
  <c r="I1133" i="1"/>
  <c r="B1134" i="1"/>
  <c r="C1134" i="1"/>
  <c r="D1134" i="1"/>
  <c r="E1134" i="1"/>
  <c r="F1134" i="1"/>
  <c r="G1134" i="1"/>
  <c r="H1134" i="1"/>
  <c r="I1134" i="1"/>
  <c r="B1135" i="1"/>
  <c r="C1135" i="1"/>
  <c r="D1135" i="1"/>
  <c r="E1135" i="1"/>
  <c r="F1135" i="1"/>
  <c r="G1135" i="1"/>
  <c r="H1135" i="1"/>
  <c r="I1135" i="1"/>
  <c r="B1136" i="1"/>
  <c r="C1136" i="1"/>
  <c r="D1136" i="1"/>
  <c r="E1136" i="1"/>
  <c r="F1136" i="1"/>
  <c r="G1136" i="1"/>
  <c r="H1136" i="1"/>
  <c r="I1136" i="1"/>
  <c r="B1137" i="1"/>
  <c r="C1137" i="1"/>
  <c r="D1137" i="1"/>
  <c r="E1137" i="1"/>
  <c r="F1137" i="1"/>
  <c r="G1137" i="1"/>
  <c r="H1137" i="1"/>
  <c r="I1137" i="1"/>
  <c r="B1138" i="1"/>
  <c r="C1138" i="1"/>
  <c r="D1138" i="1"/>
  <c r="E1138" i="1"/>
  <c r="F1138" i="1"/>
  <c r="G1138" i="1"/>
  <c r="H1138" i="1"/>
  <c r="I1138" i="1"/>
  <c r="B1139" i="1"/>
  <c r="C1139" i="1"/>
  <c r="D1139" i="1"/>
  <c r="E1139" i="1"/>
  <c r="F1139" i="1"/>
  <c r="G1139" i="1"/>
  <c r="H1139" i="1"/>
  <c r="I1139" i="1"/>
  <c r="B1140" i="1"/>
  <c r="C1140" i="1"/>
  <c r="D1140" i="1"/>
  <c r="E1140" i="1"/>
  <c r="F1140" i="1"/>
  <c r="G1140" i="1"/>
  <c r="H1140" i="1"/>
  <c r="I1140" i="1"/>
  <c r="B1141" i="1"/>
  <c r="C1141" i="1"/>
  <c r="D1141" i="1"/>
  <c r="E1141" i="1"/>
  <c r="F1141" i="1"/>
  <c r="G1141" i="1"/>
  <c r="H1141" i="1"/>
  <c r="I1141" i="1"/>
  <c r="B1142" i="1"/>
  <c r="C1142" i="1"/>
  <c r="D1142" i="1"/>
  <c r="E1142" i="1"/>
  <c r="F1142" i="1"/>
  <c r="G1142" i="1"/>
  <c r="H1142" i="1"/>
  <c r="I1142" i="1"/>
  <c r="B1143" i="1"/>
  <c r="C1143" i="1"/>
  <c r="D1143" i="1"/>
  <c r="E1143" i="1"/>
  <c r="F1143" i="1"/>
  <c r="G1143" i="1"/>
  <c r="H1143" i="1"/>
  <c r="I1143" i="1"/>
  <c r="B1144" i="1"/>
  <c r="C1144" i="1"/>
  <c r="D1144" i="1"/>
  <c r="E1144" i="1"/>
  <c r="F1144" i="1"/>
  <c r="G1144" i="1"/>
  <c r="H1144" i="1"/>
  <c r="I1144" i="1"/>
  <c r="B1145" i="1"/>
  <c r="C1145" i="1"/>
  <c r="D1145" i="1"/>
  <c r="E1145" i="1"/>
  <c r="F1145" i="1"/>
  <c r="G1145" i="1"/>
  <c r="H1145" i="1"/>
  <c r="I1145" i="1"/>
  <c r="B1146" i="1"/>
  <c r="C1146" i="1"/>
  <c r="D1146" i="1"/>
  <c r="E1146" i="1"/>
  <c r="F1146" i="1"/>
  <c r="G1146" i="1"/>
  <c r="H1146" i="1"/>
  <c r="I1146" i="1"/>
  <c r="B1147" i="1"/>
  <c r="C1147" i="1"/>
  <c r="D1147" i="1"/>
  <c r="E1147" i="1"/>
  <c r="F1147" i="1"/>
  <c r="G1147" i="1"/>
  <c r="H1147" i="1"/>
  <c r="I1147" i="1"/>
  <c r="B1148" i="1"/>
  <c r="C1148" i="1"/>
  <c r="D1148" i="1"/>
  <c r="E1148" i="1"/>
  <c r="F1148" i="1"/>
  <c r="G1148" i="1"/>
  <c r="H1148" i="1"/>
  <c r="I114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C32" i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D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C54" i="1"/>
  <c r="D54" i="1"/>
  <c r="E54" i="1"/>
  <c r="F54" i="1"/>
  <c r="G54" i="1"/>
  <c r="H54" i="1"/>
  <c r="I54" i="1"/>
  <c r="C55" i="1"/>
  <c r="D55" i="1"/>
  <c r="E55" i="1"/>
  <c r="F55" i="1"/>
  <c r="G55" i="1"/>
  <c r="H55" i="1"/>
  <c r="I55" i="1"/>
  <c r="C56" i="1"/>
  <c r="D56" i="1"/>
  <c r="E56" i="1"/>
  <c r="F56" i="1"/>
  <c r="G56" i="1"/>
  <c r="H56" i="1"/>
  <c r="I56" i="1"/>
  <c r="C57" i="1"/>
  <c r="D57" i="1"/>
  <c r="E57" i="1"/>
  <c r="F57" i="1"/>
  <c r="G57" i="1"/>
  <c r="H57" i="1"/>
  <c r="I57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C66" i="1"/>
  <c r="D66" i="1"/>
  <c r="E66" i="1"/>
  <c r="F66" i="1"/>
  <c r="G66" i="1"/>
  <c r="H66" i="1"/>
  <c r="I66" i="1"/>
  <c r="C67" i="1"/>
  <c r="D67" i="1"/>
  <c r="E67" i="1"/>
  <c r="F67" i="1"/>
  <c r="G67" i="1"/>
  <c r="H67" i="1"/>
  <c r="I67" i="1"/>
  <c r="C68" i="1"/>
  <c r="D68" i="1"/>
  <c r="E68" i="1"/>
  <c r="F68" i="1"/>
  <c r="G68" i="1"/>
  <c r="H68" i="1"/>
  <c r="I68" i="1"/>
  <c r="C69" i="1"/>
  <c r="D69" i="1"/>
  <c r="E69" i="1"/>
  <c r="F69" i="1"/>
  <c r="G69" i="1"/>
  <c r="H69" i="1"/>
  <c r="I69" i="1"/>
  <c r="C70" i="1"/>
  <c r="D70" i="1"/>
  <c r="E70" i="1"/>
  <c r="F70" i="1"/>
  <c r="G70" i="1"/>
  <c r="H70" i="1"/>
  <c r="I70" i="1"/>
  <c r="C71" i="1"/>
  <c r="D71" i="1"/>
  <c r="E71" i="1"/>
  <c r="F71" i="1"/>
  <c r="G71" i="1"/>
  <c r="H71" i="1"/>
  <c r="I71" i="1"/>
  <c r="C72" i="1"/>
  <c r="D72" i="1"/>
  <c r="E72" i="1"/>
  <c r="F72" i="1"/>
  <c r="G72" i="1"/>
  <c r="H72" i="1"/>
  <c r="I72" i="1"/>
  <c r="C73" i="1"/>
  <c r="D73" i="1"/>
  <c r="E73" i="1"/>
  <c r="F73" i="1"/>
  <c r="G73" i="1"/>
  <c r="H73" i="1"/>
  <c r="I73" i="1"/>
  <c r="C74" i="1"/>
  <c r="D74" i="1"/>
  <c r="E74" i="1"/>
  <c r="F74" i="1"/>
  <c r="G74" i="1"/>
  <c r="H74" i="1"/>
  <c r="I74" i="1"/>
  <c r="C75" i="1"/>
  <c r="D75" i="1"/>
  <c r="E75" i="1"/>
  <c r="F75" i="1"/>
  <c r="G75" i="1"/>
  <c r="H75" i="1"/>
  <c r="I75" i="1"/>
  <c r="C76" i="1"/>
  <c r="D76" i="1"/>
  <c r="E76" i="1"/>
  <c r="F76" i="1"/>
  <c r="G76" i="1"/>
  <c r="H76" i="1"/>
  <c r="I76" i="1"/>
  <c r="C77" i="1"/>
  <c r="D77" i="1"/>
  <c r="E77" i="1"/>
  <c r="F77" i="1"/>
  <c r="G77" i="1"/>
  <c r="H77" i="1"/>
  <c r="I77" i="1"/>
  <c r="C78" i="1"/>
  <c r="D78" i="1"/>
  <c r="E78" i="1"/>
  <c r="F78" i="1"/>
  <c r="G78" i="1"/>
  <c r="H78" i="1"/>
  <c r="I78" i="1"/>
  <c r="C79" i="1"/>
  <c r="D79" i="1"/>
  <c r="E79" i="1"/>
  <c r="F79" i="1"/>
  <c r="G79" i="1"/>
  <c r="H79" i="1"/>
  <c r="I79" i="1"/>
  <c r="C80" i="1"/>
  <c r="D80" i="1"/>
  <c r="E80" i="1"/>
  <c r="F80" i="1"/>
  <c r="G80" i="1"/>
  <c r="H80" i="1"/>
  <c r="I80" i="1"/>
  <c r="C81" i="1"/>
  <c r="D81" i="1"/>
  <c r="E81" i="1"/>
  <c r="F81" i="1"/>
  <c r="G81" i="1"/>
  <c r="H81" i="1"/>
  <c r="I81" i="1"/>
  <c r="C82" i="1"/>
  <c r="D82" i="1"/>
  <c r="E82" i="1"/>
  <c r="F82" i="1"/>
  <c r="G82" i="1"/>
  <c r="H82" i="1"/>
  <c r="I82" i="1"/>
  <c r="C83" i="1"/>
  <c r="D83" i="1"/>
  <c r="E83" i="1"/>
  <c r="F83" i="1"/>
  <c r="G83" i="1"/>
  <c r="H83" i="1"/>
  <c r="I83" i="1"/>
  <c r="C84" i="1"/>
  <c r="D84" i="1"/>
  <c r="E84" i="1"/>
  <c r="F84" i="1"/>
  <c r="G84" i="1"/>
  <c r="H84" i="1"/>
  <c r="I84" i="1"/>
  <c r="C85" i="1"/>
  <c r="D85" i="1"/>
  <c r="E85" i="1"/>
  <c r="F85" i="1"/>
  <c r="G85" i="1"/>
  <c r="H85" i="1"/>
  <c r="I85" i="1"/>
  <c r="C86" i="1"/>
  <c r="D86" i="1"/>
  <c r="E86" i="1"/>
  <c r="F86" i="1"/>
  <c r="G86" i="1"/>
  <c r="H86" i="1"/>
  <c r="I86" i="1"/>
  <c r="C87" i="1"/>
  <c r="D87" i="1"/>
  <c r="E87" i="1"/>
  <c r="F87" i="1"/>
  <c r="G87" i="1"/>
  <c r="H87" i="1"/>
  <c r="I87" i="1"/>
  <c r="C88" i="1"/>
  <c r="D88" i="1"/>
  <c r="E88" i="1"/>
  <c r="F88" i="1"/>
  <c r="G88" i="1"/>
  <c r="H88" i="1"/>
  <c r="I88" i="1"/>
  <c r="C89" i="1"/>
  <c r="D89" i="1"/>
  <c r="E89" i="1"/>
  <c r="F89" i="1"/>
  <c r="G89" i="1"/>
  <c r="H89" i="1"/>
  <c r="I89" i="1"/>
  <c r="C90" i="1"/>
  <c r="D90" i="1"/>
  <c r="E90" i="1"/>
  <c r="F90" i="1"/>
  <c r="G90" i="1"/>
  <c r="H90" i="1"/>
  <c r="I90" i="1"/>
  <c r="C91" i="1"/>
  <c r="D91" i="1"/>
  <c r="E91" i="1"/>
  <c r="F91" i="1"/>
  <c r="G91" i="1"/>
  <c r="H91" i="1"/>
  <c r="I91" i="1"/>
  <c r="C92" i="1"/>
  <c r="D92" i="1"/>
  <c r="E92" i="1"/>
  <c r="F92" i="1"/>
  <c r="G92" i="1"/>
  <c r="H92" i="1"/>
  <c r="I92" i="1"/>
  <c r="C93" i="1"/>
  <c r="D93" i="1"/>
  <c r="E93" i="1"/>
  <c r="F93" i="1"/>
  <c r="G93" i="1"/>
  <c r="H93" i="1"/>
  <c r="I93" i="1"/>
  <c r="C94" i="1"/>
  <c r="D94" i="1"/>
  <c r="E94" i="1"/>
  <c r="F94" i="1"/>
  <c r="G94" i="1"/>
  <c r="H94" i="1"/>
  <c r="I94" i="1"/>
  <c r="C95" i="1"/>
  <c r="D95" i="1"/>
  <c r="E95" i="1"/>
  <c r="F95" i="1"/>
  <c r="G95" i="1"/>
  <c r="H95" i="1"/>
  <c r="I95" i="1"/>
  <c r="C96" i="1"/>
  <c r="D96" i="1"/>
  <c r="E96" i="1"/>
  <c r="F96" i="1"/>
  <c r="G96" i="1"/>
  <c r="H96" i="1"/>
  <c r="I96" i="1"/>
  <c r="C97" i="1"/>
  <c r="D97" i="1"/>
  <c r="E97" i="1"/>
  <c r="F97" i="1"/>
  <c r="G97" i="1"/>
  <c r="H97" i="1"/>
  <c r="I97" i="1"/>
  <c r="C98" i="1"/>
  <c r="D98" i="1"/>
  <c r="E98" i="1"/>
  <c r="F98" i="1"/>
  <c r="G98" i="1"/>
  <c r="H98" i="1"/>
  <c r="I98" i="1"/>
  <c r="C99" i="1"/>
  <c r="D99" i="1"/>
  <c r="E99" i="1"/>
  <c r="F99" i="1"/>
  <c r="G99" i="1"/>
  <c r="H99" i="1"/>
  <c r="I99" i="1"/>
  <c r="C100" i="1"/>
  <c r="D100" i="1"/>
  <c r="E100" i="1"/>
  <c r="F100" i="1"/>
  <c r="G100" i="1"/>
  <c r="H100" i="1"/>
  <c r="I100" i="1"/>
  <c r="C101" i="1"/>
  <c r="D101" i="1"/>
  <c r="E101" i="1"/>
  <c r="F101" i="1"/>
  <c r="G101" i="1"/>
  <c r="H101" i="1"/>
  <c r="I101" i="1"/>
  <c r="C102" i="1"/>
  <c r="D102" i="1"/>
  <c r="E102" i="1"/>
  <c r="F102" i="1"/>
  <c r="G102" i="1"/>
  <c r="H102" i="1"/>
  <c r="I102" i="1"/>
  <c r="C103" i="1"/>
  <c r="D103" i="1"/>
  <c r="E103" i="1"/>
  <c r="F103" i="1"/>
  <c r="G103" i="1"/>
  <c r="H103" i="1"/>
  <c r="I103" i="1"/>
  <c r="C104" i="1"/>
  <c r="D104" i="1"/>
  <c r="E104" i="1"/>
  <c r="F104" i="1"/>
  <c r="G104" i="1"/>
  <c r="H104" i="1"/>
  <c r="I104" i="1"/>
  <c r="C105" i="1"/>
  <c r="D105" i="1"/>
  <c r="E105" i="1"/>
  <c r="F105" i="1"/>
  <c r="G105" i="1"/>
  <c r="H105" i="1"/>
  <c r="I105" i="1"/>
  <c r="C106" i="1"/>
  <c r="D106" i="1"/>
  <c r="E106" i="1"/>
  <c r="F106" i="1"/>
  <c r="G106" i="1"/>
  <c r="H106" i="1"/>
  <c r="I106" i="1"/>
  <c r="C107" i="1"/>
  <c r="D107" i="1"/>
  <c r="E107" i="1"/>
  <c r="F107" i="1"/>
  <c r="G107" i="1"/>
  <c r="H107" i="1"/>
  <c r="I107" i="1"/>
  <c r="C108" i="1"/>
  <c r="D108" i="1"/>
  <c r="E108" i="1"/>
  <c r="F108" i="1"/>
  <c r="G108" i="1"/>
  <c r="H108" i="1"/>
  <c r="I108" i="1"/>
  <c r="C109" i="1"/>
  <c r="D109" i="1"/>
  <c r="E109" i="1"/>
  <c r="F109" i="1"/>
  <c r="G109" i="1"/>
  <c r="H109" i="1"/>
  <c r="I109" i="1"/>
  <c r="C110" i="1"/>
  <c r="D110" i="1"/>
  <c r="E110" i="1"/>
  <c r="F110" i="1"/>
  <c r="G110" i="1"/>
  <c r="H110" i="1"/>
  <c r="I110" i="1"/>
  <c r="C111" i="1"/>
  <c r="D111" i="1"/>
  <c r="E111" i="1"/>
  <c r="F111" i="1"/>
  <c r="G111" i="1"/>
  <c r="H111" i="1"/>
  <c r="I111" i="1"/>
  <c r="C112" i="1"/>
  <c r="D112" i="1"/>
  <c r="E112" i="1"/>
  <c r="F112" i="1"/>
  <c r="G112" i="1"/>
  <c r="H112" i="1"/>
  <c r="I112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C121" i="1"/>
  <c r="D121" i="1"/>
  <c r="E121" i="1"/>
  <c r="F121" i="1"/>
  <c r="G121" i="1"/>
  <c r="H121" i="1"/>
  <c r="I121" i="1"/>
  <c r="C122" i="1"/>
  <c r="D122" i="1"/>
  <c r="E122" i="1"/>
  <c r="F122" i="1"/>
  <c r="G122" i="1"/>
  <c r="H122" i="1"/>
  <c r="I122" i="1"/>
  <c r="C123" i="1"/>
  <c r="D123" i="1"/>
  <c r="E123" i="1"/>
  <c r="F123" i="1"/>
  <c r="G123" i="1"/>
  <c r="H123" i="1"/>
  <c r="I123" i="1"/>
  <c r="C124" i="1"/>
  <c r="D124" i="1"/>
  <c r="E124" i="1"/>
  <c r="F124" i="1"/>
  <c r="G124" i="1"/>
  <c r="H124" i="1"/>
  <c r="I124" i="1"/>
  <c r="C125" i="1"/>
  <c r="D125" i="1"/>
  <c r="E125" i="1"/>
  <c r="F125" i="1"/>
  <c r="G125" i="1"/>
  <c r="H125" i="1"/>
  <c r="I125" i="1"/>
  <c r="C126" i="1"/>
  <c r="D126" i="1"/>
  <c r="E126" i="1"/>
  <c r="F126" i="1"/>
  <c r="G126" i="1"/>
  <c r="H126" i="1"/>
  <c r="I126" i="1"/>
  <c r="C127" i="1"/>
  <c r="D127" i="1"/>
  <c r="E127" i="1"/>
  <c r="F127" i="1"/>
  <c r="G127" i="1"/>
  <c r="H127" i="1"/>
  <c r="I127" i="1"/>
  <c r="C128" i="1"/>
  <c r="D128" i="1"/>
  <c r="E128" i="1"/>
  <c r="F128" i="1"/>
  <c r="G128" i="1"/>
  <c r="H128" i="1"/>
  <c r="I128" i="1"/>
  <c r="C129" i="1"/>
  <c r="D129" i="1"/>
  <c r="E129" i="1"/>
  <c r="F129" i="1"/>
  <c r="G129" i="1"/>
  <c r="H129" i="1"/>
  <c r="I129" i="1"/>
  <c r="C130" i="1"/>
  <c r="D130" i="1"/>
  <c r="E130" i="1"/>
  <c r="F130" i="1"/>
  <c r="G130" i="1"/>
  <c r="H130" i="1"/>
  <c r="I130" i="1"/>
  <c r="C131" i="1"/>
  <c r="D131" i="1"/>
  <c r="E131" i="1"/>
  <c r="F131" i="1"/>
  <c r="G131" i="1"/>
  <c r="H131" i="1"/>
  <c r="I131" i="1"/>
  <c r="C132" i="1"/>
  <c r="D132" i="1"/>
  <c r="E132" i="1"/>
  <c r="F132" i="1"/>
  <c r="G132" i="1"/>
  <c r="H132" i="1"/>
  <c r="I132" i="1"/>
  <c r="C133" i="1"/>
  <c r="D133" i="1"/>
  <c r="E133" i="1"/>
  <c r="F133" i="1"/>
  <c r="G133" i="1"/>
  <c r="H133" i="1"/>
  <c r="I133" i="1"/>
  <c r="C134" i="1"/>
  <c r="D134" i="1"/>
  <c r="E134" i="1"/>
  <c r="F134" i="1"/>
  <c r="G134" i="1"/>
  <c r="H134" i="1"/>
  <c r="I134" i="1"/>
  <c r="C135" i="1"/>
  <c r="D135" i="1"/>
  <c r="E135" i="1"/>
  <c r="F135" i="1"/>
  <c r="G135" i="1"/>
  <c r="H135" i="1"/>
  <c r="I135" i="1"/>
  <c r="C136" i="1"/>
  <c r="D136" i="1"/>
  <c r="E136" i="1"/>
  <c r="F136" i="1"/>
  <c r="G136" i="1"/>
  <c r="H136" i="1"/>
  <c r="I136" i="1"/>
  <c r="C137" i="1"/>
  <c r="D137" i="1"/>
  <c r="E137" i="1"/>
  <c r="F137" i="1"/>
  <c r="G137" i="1"/>
  <c r="H137" i="1"/>
  <c r="I137" i="1"/>
  <c r="C138" i="1"/>
  <c r="D138" i="1"/>
  <c r="E138" i="1"/>
  <c r="F138" i="1"/>
  <c r="G138" i="1"/>
  <c r="H138" i="1"/>
  <c r="I138" i="1"/>
  <c r="C139" i="1"/>
  <c r="D139" i="1"/>
  <c r="E139" i="1"/>
  <c r="F139" i="1"/>
  <c r="G139" i="1"/>
  <c r="H139" i="1"/>
  <c r="I139" i="1"/>
  <c r="C140" i="1"/>
  <c r="D140" i="1"/>
  <c r="E140" i="1"/>
  <c r="F140" i="1"/>
  <c r="G140" i="1"/>
  <c r="H140" i="1"/>
  <c r="I140" i="1"/>
  <c r="C141" i="1"/>
  <c r="D141" i="1"/>
  <c r="E141" i="1"/>
  <c r="F141" i="1"/>
  <c r="G141" i="1"/>
  <c r="H141" i="1"/>
  <c r="I141" i="1"/>
  <c r="C142" i="1"/>
  <c r="D142" i="1"/>
  <c r="E142" i="1"/>
  <c r="F142" i="1"/>
  <c r="G142" i="1"/>
  <c r="H142" i="1"/>
  <c r="I142" i="1"/>
  <c r="C143" i="1"/>
  <c r="D143" i="1"/>
  <c r="E143" i="1"/>
  <c r="F143" i="1"/>
  <c r="G143" i="1"/>
  <c r="H143" i="1"/>
  <c r="I143" i="1"/>
  <c r="C144" i="1"/>
  <c r="D144" i="1"/>
  <c r="E144" i="1"/>
  <c r="F144" i="1"/>
  <c r="G144" i="1"/>
  <c r="H144" i="1"/>
  <c r="I144" i="1"/>
  <c r="C145" i="1"/>
  <c r="D145" i="1"/>
  <c r="E145" i="1"/>
  <c r="F145" i="1"/>
  <c r="G145" i="1"/>
  <c r="H145" i="1"/>
  <c r="I145" i="1"/>
  <c r="C146" i="1"/>
  <c r="D146" i="1"/>
  <c r="E146" i="1"/>
  <c r="F146" i="1"/>
  <c r="G146" i="1"/>
  <c r="H146" i="1"/>
  <c r="I146" i="1"/>
  <c r="C147" i="1"/>
  <c r="D147" i="1"/>
  <c r="E147" i="1"/>
  <c r="F147" i="1"/>
  <c r="G147" i="1"/>
  <c r="H147" i="1"/>
  <c r="I147" i="1"/>
  <c r="C148" i="1"/>
  <c r="D148" i="1"/>
  <c r="E148" i="1"/>
  <c r="F148" i="1"/>
  <c r="G148" i="1"/>
  <c r="H148" i="1"/>
  <c r="I148" i="1"/>
  <c r="C149" i="1"/>
  <c r="D149" i="1"/>
  <c r="E149" i="1"/>
  <c r="F149" i="1"/>
  <c r="G149" i="1"/>
  <c r="H149" i="1"/>
  <c r="I149" i="1"/>
  <c r="C150" i="1"/>
  <c r="D150" i="1"/>
  <c r="E150" i="1"/>
  <c r="F150" i="1"/>
  <c r="G150" i="1"/>
  <c r="H150" i="1"/>
  <c r="I150" i="1"/>
  <c r="C151" i="1"/>
  <c r="D151" i="1"/>
  <c r="E151" i="1"/>
  <c r="F151" i="1"/>
  <c r="G151" i="1"/>
  <c r="H151" i="1"/>
  <c r="I151" i="1"/>
  <c r="C152" i="1"/>
  <c r="D152" i="1"/>
  <c r="E152" i="1"/>
  <c r="F152" i="1"/>
  <c r="G152" i="1"/>
  <c r="H152" i="1"/>
  <c r="I152" i="1"/>
  <c r="C153" i="1"/>
  <c r="D153" i="1"/>
  <c r="E153" i="1"/>
  <c r="F153" i="1"/>
  <c r="G153" i="1"/>
  <c r="H153" i="1"/>
  <c r="I153" i="1"/>
  <c r="C154" i="1"/>
  <c r="D154" i="1"/>
  <c r="E154" i="1"/>
  <c r="F154" i="1"/>
  <c r="G154" i="1"/>
  <c r="H154" i="1"/>
  <c r="I154" i="1"/>
  <c r="C155" i="1"/>
  <c r="D155" i="1"/>
  <c r="E155" i="1"/>
  <c r="F155" i="1"/>
  <c r="G155" i="1"/>
  <c r="H155" i="1"/>
  <c r="I155" i="1"/>
  <c r="C156" i="1"/>
  <c r="D156" i="1"/>
  <c r="E156" i="1"/>
  <c r="F156" i="1"/>
  <c r="G156" i="1"/>
  <c r="H156" i="1"/>
  <c r="I156" i="1"/>
  <c r="C157" i="1"/>
  <c r="D157" i="1"/>
  <c r="E157" i="1"/>
  <c r="F157" i="1"/>
  <c r="G157" i="1"/>
  <c r="H157" i="1"/>
  <c r="I157" i="1"/>
  <c r="C158" i="1"/>
  <c r="D158" i="1"/>
  <c r="E158" i="1"/>
  <c r="F158" i="1"/>
  <c r="G158" i="1"/>
  <c r="H158" i="1"/>
  <c r="I158" i="1"/>
  <c r="C159" i="1"/>
  <c r="D159" i="1"/>
  <c r="E159" i="1"/>
  <c r="F159" i="1"/>
  <c r="G159" i="1"/>
  <c r="H159" i="1"/>
  <c r="I159" i="1"/>
  <c r="C160" i="1"/>
  <c r="D160" i="1"/>
  <c r="E160" i="1"/>
  <c r="F160" i="1"/>
  <c r="G160" i="1"/>
  <c r="H160" i="1"/>
  <c r="I160" i="1"/>
  <c r="C161" i="1"/>
  <c r="D161" i="1"/>
  <c r="E161" i="1"/>
  <c r="F161" i="1"/>
  <c r="G161" i="1"/>
  <c r="H161" i="1"/>
  <c r="I161" i="1"/>
  <c r="C162" i="1"/>
  <c r="D162" i="1"/>
  <c r="E162" i="1"/>
  <c r="F162" i="1"/>
  <c r="G162" i="1"/>
  <c r="H162" i="1"/>
  <c r="I162" i="1"/>
  <c r="C163" i="1"/>
  <c r="D163" i="1"/>
  <c r="E163" i="1"/>
  <c r="F163" i="1"/>
  <c r="G163" i="1"/>
  <c r="H163" i="1"/>
  <c r="I163" i="1"/>
  <c r="C164" i="1"/>
  <c r="D164" i="1"/>
  <c r="E164" i="1"/>
  <c r="F164" i="1"/>
  <c r="G164" i="1"/>
  <c r="H164" i="1"/>
  <c r="I164" i="1"/>
  <c r="C165" i="1"/>
  <c r="D165" i="1"/>
  <c r="E165" i="1"/>
  <c r="F165" i="1"/>
  <c r="G165" i="1"/>
  <c r="H165" i="1"/>
  <c r="I165" i="1"/>
  <c r="C166" i="1"/>
  <c r="D166" i="1"/>
  <c r="E166" i="1"/>
  <c r="F166" i="1"/>
  <c r="G166" i="1"/>
  <c r="H166" i="1"/>
  <c r="I166" i="1"/>
  <c r="C167" i="1"/>
  <c r="D167" i="1"/>
  <c r="E167" i="1"/>
  <c r="F167" i="1"/>
  <c r="G167" i="1"/>
  <c r="H167" i="1"/>
  <c r="I167" i="1"/>
  <c r="C168" i="1"/>
  <c r="D168" i="1"/>
  <c r="E168" i="1"/>
  <c r="F168" i="1"/>
  <c r="G168" i="1"/>
  <c r="H168" i="1"/>
  <c r="I168" i="1"/>
  <c r="C169" i="1"/>
  <c r="D169" i="1"/>
  <c r="E169" i="1"/>
  <c r="F169" i="1"/>
  <c r="G169" i="1"/>
  <c r="H169" i="1"/>
  <c r="I169" i="1"/>
  <c r="C170" i="1"/>
  <c r="D170" i="1"/>
  <c r="E170" i="1"/>
  <c r="F170" i="1"/>
  <c r="G170" i="1"/>
  <c r="H170" i="1"/>
  <c r="I170" i="1"/>
  <c r="C171" i="1"/>
  <c r="D171" i="1"/>
  <c r="E171" i="1"/>
  <c r="F171" i="1"/>
  <c r="G171" i="1"/>
  <c r="H171" i="1"/>
  <c r="I171" i="1"/>
  <c r="C172" i="1"/>
  <c r="D172" i="1"/>
  <c r="E172" i="1"/>
  <c r="F172" i="1"/>
  <c r="G172" i="1"/>
  <c r="H172" i="1"/>
  <c r="I172" i="1"/>
  <c r="C173" i="1"/>
  <c r="D173" i="1"/>
  <c r="E173" i="1"/>
  <c r="F173" i="1"/>
  <c r="G173" i="1"/>
  <c r="H173" i="1"/>
  <c r="I173" i="1"/>
  <c r="C174" i="1"/>
  <c r="D174" i="1"/>
  <c r="E174" i="1"/>
  <c r="F174" i="1"/>
  <c r="G174" i="1"/>
  <c r="H174" i="1"/>
  <c r="I174" i="1"/>
  <c r="C175" i="1"/>
  <c r="D175" i="1"/>
  <c r="E175" i="1"/>
  <c r="F175" i="1"/>
  <c r="G175" i="1"/>
  <c r="H175" i="1"/>
  <c r="I175" i="1"/>
  <c r="C176" i="1"/>
  <c r="D176" i="1"/>
  <c r="E176" i="1"/>
  <c r="F176" i="1"/>
  <c r="G176" i="1"/>
  <c r="H176" i="1"/>
  <c r="I176" i="1"/>
  <c r="C177" i="1"/>
  <c r="D177" i="1"/>
  <c r="E177" i="1"/>
  <c r="F177" i="1"/>
  <c r="G177" i="1"/>
  <c r="H177" i="1"/>
  <c r="I177" i="1"/>
  <c r="C178" i="1"/>
  <c r="D178" i="1"/>
  <c r="E178" i="1"/>
  <c r="F178" i="1"/>
  <c r="G178" i="1"/>
  <c r="H178" i="1"/>
  <c r="I178" i="1"/>
  <c r="C179" i="1"/>
  <c r="D179" i="1"/>
  <c r="E179" i="1"/>
  <c r="F179" i="1"/>
  <c r="G179" i="1"/>
  <c r="H179" i="1"/>
  <c r="I179" i="1"/>
  <c r="C180" i="1"/>
  <c r="D180" i="1"/>
  <c r="E180" i="1"/>
  <c r="F180" i="1"/>
  <c r="G180" i="1"/>
  <c r="H180" i="1"/>
  <c r="I180" i="1"/>
  <c r="C181" i="1"/>
  <c r="D181" i="1"/>
  <c r="E181" i="1"/>
  <c r="F181" i="1"/>
  <c r="G181" i="1"/>
  <c r="H181" i="1"/>
  <c r="I181" i="1"/>
  <c r="C182" i="1"/>
  <c r="D182" i="1"/>
  <c r="E182" i="1"/>
  <c r="F182" i="1"/>
  <c r="G182" i="1"/>
  <c r="H182" i="1"/>
  <c r="I182" i="1"/>
  <c r="C183" i="1"/>
  <c r="D183" i="1"/>
  <c r="E183" i="1"/>
  <c r="F183" i="1"/>
  <c r="G183" i="1"/>
  <c r="H183" i="1"/>
  <c r="I183" i="1"/>
  <c r="C184" i="1"/>
  <c r="D184" i="1"/>
  <c r="E184" i="1"/>
  <c r="F184" i="1"/>
  <c r="G184" i="1"/>
  <c r="H184" i="1"/>
  <c r="I184" i="1"/>
  <c r="C185" i="1"/>
  <c r="D185" i="1"/>
  <c r="E185" i="1"/>
  <c r="F185" i="1"/>
  <c r="G185" i="1"/>
  <c r="H185" i="1"/>
  <c r="I185" i="1"/>
  <c r="C186" i="1"/>
  <c r="D186" i="1"/>
  <c r="E186" i="1"/>
  <c r="F186" i="1"/>
  <c r="G186" i="1"/>
  <c r="H186" i="1"/>
  <c r="I186" i="1"/>
  <c r="C187" i="1"/>
  <c r="D187" i="1"/>
  <c r="E187" i="1"/>
  <c r="F187" i="1"/>
  <c r="G187" i="1"/>
  <c r="H187" i="1"/>
  <c r="I187" i="1"/>
  <c r="C188" i="1"/>
  <c r="D188" i="1"/>
  <c r="E188" i="1"/>
  <c r="F188" i="1"/>
  <c r="G188" i="1"/>
  <c r="H188" i="1"/>
  <c r="I188" i="1"/>
  <c r="C189" i="1"/>
  <c r="D189" i="1"/>
  <c r="E189" i="1"/>
  <c r="F189" i="1"/>
  <c r="G189" i="1"/>
  <c r="H189" i="1"/>
  <c r="I189" i="1"/>
  <c r="C190" i="1"/>
  <c r="D190" i="1"/>
  <c r="E190" i="1"/>
  <c r="F190" i="1"/>
  <c r="G190" i="1"/>
  <c r="H190" i="1"/>
  <c r="I190" i="1"/>
  <c r="C191" i="1"/>
  <c r="D191" i="1"/>
  <c r="E191" i="1"/>
  <c r="F191" i="1"/>
  <c r="G191" i="1"/>
  <c r="H191" i="1"/>
  <c r="I191" i="1"/>
  <c r="C192" i="1"/>
  <c r="D192" i="1"/>
  <c r="E192" i="1"/>
  <c r="F192" i="1"/>
  <c r="G192" i="1"/>
  <c r="H192" i="1"/>
  <c r="I192" i="1"/>
  <c r="C193" i="1"/>
  <c r="D193" i="1"/>
  <c r="E193" i="1"/>
  <c r="F193" i="1"/>
  <c r="G193" i="1"/>
  <c r="H193" i="1"/>
  <c r="I193" i="1"/>
  <c r="C194" i="1"/>
  <c r="D194" i="1"/>
  <c r="E194" i="1"/>
  <c r="F194" i="1"/>
  <c r="G194" i="1"/>
  <c r="H194" i="1"/>
  <c r="I194" i="1"/>
  <c r="C195" i="1"/>
  <c r="D195" i="1"/>
  <c r="E195" i="1"/>
  <c r="F195" i="1"/>
  <c r="G195" i="1"/>
  <c r="H195" i="1"/>
  <c r="I195" i="1"/>
  <c r="C196" i="1"/>
  <c r="D196" i="1"/>
  <c r="E196" i="1"/>
  <c r="F196" i="1"/>
  <c r="G196" i="1"/>
  <c r="H196" i="1"/>
  <c r="I196" i="1"/>
  <c r="C197" i="1"/>
  <c r="D197" i="1"/>
  <c r="E197" i="1"/>
  <c r="F197" i="1"/>
  <c r="G197" i="1"/>
  <c r="H197" i="1"/>
  <c r="I197" i="1"/>
  <c r="C198" i="1"/>
  <c r="D198" i="1"/>
  <c r="E198" i="1"/>
  <c r="F198" i="1"/>
  <c r="G198" i="1"/>
  <c r="H198" i="1"/>
  <c r="I198" i="1"/>
  <c r="C199" i="1"/>
  <c r="D199" i="1"/>
  <c r="E199" i="1"/>
  <c r="F199" i="1"/>
  <c r="G199" i="1"/>
  <c r="H199" i="1"/>
  <c r="I199" i="1"/>
  <c r="C200" i="1"/>
  <c r="D200" i="1"/>
  <c r="E200" i="1"/>
  <c r="F200" i="1"/>
  <c r="G200" i="1"/>
  <c r="H200" i="1"/>
  <c r="I200" i="1"/>
  <c r="C201" i="1"/>
  <c r="D201" i="1"/>
  <c r="E201" i="1"/>
  <c r="F201" i="1"/>
  <c r="G201" i="1"/>
  <c r="H201" i="1"/>
  <c r="I201" i="1"/>
  <c r="C202" i="1"/>
  <c r="D202" i="1"/>
  <c r="E202" i="1"/>
  <c r="F202" i="1"/>
  <c r="G202" i="1"/>
  <c r="H202" i="1"/>
  <c r="I202" i="1"/>
  <c r="C203" i="1"/>
  <c r="D203" i="1"/>
  <c r="E203" i="1"/>
  <c r="F203" i="1"/>
  <c r="G203" i="1"/>
  <c r="H203" i="1"/>
  <c r="I203" i="1"/>
  <c r="C204" i="1"/>
  <c r="D204" i="1"/>
  <c r="E204" i="1"/>
  <c r="F204" i="1"/>
  <c r="G204" i="1"/>
  <c r="H204" i="1"/>
  <c r="I204" i="1"/>
  <c r="C205" i="1"/>
  <c r="D205" i="1"/>
  <c r="E205" i="1"/>
  <c r="F205" i="1"/>
  <c r="G205" i="1"/>
  <c r="H205" i="1"/>
  <c r="I205" i="1"/>
  <c r="C206" i="1"/>
  <c r="D206" i="1"/>
  <c r="E206" i="1"/>
  <c r="F206" i="1"/>
  <c r="G206" i="1"/>
  <c r="H206" i="1"/>
  <c r="I206" i="1"/>
  <c r="C207" i="1"/>
  <c r="D207" i="1"/>
  <c r="E207" i="1"/>
  <c r="F207" i="1"/>
  <c r="G207" i="1"/>
  <c r="H207" i="1"/>
  <c r="I207" i="1"/>
  <c r="C208" i="1"/>
  <c r="D208" i="1"/>
  <c r="E208" i="1"/>
  <c r="F208" i="1"/>
  <c r="G208" i="1"/>
  <c r="H208" i="1"/>
  <c r="I208" i="1"/>
  <c r="C209" i="1"/>
  <c r="D209" i="1"/>
  <c r="E209" i="1"/>
  <c r="F209" i="1"/>
  <c r="G209" i="1"/>
  <c r="H209" i="1"/>
  <c r="I209" i="1"/>
  <c r="C210" i="1"/>
  <c r="D210" i="1"/>
  <c r="E210" i="1"/>
  <c r="F210" i="1"/>
  <c r="G210" i="1"/>
  <c r="H210" i="1"/>
  <c r="I210" i="1"/>
  <c r="C211" i="1"/>
  <c r="D211" i="1"/>
  <c r="E211" i="1"/>
  <c r="F211" i="1"/>
  <c r="G211" i="1"/>
  <c r="H211" i="1"/>
  <c r="I211" i="1"/>
  <c r="C212" i="1"/>
  <c r="D212" i="1"/>
  <c r="E212" i="1"/>
  <c r="F212" i="1"/>
  <c r="G212" i="1"/>
  <c r="H212" i="1"/>
  <c r="I212" i="1"/>
  <c r="C213" i="1"/>
  <c r="D213" i="1"/>
  <c r="E213" i="1"/>
  <c r="F213" i="1"/>
  <c r="G213" i="1"/>
  <c r="H213" i="1"/>
  <c r="I213" i="1"/>
  <c r="C214" i="1"/>
  <c r="D214" i="1"/>
  <c r="E214" i="1"/>
  <c r="F214" i="1"/>
  <c r="G214" i="1"/>
  <c r="H214" i="1"/>
  <c r="I214" i="1"/>
  <c r="C215" i="1"/>
  <c r="D215" i="1"/>
  <c r="E215" i="1"/>
  <c r="F215" i="1"/>
  <c r="G215" i="1"/>
  <c r="H215" i="1"/>
  <c r="I215" i="1"/>
  <c r="C216" i="1"/>
  <c r="D216" i="1"/>
  <c r="E216" i="1"/>
  <c r="F216" i="1"/>
  <c r="G216" i="1"/>
  <c r="H216" i="1"/>
  <c r="I216" i="1"/>
  <c r="C217" i="1"/>
  <c r="D217" i="1"/>
  <c r="E217" i="1"/>
  <c r="F217" i="1"/>
  <c r="G217" i="1"/>
  <c r="H217" i="1"/>
  <c r="I217" i="1"/>
  <c r="C218" i="1"/>
  <c r="D218" i="1"/>
  <c r="E218" i="1"/>
  <c r="F218" i="1"/>
  <c r="G218" i="1"/>
  <c r="H218" i="1"/>
  <c r="I218" i="1"/>
  <c r="C219" i="1"/>
  <c r="D219" i="1"/>
  <c r="E219" i="1"/>
  <c r="F219" i="1"/>
  <c r="G219" i="1"/>
  <c r="H219" i="1"/>
  <c r="I219" i="1"/>
  <c r="C220" i="1"/>
  <c r="D220" i="1"/>
  <c r="E220" i="1"/>
  <c r="F220" i="1"/>
  <c r="G220" i="1"/>
  <c r="H220" i="1"/>
  <c r="I220" i="1"/>
  <c r="C221" i="1"/>
  <c r="D221" i="1"/>
  <c r="E221" i="1"/>
  <c r="F221" i="1"/>
  <c r="G221" i="1"/>
  <c r="H221" i="1"/>
  <c r="I221" i="1"/>
  <c r="C222" i="1"/>
  <c r="D222" i="1"/>
  <c r="E222" i="1"/>
  <c r="F222" i="1"/>
  <c r="G222" i="1"/>
  <c r="H222" i="1"/>
  <c r="I222" i="1"/>
  <c r="C223" i="1"/>
  <c r="D223" i="1"/>
  <c r="E223" i="1"/>
  <c r="F223" i="1"/>
  <c r="G223" i="1"/>
  <c r="H223" i="1"/>
  <c r="I223" i="1"/>
  <c r="C224" i="1"/>
  <c r="D224" i="1"/>
  <c r="E224" i="1"/>
  <c r="F224" i="1"/>
  <c r="G224" i="1"/>
  <c r="H224" i="1"/>
  <c r="I224" i="1"/>
  <c r="C225" i="1"/>
  <c r="D225" i="1"/>
  <c r="E225" i="1"/>
  <c r="F225" i="1"/>
  <c r="G225" i="1"/>
  <c r="H225" i="1"/>
  <c r="I225" i="1"/>
  <c r="C226" i="1"/>
  <c r="D226" i="1"/>
  <c r="E226" i="1"/>
  <c r="F226" i="1"/>
  <c r="G226" i="1"/>
  <c r="H226" i="1"/>
  <c r="I226" i="1"/>
  <c r="C227" i="1"/>
  <c r="D227" i="1"/>
  <c r="E227" i="1"/>
  <c r="F227" i="1"/>
  <c r="G227" i="1"/>
  <c r="H227" i="1"/>
  <c r="I227" i="1"/>
  <c r="C228" i="1"/>
  <c r="D228" i="1"/>
  <c r="E228" i="1"/>
  <c r="F228" i="1"/>
  <c r="G228" i="1"/>
  <c r="H228" i="1"/>
  <c r="I228" i="1"/>
  <c r="C229" i="1"/>
  <c r="D229" i="1"/>
  <c r="E229" i="1"/>
  <c r="F229" i="1"/>
  <c r="G229" i="1"/>
  <c r="H229" i="1"/>
  <c r="I229" i="1"/>
  <c r="C230" i="1"/>
  <c r="D230" i="1"/>
  <c r="E230" i="1"/>
  <c r="F230" i="1"/>
  <c r="G230" i="1"/>
  <c r="H230" i="1"/>
  <c r="I230" i="1"/>
  <c r="C231" i="1"/>
  <c r="D231" i="1"/>
  <c r="E231" i="1"/>
  <c r="F231" i="1"/>
  <c r="G231" i="1"/>
  <c r="H231" i="1"/>
  <c r="I231" i="1"/>
  <c r="C232" i="1"/>
  <c r="D232" i="1"/>
  <c r="E232" i="1"/>
  <c r="F232" i="1"/>
  <c r="G232" i="1"/>
  <c r="H232" i="1"/>
  <c r="I232" i="1"/>
  <c r="C233" i="1"/>
  <c r="D233" i="1"/>
  <c r="E233" i="1"/>
  <c r="F233" i="1"/>
  <c r="G233" i="1"/>
  <c r="H233" i="1"/>
  <c r="I233" i="1"/>
  <c r="C234" i="1"/>
  <c r="D234" i="1"/>
  <c r="E234" i="1"/>
  <c r="F234" i="1"/>
  <c r="G234" i="1"/>
  <c r="H234" i="1"/>
  <c r="I234" i="1"/>
  <c r="C235" i="1"/>
  <c r="D235" i="1"/>
  <c r="E235" i="1"/>
  <c r="F235" i="1"/>
  <c r="G235" i="1"/>
  <c r="H235" i="1"/>
  <c r="I235" i="1"/>
  <c r="C236" i="1"/>
  <c r="D236" i="1"/>
  <c r="E236" i="1"/>
  <c r="F236" i="1"/>
  <c r="G236" i="1"/>
  <c r="H236" i="1"/>
  <c r="I236" i="1"/>
  <c r="C237" i="1"/>
  <c r="D237" i="1"/>
  <c r="E237" i="1"/>
  <c r="F237" i="1"/>
  <c r="G237" i="1"/>
  <c r="H237" i="1"/>
  <c r="I237" i="1"/>
  <c r="C238" i="1"/>
  <c r="D238" i="1"/>
  <c r="E238" i="1"/>
  <c r="F238" i="1"/>
  <c r="G238" i="1"/>
  <c r="H238" i="1"/>
  <c r="I238" i="1"/>
  <c r="C239" i="1"/>
  <c r="D239" i="1"/>
  <c r="E239" i="1"/>
  <c r="F239" i="1"/>
  <c r="G239" i="1"/>
  <c r="H239" i="1"/>
  <c r="I239" i="1"/>
  <c r="C240" i="1"/>
  <c r="D240" i="1"/>
  <c r="E240" i="1"/>
  <c r="F240" i="1"/>
  <c r="G240" i="1"/>
  <c r="H240" i="1"/>
  <c r="I240" i="1"/>
  <c r="C241" i="1"/>
  <c r="D241" i="1"/>
  <c r="E241" i="1"/>
  <c r="F241" i="1"/>
  <c r="G241" i="1"/>
  <c r="H241" i="1"/>
  <c r="I241" i="1"/>
  <c r="C242" i="1"/>
  <c r="D242" i="1"/>
  <c r="E242" i="1"/>
  <c r="F242" i="1"/>
  <c r="G242" i="1"/>
  <c r="H242" i="1"/>
  <c r="I242" i="1"/>
  <c r="C243" i="1"/>
  <c r="D243" i="1"/>
  <c r="E243" i="1"/>
  <c r="F243" i="1"/>
  <c r="G243" i="1"/>
  <c r="H243" i="1"/>
  <c r="I243" i="1"/>
  <c r="C244" i="1"/>
  <c r="D244" i="1"/>
  <c r="E244" i="1"/>
  <c r="F244" i="1"/>
  <c r="G244" i="1"/>
  <c r="H244" i="1"/>
  <c r="I244" i="1"/>
  <c r="C245" i="1"/>
  <c r="D245" i="1"/>
  <c r="E245" i="1"/>
  <c r="F245" i="1"/>
  <c r="G245" i="1"/>
  <c r="H245" i="1"/>
  <c r="I245" i="1"/>
  <c r="C246" i="1"/>
  <c r="D246" i="1"/>
  <c r="E246" i="1"/>
  <c r="F246" i="1"/>
  <c r="G246" i="1"/>
  <c r="H246" i="1"/>
  <c r="I246" i="1"/>
  <c r="C247" i="1"/>
  <c r="D247" i="1"/>
  <c r="E247" i="1"/>
  <c r="F247" i="1"/>
  <c r="G247" i="1"/>
  <c r="H247" i="1"/>
  <c r="I247" i="1"/>
  <c r="C248" i="1"/>
  <c r="D248" i="1"/>
  <c r="E248" i="1"/>
  <c r="F248" i="1"/>
  <c r="G248" i="1"/>
  <c r="H248" i="1"/>
  <c r="I248" i="1"/>
  <c r="C249" i="1"/>
  <c r="D249" i="1"/>
  <c r="E249" i="1"/>
  <c r="F249" i="1"/>
  <c r="G249" i="1"/>
  <c r="H249" i="1"/>
  <c r="I249" i="1"/>
  <c r="C250" i="1"/>
  <c r="D250" i="1"/>
  <c r="E250" i="1"/>
  <c r="F250" i="1"/>
  <c r="G250" i="1"/>
  <c r="H250" i="1"/>
  <c r="I250" i="1"/>
  <c r="C251" i="1"/>
  <c r="D251" i="1"/>
  <c r="E251" i="1"/>
  <c r="F251" i="1"/>
  <c r="G251" i="1"/>
  <c r="H251" i="1"/>
  <c r="I251" i="1"/>
  <c r="C252" i="1"/>
  <c r="D252" i="1"/>
  <c r="E252" i="1"/>
  <c r="F252" i="1"/>
  <c r="G252" i="1"/>
  <c r="H252" i="1"/>
  <c r="I252" i="1"/>
  <c r="C253" i="1"/>
  <c r="D253" i="1"/>
  <c r="E253" i="1"/>
  <c r="F253" i="1"/>
  <c r="G253" i="1"/>
  <c r="H253" i="1"/>
  <c r="I253" i="1"/>
  <c r="C254" i="1"/>
  <c r="D254" i="1"/>
  <c r="E254" i="1"/>
  <c r="F254" i="1"/>
  <c r="G254" i="1"/>
  <c r="H254" i="1"/>
  <c r="I254" i="1"/>
  <c r="C255" i="1"/>
  <c r="D255" i="1"/>
  <c r="E255" i="1"/>
  <c r="F255" i="1"/>
  <c r="G255" i="1"/>
  <c r="H255" i="1"/>
  <c r="I255" i="1"/>
  <c r="C256" i="1"/>
  <c r="D256" i="1"/>
  <c r="E256" i="1"/>
  <c r="F256" i="1"/>
  <c r="G256" i="1"/>
  <c r="H256" i="1"/>
  <c r="I256" i="1"/>
  <c r="C257" i="1"/>
  <c r="D257" i="1"/>
  <c r="E257" i="1"/>
  <c r="F257" i="1"/>
  <c r="G257" i="1"/>
  <c r="H257" i="1"/>
  <c r="I257" i="1"/>
  <c r="C258" i="1"/>
  <c r="D258" i="1"/>
  <c r="E258" i="1"/>
  <c r="F258" i="1"/>
  <c r="G258" i="1"/>
  <c r="H258" i="1"/>
  <c r="I258" i="1"/>
  <c r="C259" i="1"/>
  <c r="D259" i="1"/>
  <c r="E259" i="1"/>
  <c r="F259" i="1"/>
  <c r="G259" i="1"/>
  <c r="H259" i="1"/>
  <c r="I259" i="1"/>
  <c r="C260" i="1"/>
  <c r="D260" i="1"/>
  <c r="E260" i="1"/>
  <c r="F260" i="1"/>
  <c r="G260" i="1"/>
  <c r="H260" i="1"/>
  <c r="I260" i="1"/>
  <c r="C261" i="1"/>
  <c r="D261" i="1"/>
  <c r="E261" i="1"/>
  <c r="F261" i="1"/>
  <c r="G261" i="1"/>
  <c r="H261" i="1"/>
  <c r="I261" i="1"/>
  <c r="C262" i="1"/>
  <c r="D262" i="1"/>
  <c r="E262" i="1"/>
  <c r="F262" i="1"/>
  <c r="G262" i="1"/>
  <c r="H262" i="1"/>
  <c r="I262" i="1"/>
  <c r="C263" i="1"/>
  <c r="D263" i="1"/>
  <c r="E263" i="1"/>
  <c r="F263" i="1"/>
  <c r="G263" i="1"/>
  <c r="H263" i="1"/>
  <c r="I263" i="1"/>
  <c r="C264" i="1"/>
  <c r="D264" i="1"/>
  <c r="E264" i="1"/>
  <c r="F264" i="1"/>
  <c r="G264" i="1"/>
  <c r="H264" i="1"/>
  <c r="I264" i="1"/>
  <c r="C265" i="1"/>
  <c r="D265" i="1"/>
  <c r="E265" i="1"/>
  <c r="F265" i="1"/>
  <c r="G265" i="1"/>
  <c r="H265" i="1"/>
  <c r="I265" i="1"/>
  <c r="C266" i="1"/>
  <c r="D266" i="1"/>
  <c r="E266" i="1"/>
  <c r="F266" i="1"/>
  <c r="G266" i="1"/>
  <c r="H266" i="1"/>
  <c r="I266" i="1"/>
  <c r="C267" i="1"/>
  <c r="D267" i="1"/>
  <c r="E267" i="1"/>
  <c r="F267" i="1"/>
  <c r="G267" i="1"/>
  <c r="H267" i="1"/>
  <c r="I267" i="1"/>
  <c r="C268" i="1"/>
  <c r="D268" i="1"/>
  <c r="E268" i="1"/>
  <c r="F268" i="1"/>
  <c r="G268" i="1"/>
  <c r="H268" i="1"/>
  <c r="I268" i="1"/>
  <c r="C269" i="1"/>
  <c r="D269" i="1"/>
  <c r="E269" i="1"/>
  <c r="F269" i="1"/>
  <c r="G269" i="1"/>
  <c r="H269" i="1"/>
  <c r="I269" i="1"/>
  <c r="C270" i="1"/>
  <c r="D270" i="1"/>
  <c r="E270" i="1"/>
  <c r="F270" i="1"/>
  <c r="G270" i="1"/>
  <c r="H270" i="1"/>
  <c r="I270" i="1"/>
  <c r="C271" i="1"/>
  <c r="D271" i="1"/>
  <c r="E271" i="1"/>
  <c r="F271" i="1"/>
  <c r="G271" i="1"/>
  <c r="H271" i="1"/>
  <c r="I271" i="1"/>
  <c r="C272" i="1"/>
  <c r="D272" i="1"/>
  <c r="E272" i="1"/>
  <c r="F272" i="1"/>
  <c r="G272" i="1"/>
  <c r="H272" i="1"/>
  <c r="I272" i="1"/>
  <c r="C273" i="1"/>
  <c r="D273" i="1"/>
  <c r="E273" i="1"/>
  <c r="F273" i="1"/>
  <c r="G273" i="1"/>
  <c r="H273" i="1"/>
  <c r="I273" i="1"/>
  <c r="C274" i="1"/>
  <c r="D274" i="1"/>
  <c r="E274" i="1"/>
  <c r="F274" i="1"/>
  <c r="G274" i="1"/>
  <c r="H274" i="1"/>
  <c r="I274" i="1"/>
  <c r="C275" i="1"/>
  <c r="D275" i="1"/>
  <c r="E275" i="1"/>
  <c r="F275" i="1"/>
  <c r="G275" i="1"/>
  <c r="H275" i="1"/>
  <c r="I275" i="1"/>
  <c r="C276" i="1"/>
  <c r="D276" i="1"/>
  <c r="E276" i="1"/>
  <c r="F276" i="1"/>
  <c r="G276" i="1"/>
  <c r="H276" i="1"/>
  <c r="I276" i="1"/>
  <c r="C277" i="1"/>
  <c r="D277" i="1"/>
  <c r="E277" i="1"/>
  <c r="F277" i="1"/>
  <c r="G277" i="1"/>
  <c r="H277" i="1"/>
  <c r="I277" i="1"/>
  <c r="C278" i="1"/>
  <c r="D278" i="1"/>
  <c r="E278" i="1"/>
  <c r="F278" i="1"/>
  <c r="G278" i="1"/>
  <c r="H278" i="1"/>
  <c r="I278" i="1"/>
  <c r="C279" i="1"/>
  <c r="D279" i="1"/>
  <c r="E279" i="1"/>
  <c r="F279" i="1"/>
  <c r="G279" i="1"/>
  <c r="H279" i="1"/>
  <c r="I279" i="1"/>
  <c r="C280" i="1"/>
  <c r="D280" i="1"/>
  <c r="E280" i="1"/>
  <c r="F280" i="1"/>
  <c r="G280" i="1"/>
  <c r="H280" i="1"/>
  <c r="I280" i="1"/>
  <c r="C281" i="1"/>
  <c r="D281" i="1"/>
  <c r="E281" i="1"/>
  <c r="F281" i="1"/>
  <c r="G281" i="1"/>
  <c r="H281" i="1"/>
  <c r="I281" i="1"/>
  <c r="C282" i="1"/>
  <c r="D282" i="1"/>
  <c r="E282" i="1"/>
  <c r="F282" i="1"/>
  <c r="G282" i="1"/>
  <c r="H282" i="1"/>
  <c r="I282" i="1"/>
  <c r="C283" i="1"/>
  <c r="D283" i="1"/>
  <c r="E283" i="1"/>
  <c r="F283" i="1"/>
  <c r="G283" i="1"/>
  <c r="H283" i="1"/>
  <c r="I283" i="1"/>
  <c r="C284" i="1"/>
  <c r="D284" i="1"/>
  <c r="E284" i="1"/>
  <c r="F284" i="1"/>
  <c r="G284" i="1"/>
  <c r="H284" i="1"/>
  <c r="I284" i="1"/>
  <c r="C285" i="1"/>
  <c r="D285" i="1"/>
  <c r="E285" i="1"/>
  <c r="F285" i="1"/>
  <c r="G285" i="1"/>
  <c r="H285" i="1"/>
  <c r="I285" i="1"/>
  <c r="C286" i="1"/>
  <c r="D286" i="1"/>
  <c r="E286" i="1"/>
  <c r="F286" i="1"/>
  <c r="G286" i="1"/>
  <c r="H286" i="1"/>
  <c r="I286" i="1"/>
  <c r="C287" i="1"/>
  <c r="D287" i="1"/>
  <c r="E287" i="1"/>
  <c r="F287" i="1"/>
  <c r="G287" i="1"/>
  <c r="H287" i="1"/>
  <c r="I287" i="1"/>
  <c r="C288" i="1"/>
  <c r="D288" i="1"/>
  <c r="E288" i="1"/>
  <c r="F288" i="1"/>
  <c r="G288" i="1"/>
  <c r="H288" i="1"/>
  <c r="I288" i="1"/>
  <c r="C289" i="1"/>
  <c r="D289" i="1"/>
  <c r="E289" i="1"/>
  <c r="F289" i="1"/>
  <c r="G289" i="1"/>
  <c r="H289" i="1"/>
  <c r="I289" i="1"/>
  <c r="C290" i="1"/>
  <c r="D290" i="1"/>
  <c r="E290" i="1"/>
  <c r="F290" i="1"/>
  <c r="G290" i="1"/>
  <c r="H290" i="1"/>
  <c r="I290" i="1"/>
  <c r="C291" i="1"/>
  <c r="D291" i="1"/>
  <c r="E291" i="1"/>
  <c r="F291" i="1"/>
  <c r="G291" i="1"/>
  <c r="H291" i="1"/>
  <c r="I291" i="1"/>
  <c r="C292" i="1"/>
  <c r="D292" i="1"/>
  <c r="E292" i="1"/>
  <c r="F292" i="1"/>
  <c r="G292" i="1"/>
  <c r="H292" i="1"/>
  <c r="I292" i="1"/>
  <c r="C293" i="1"/>
  <c r="D293" i="1"/>
  <c r="E293" i="1"/>
  <c r="F293" i="1"/>
  <c r="G293" i="1"/>
  <c r="H293" i="1"/>
  <c r="I293" i="1"/>
  <c r="C294" i="1"/>
  <c r="D294" i="1"/>
  <c r="E294" i="1"/>
  <c r="F294" i="1"/>
  <c r="G294" i="1"/>
  <c r="H294" i="1"/>
  <c r="I294" i="1"/>
  <c r="C295" i="1"/>
  <c r="D295" i="1"/>
  <c r="E295" i="1"/>
  <c r="F295" i="1"/>
  <c r="G295" i="1"/>
  <c r="H295" i="1"/>
  <c r="I295" i="1"/>
  <c r="C296" i="1"/>
  <c r="D296" i="1"/>
  <c r="E296" i="1"/>
  <c r="F296" i="1"/>
  <c r="G296" i="1"/>
  <c r="H296" i="1"/>
  <c r="I296" i="1"/>
  <c r="C297" i="1"/>
  <c r="D297" i="1"/>
  <c r="E297" i="1"/>
  <c r="F297" i="1"/>
  <c r="G297" i="1"/>
  <c r="H297" i="1"/>
  <c r="I297" i="1"/>
  <c r="C298" i="1"/>
  <c r="D298" i="1"/>
  <c r="E298" i="1"/>
  <c r="F298" i="1"/>
  <c r="G298" i="1"/>
  <c r="H298" i="1"/>
  <c r="I298" i="1"/>
  <c r="C299" i="1"/>
  <c r="D299" i="1"/>
  <c r="E299" i="1"/>
  <c r="F299" i="1"/>
  <c r="G299" i="1"/>
  <c r="H299" i="1"/>
  <c r="I299" i="1"/>
  <c r="C300" i="1"/>
  <c r="D300" i="1"/>
  <c r="E300" i="1"/>
  <c r="F300" i="1"/>
  <c r="G300" i="1"/>
  <c r="H300" i="1"/>
  <c r="I300" i="1"/>
  <c r="C301" i="1"/>
  <c r="D301" i="1"/>
  <c r="E301" i="1"/>
  <c r="F301" i="1"/>
  <c r="G301" i="1"/>
  <c r="H301" i="1"/>
  <c r="I301" i="1"/>
  <c r="C302" i="1"/>
  <c r="D302" i="1"/>
  <c r="E302" i="1"/>
  <c r="F302" i="1"/>
  <c r="G302" i="1"/>
  <c r="H302" i="1"/>
  <c r="I302" i="1"/>
  <c r="C303" i="1"/>
  <c r="D303" i="1"/>
  <c r="E303" i="1"/>
  <c r="F303" i="1"/>
  <c r="G303" i="1"/>
  <c r="H303" i="1"/>
  <c r="I303" i="1"/>
  <c r="C304" i="1"/>
  <c r="D304" i="1"/>
  <c r="E304" i="1"/>
  <c r="F304" i="1"/>
  <c r="G304" i="1"/>
  <c r="H304" i="1"/>
  <c r="I304" i="1"/>
  <c r="C305" i="1"/>
  <c r="D305" i="1"/>
  <c r="E305" i="1"/>
  <c r="F305" i="1"/>
  <c r="G305" i="1"/>
  <c r="H305" i="1"/>
  <c r="I305" i="1"/>
  <c r="C306" i="1"/>
  <c r="D306" i="1"/>
  <c r="E306" i="1"/>
  <c r="F306" i="1"/>
  <c r="G306" i="1"/>
  <c r="H306" i="1"/>
  <c r="I306" i="1"/>
  <c r="C307" i="1"/>
  <c r="D307" i="1"/>
  <c r="E307" i="1"/>
  <c r="F307" i="1"/>
  <c r="G307" i="1"/>
  <c r="H307" i="1"/>
  <c r="I307" i="1"/>
  <c r="C308" i="1"/>
  <c r="D308" i="1"/>
  <c r="E308" i="1"/>
  <c r="F308" i="1"/>
  <c r="G308" i="1"/>
  <c r="H308" i="1"/>
  <c r="I308" i="1"/>
  <c r="C309" i="1"/>
  <c r="D309" i="1"/>
  <c r="E309" i="1"/>
  <c r="F309" i="1"/>
  <c r="G309" i="1"/>
  <c r="H309" i="1"/>
  <c r="I309" i="1"/>
  <c r="C310" i="1"/>
  <c r="D310" i="1"/>
  <c r="E310" i="1"/>
  <c r="F310" i="1"/>
  <c r="G310" i="1"/>
  <c r="H310" i="1"/>
  <c r="I310" i="1"/>
  <c r="C311" i="1"/>
  <c r="D311" i="1"/>
  <c r="E311" i="1"/>
  <c r="F311" i="1"/>
  <c r="G311" i="1"/>
  <c r="H311" i="1"/>
  <c r="I311" i="1"/>
  <c r="C312" i="1"/>
  <c r="D312" i="1"/>
  <c r="E312" i="1"/>
  <c r="F312" i="1"/>
  <c r="G312" i="1"/>
  <c r="H312" i="1"/>
  <c r="I312" i="1"/>
  <c r="C313" i="1"/>
  <c r="D313" i="1"/>
  <c r="E313" i="1"/>
  <c r="F313" i="1"/>
  <c r="G313" i="1"/>
  <c r="H313" i="1"/>
  <c r="I313" i="1"/>
  <c r="C314" i="1"/>
  <c r="D314" i="1"/>
  <c r="E314" i="1"/>
  <c r="F314" i="1"/>
  <c r="G314" i="1"/>
  <c r="H314" i="1"/>
  <c r="I314" i="1"/>
  <c r="C315" i="1"/>
  <c r="D315" i="1"/>
  <c r="E315" i="1"/>
  <c r="F315" i="1"/>
  <c r="G315" i="1"/>
  <c r="H315" i="1"/>
  <c r="I315" i="1"/>
  <c r="C316" i="1"/>
  <c r="D316" i="1"/>
  <c r="E316" i="1"/>
  <c r="F316" i="1"/>
  <c r="G316" i="1"/>
  <c r="H316" i="1"/>
  <c r="I316" i="1"/>
  <c r="C317" i="1"/>
  <c r="D317" i="1"/>
  <c r="E317" i="1"/>
  <c r="F317" i="1"/>
  <c r="G317" i="1"/>
  <c r="H317" i="1"/>
  <c r="I317" i="1"/>
  <c r="C318" i="1"/>
  <c r="D318" i="1"/>
  <c r="E318" i="1"/>
  <c r="F318" i="1"/>
  <c r="G318" i="1"/>
  <c r="H318" i="1"/>
  <c r="I318" i="1"/>
  <c r="C319" i="1"/>
  <c r="D319" i="1"/>
  <c r="E319" i="1"/>
  <c r="F319" i="1"/>
  <c r="G319" i="1"/>
  <c r="H319" i="1"/>
  <c r="I319" i="1"/>
  <c r="C320" i="1"/>
  <c r="D320" i="1"/>
  <c r="E320" i="1"/>
  <c r="F320" i="1"/>
  <c r="G320" i="1"/>
  <c r="H320" i="1"/>
  <c r="I320" i="1"/>
  <c r="C321" i="1"/>
  <c r="D321" i="1"/>
  <c r="E321" i="1"/>
  <c r="F321" i="1"/>
  <c r="G321" i="1"/>
  <c r="H321" i="1"/>
  <c r="I321" i="1"/>
  <c r="C322" i="1"/>
  <c r="D322" i="1"/>
  <c r="E322" i="1"/>
  <c r="F322" i="1"/>
  <c r="G322" i="1"/>
  <c r="H322" i="1"/>
  <c r="I322" i="1"/>
  <c r="C323" i="1"/>
  <c r="D323" i="1"/>
  <c r="E323" i="1"/>
  <c r="F323" i="1"/>
  <c r="G323" i="1"/>
  <c r="H323" i="1"/>
  <c r="I323" i="1"/>
  <c r="C324" i="1"/>
  <c r="D324" i="1"/>
  <c r="E324" i="1"/>
  <c r="F324" i="1"/>
  <c r="G324" i="1"/>
  <c r="H324" i="1"/>
  <c r="I324" i="1"/>
  <c r="C325" i="1"/>
  <c r="D325" i="1"/>
  <c r="E325" i="1"/>
  <c r="F325" i="1"/>
  <c r="G325" i="1"/>
  <c r="H325" i="1"/>
  <c r="I325" i="1"/>
  <c r="C326" i="1"/>
  <c r="D326" i="1"/>
  <c r="E326" i="1"/>
  <c r="F326" i="1"/>
  <c r="G326" i="1"/>
  <c r="H326" i="1"/>
  <c r="I326" i="1"/>
  <c r="C327" i="1"/>
  <c r="D327" i="1"/>
  <c r="E327" i="1"/>
  <c r="F327" i="1"/>
  <c r="G327" i="1"/>
  <c r="H327" i="1"/>
  <c r="I327" i="1"/>
  <c r="C328" i="1"/>
  <c r="D328" i="1"/>
  <c r="E328" i="1"/>
  <c r="F328" i="1"/>
  <c r="G328" i="1"/>
  <c r="H328" i="1"/>
  <c r="I328" i="1"/>
  <c r="C329" i="1"/>
  <c r="D329" i="1"/>
  <c r="E329" i="1"/>
  <c r="F329" i="1"/>
  <c r="G329" i="1"/>
  <c r="H329" i="1"/>
  <c r="I329" i="1"/>
  <c r="C330" i="1"/>
  <c r="D330" i="1"/>
  <c r="E330" i="1"/>
  <c r="F330" i="1"/>
  <c r="G330" i="1"/>
  <c r="H330" i="1"/>
  <c r="I330" i="1"/>
  <c r="C331" i="1"/>
  <c r="D331" i="1"/>
  <c r="E331" i="1"/>
  <c r="F331" i="1"/>
  <c r="G331" i="1"/>
  <c r="H331" i="1"/>
  <c r="I331" i="1"/>
  <c r="C332" i="1"/>
  <c r="D332" i="1"/>
  <c r="E332" i="1"/>
  <c r="F332" i="1"/>
  <c r="G332" i="1"/>
  <c r="H332" i="1"/>
  <c r="I332" i="1"/>
  <c r="C333" i="1"/>
  <c r="D333" i="1"/>
  <c r="E333" i="1"/>
  <c r="F333" i="1"/>
  <c r="G333" i="1"/>
  <c r="H333" i="1"/>
  <c r="I333" i="1"/>
  <c r="C334" i="1"/>
  <c r="D334" i="1"/>
  <c r="E334" i="1"/>
  <c r="F334" i="1"/>
  <c r="G334" i="1"/>
  <c r="H334" i="1"/>
  <c r="I334" i="1"/>
  <c r="C335" i="1"/>
  <c r="D335" i="1"/>
  <c r="E335" i="1"/>
  <c r="F335" i="1"/>
  <c r="G335" i="1"/>
  <c r="H335" i="1"/>
  <c r="I335" i="1"/>
  <c r="C336" i="1"/>
  <c r="D336" i="1"/>
  <c r="E336" i="1"/>
  <c r="F336" i="1"/>
  <c r="G336" i="1"/>
  <c r="H336" i="1"/>
  <c r="I336" i="1"/>
  <c r="C337" i="1"/>
  <c r="D337" i="1"/>
  <c r="E337" i="1"/>
  <c r="F337" i="1"/>
  <c r="G337" i="1"/>
  <c r="H337" i="1"/>
  <c r="I337" i="1"/>
  <c r="C338" i="1"/>
  <c r="D338" i="1"/>
  <c r="E338" i="1"/>
  <c r="F338" i="1"/>
  <c r="G338" i="1"/>
  <c r="H338" i="1"/>
  <c r="I338" i="1"/>
  <c r="C339" i="1"/>
  <c r="D339" i="1"/>
  <c r="E339" i="1"/>
  <c r="F339" i="1"/>
  <c r="G339" i="1"/>
  <c r="H339" i="1"/>
  <c r="I339" i="1"/>
  <c r="C340" i="1"/>
  <c r="D340" i="1"/>
  <c r="E340" i="1"/>
  <c r="F340" i="1"/>
  <c r="G340" i="1"/>
  <c r="H340" i="1"/>
  <c r="I340" i="1"/>
  <c r="C341" i="1"/>
  <c r="D341" i="1"/>
  <c r="E341" i="1"/>
  <c r="F341" i="1"/>
  <c r="G341" i="1"/>
  <c r="H341" i="1"/>
  <c r="I341" i="1"/>
  <c r="C342" i="1"/>
  <c r="D342" i="1"/>
  <c r="E342" i="1"/>
  <c r="F342" i="1"/>
  <c r="G342" i="1"/>
  <c r="H342" i="1"/>
  <c r="I342" i="1"/>
  <c r="C343" i="1"/>
  <c r="D343" i="1"/>
  <c r="E343" i="1"/>
  <c r="F343" i="1"/>
  <c r="G343" i="1"/>
  <c r="H343" i="1"/>
  <c r="I343" i="1"/>
  <c r="C344" i="1"/>
  <c r="D344" i="1"/>
  <c r="E344" i="1"/>
  <c r="F344" i="1"/>
  <c r="G344" i="1"/>
  <c r="H344" i="1"/>
  <c r="I344" i="1"/>
  <c r="C345" i="1"/>
  <c r="D345" i="1"/>
  <c r="E345" i="1"/>
  <c r="F345" i="1"/>
  <c r="G345" i="1"/>
  <c r="H345" i="1"/>
  <c r="I345" i="1"/>
  <c r="C346" i="1"/>
  <c r="D346" i="1"/>
  <c r="E346" i="1"/>
  <c r="F346" i="1"/>
  <c r="G346" i="1"/>
  <c r="H346" i="1"/>
  <c r="I346" i="1"/>
  <c r="C347" i="1"/>
  <c r="D347" i="1"/>
  <c r="E347" i="1"/>
  <c r="F347" i="1"/>
  <c r="G347" i="1"/>
  <c r="H347" i="1"/>
  <c r="I347" i="1"/>
  <c r="C348" i="1"/>
  <c r="D348" i="1"/>
  <c r="E348" i="1"/>
  <c r="F348" i="1"/>
  <c r="G348" i="1"/>
  <c r="H348" i="1"/>
  <c r="I348" i="1"/>
  <c r="C349" i="1"/>
  <c r="D349" i="1"/>
  <c r="E349" i="1"/>
  <c r="F349" i="1"/>
  <c r="G349" i="1"/>
  <c r="H349" i="1"/>
  <c r="I349" i="1"/>
  <c r="C350" i="1"/>
  <c r="D350" i="1"/>
  <c r="E350" i="1"/>
  <c r="F350" i="1"/>
  <c r="G350" i="1"/>
  <c r="H350" i="1"/>
  <c r="I350" i="1"/>
  <c r="C351" i="1"/>
  <c r="D351" i="1"/>
  <c r="E351" i="1"/>
  <c r="F351" i="1"/>
  <c r="G351" i="1"/>
  <c r="H351" i="1"/>
  <c r="I351" i="1"/>
  <c r="C352" i="1"/>
  <c r="D352" i="1"/>
  <c r="E352" i="1"/>
  <c r="F352" i="1"/>
  <c r="G352" i="1"/>
  <c r="H352" i="1"/>
  <c r="I352" i="1"/>
  <c r="C353" i="1"/>
  <c r="D353" i="1"/>
  <c r="E353" i="1"/>
  <c r="F353" i="1"/>
  <c r="G353" i="1"/>
  <c r="H353" i="1"/>
  <c r="I353" i="1"/>
  <c r="C354" i="1"/>
  <c r="D354" i="1"/>
  <c r="E354" i="1"/>
  <c r="F354" i="1"/>
  <c r="G354" i="1"/>
  <c r="H354" i="1"/>
  <c r="I354" i="1"/>
  <c r="C355" i="1"/>
  <c r="D355" i="1"/>
  <c r="E355" i="1"/>
  <c r="F355" i="1"/>
  <c r="G355" i="1"/>
  <c r="H355" i="1"/>
  <c r="I355" i="1"/>
  <c r="C356" i="1"/>
  <c r="D356" i="1"/>
  <c r="E356" i="1"/>
  <c r="F356" i="1"/>
  <c r="G356" i="1"/>
  <c r="H356" i="1"/>
  <c r="I356" i="1"/>
  <c r="C357" i="1"/>
  <c r="D357" i="1"/>
  <c r="E357" i="1"/>
  <c r="F357" i="1"/>
  <c r="G357" i="1"/>
  <c r="H357" i="1"/>
  <c r="I357" i="1"/>
  <c r="C358" i="1"/>
  <c r="D358" i="1"/>
  <c r="E358" i="1"/>
  <c r="F358" i="1"/>
  <c r="G358" i="1"/>
  <c r="H358" i="1"/>
  <c r="I358" i="1"/>
  <c r="C359" i="1"/>
  <c r="D359" i="1"/>
  <c r="E359" i="1"/>
  <c r="F359" i="1"/>
  <c r="G359" i="1"/>
  <c r="H359" i="1"/>
  <c r="I359" i="1"/>
  <c r="C360" i="1"/>
  <c r="D360" i="1"/>
  <c r="E360" i="1"/>
  <c r="F360" i="1"/>
  <c r="G360" i="1"/>
  <c r="H360" i="1"/>
  <c r="I360" i="1"/>
  <c r="C361" i="1"/>
  <c r="D361" i="1"/>
  <c r="E361" i="1"/>
  <c r="F361" i="1"/>
  <c r="G361" i="1"/>
  <c r="H361" i="1"/>
  <c r="I361" i="1"/>
  <c r="C362" i="1"/>
  <c r="D362" i="1"/>
  <c r="E362" i="1"/>
  <c r="F362" i="1"/>
  <c r="G362" i="1"/>
  <c r="H362" i="1"/>
  <c r="I362" i="1"/>
  <c r="C363" i="1"/>
  <c r="D363" i="1"/>
  <c r="E363" i="1"/>
  <c r="F363" i="1"/>
  <c r="G363" i="1"/>
  <c r="H363" i="1"/>
  <c r="I363" i="1"/>
  <c r="C364" i="1"/>
  <c r="D364" i="1"/>
  <c r="E364" i="1"/>
  <c r="F364" i="1"/>
  <c r="G364" i="1"/>
  <c r="H364" i="1"/>
  <c r="I364" i="1"/>
  <c r="C365" i="1"/>
  <c r="D365" i="1"/>
  <c r="E365" i="1"/>
  <c r="F365" i="1"/>
  <c r="G365" i="1"/>
  <c r="H365" i="1"/>
  <c r="I365" i="1"/>
  <c r="C366" i="1"/>
  <c r="D366" i="1"/>
  <c r="E366" i="1"/>
  <c r="F366" i="1"/>
  <c r="G366" i="1"/>
  <c r="H366" i="1"/>
  <c r="I366" i="1"/>
  <c r="C367" i="1"/>
  <c r="D367" i="1"/>
  <c r="E367" i="1"/>
  <c r="F367" i="1"/>
  <c r="G367" i="1"/>
  <c r="H367" i="1"/>
  <c r="I367" i="1"/>
  <c r="C368" i="1"/>
  <c r="D368" i="1"/>
  <c r="E368" i="1"/>
  <c r="F368" i="1"/>
  <c r="G368" i="1"/>
  <c r="H368" i="1"/>
  <c r="I368" i="1"/>
  <c r="C369" i="1"/>
  <c r="D369" i="1"/>
  <c r="E369" i="1"/>
  <c r="F369" i="1"/>
  <c r="G369" i="1"/>
  <c r="H369" i="1"/>
  <c r="I369" i="1"/>
  <c r="C370" i="1"/>
  <c r="D370" i="1"/>
  <c r="E370" i="1"/>
  <c r="F370" i="1"/>
  <c r="G370" i="1"/>
  <c r="H370" i="1"/>
  <c r="I370" i="1"/>
  <c r="C371" i="1"/>
  <c r="D371" i="1"/>
  <c r="E371" i="1"/>
  <c r="F371" i="1"/>
  <c r="G371" i="1"/>
  <c r="H371" i="1"/>
  <c r="I371" i="1"/>
  <c r="C372" i="1"/>
  <c r="D372" i="1"/>
  <c r="E372" i="1"/>
  <c r="F372" i="1"/>
  <c r="G372" i="1"/>
  <c r="H372" i="1"/>
  <c r="I372" i="1"/>
  <c r="C373" i="1"/>
  <c r="D373" i="1"/>
  <c r="E373" i="1"/>
  <c r="F373" i="1"/>
  <c r="G373" i="1"/>
  <c r="H373" i="1"/>
  <c r="I373" i="1"/>
  <c r="C374" i="1"/>
  <c r="D374" i="1"/>
  <c r="E374" i="1"/>
  <c r="F374" i="1"/>
  <c r="G374" i="1"/>
  <c r="H374" i="1"/>
  <c r="I374" i="1"/>
  <c r="C375" i="1"/>
  <c r="D375" i="1"/>
  <c r="E375" i="1"/>
  <c r="F375" i="1"/>
  <c r="G375" i="1"/>
  <c r="H375" i="1"/>
  <c r="I375" i="1"/>
  <c r="C376" i="1"/>
  <c r="D376" i="1"/>
  <c r="E376" i="1"/>
  <c r="F376" i="1"/>
  <c r="G376" i="1"/>
  <c r="H376" i="1"/>
  <c r="I376" i="1"/>
  <c r="C377" i="1"/>
  <c r="D377" i="1"/>
  <c r="E377" i="1"/>
  <c r="F377" i="1"/>
  <c r="G377" i="1"/>
  <c r="H377" i="1"/>
  <c r="I377" i="1"/>
  <c r="C378" i="1"/>
  <c r="D378" i="1"/>
  <c r="E378" i="1"/>
  <c r="F378" i="1"/>
  <c r="G378" i="1"/>
  <c r="H378" i="1"/>
  <c r="I378" i="1"/>
  <c r="C379" i="1"/>
  <c r="D379" i="1"/>
  <c r="E379" i="1"/>
  <c r="F379" i="1"/>
  <c r="G379" i="1"/>
  <c r="H379" i="1"/>
  <c r="I379" i="1"/>
  <c r="C380" i="1"/>
  <c r="D380" i="1"/>
  <c r="E380" i="1"/>
  <c r="F380" i="1"/>
  <c r="G380" i="1"/>
  <c r="H380" i="1"/>
  <c r="I380" i="1"/>
  <c r="C381" i="1"/>
  <c r="D381" i="1"/>
  <c r="E381" i="1"/>
  <c r="F381" i="1"/>
  <c r="G381" i="1"/>
  <c r="H381" i="1"/>
  <c r="I381" i="1"/>
  <c r="C382" i="1"/>
  <c r="D382" i="1"/>
  <c r="E382" i="1"/>
  <c r="F382" i="1"/>
  <c r="G382" i="1"/>
  <c r="H382" i="1"/>
  <c r="I382" i="1"/>
  <c r="C383" i="1"/>
  <c r="D383" i="1"/>
  <c r="E383" i="1"/>
  <c r="F383" i="1"/>
  <c r="G383" i="1"/>
  <c r="H383" i="1"/>
  <c r="I383" i="1"/>
  <c r="C384" i="1"/>
  <c r="D384" i="1"/>
  <c r="E384" i="1"/>
  <c r="F384" i="1"/>
  <c r="G384" i="1"/>
  <c r="H384" i="1"/>
  <c r="I384" i="1"/>
  <c r="C385" i="1"/>
  <c r="D385" i="1"/>
  <c r="E385" i="1"/>
  <c r="F385" i="1"/>
  <c r="G385" i="1"/>
  <c r="H385" i="1"/>
  <c r="I385" i="1"/>
  <c r="C386" i="1"/>
  <c r="D386" i="1"/>
  <c r="E386" i="1"/>
  <c r="F386" i="1"/>
  <c r="G386" i="1"/>
  <c r="H386" i="1"/>
  <c r="I386" i="1"/>
  <c r="C387" i="1"/>
  <c r="D387" i="1"/>
  <c r="E387" i="1"/>
  <c r="F387" i="1"/>
  <c r="G387" i="1"/>
  <c r="H387" i="1"/>
  <c r="I387" i="1"/>
  <c r="C388" i="1"/>
  <c r="D388" i="1"/>
  <c r="E388" i="1"/>
  <c r="F388" i="1"/>
  <c r="G388" i="1"/>
  <c r="H388" i="1"/>
  <c r="I388" i="1"/>
  <c r="C389" i="1"/>
  <c r="D389" i="1"/>
  <c r="E389" i="1"/>
  <c r="F389" i="1"/>
  <c r="G389" i="1"/>
  <c r="H389" i="1"/>
  <c r="I389" i="1"/>
  <c r="C390" i="1"/>
  <c r="D390" i="1"/>
  <c r="E390" i="1"/>
  <c r="F390" i="1"/>
  <c r="G390" i="1"/>
  <c r="H390" i="1"/>
  <c r="I390" i="1"/>
  <c r="C391" i="1"/>
  <c r="D391" i="1"/>
  <c r="E391" i="1"/>
  <c r="F391" i="1"/>
  <c r="G391" i="1"/>
  <c r="H391" i="1"/>
  <c r="I391" i="1"/>
  <c r="C392" i="1"/>
  <c r="D392" i="1"/>
  <c r="E392" i="1"/>
  <c r="F392" i="1"/>
  <c r="G392" i="1"/>
  <c r="H392" i="1"/>
  <c r="I392" i="1"/>
  <c r="C393" i="1"/>
  <c r="D393" i="1"/>
  <c r="E393" i="1"/>
  <c r="F393" i="1"/>
  <c r="G393" i="1"/>
  <c r="H393" i="1"/>
  <c r="I393" i="1"/>
  <c r="C394" i="1"/>
  <c r="D394" i="1"/>
  <c r="E394" i="1"/>
  <c r="F394" i="1"/>
  <c r="G394" i="1"/>
  <c r="H394" i="1"/>
  <c r="I394" i="1"/>
  <c r="C395" i="1"/>
  <c r="D395" i="1"/>
  <c r="E395" i="1"/>
  <c r="F395" i="1"/>
  <c r="G395" i="1"/>
  <c r="H395" i="1"/>
  <c r="I395" i="1"/>
  <c r="C396" i="1"/>
  <c r="D396" i="1"/>
  <c r="E396" i="1"/>
  <c r="F396" i="1"/>
  <c r="G396" i="1"/>
  <c r="H396" i="1"/>
  <c r="I396" i="1"/>
  <c r="C397" i="1"/>
  <c r="D397" i="1"/>
  <c r="E397" i="1"/>
  <c r="F397" i="1"/>
  <c r="G397" i="1"/>
  <c r="H397" i="1"/>
  <c r="I397" i="1"/>
  <c r="C398" i="1"/>
  <c r="D398" i="1"/>
  <c r="E398" i="1"/>
  <c r="F398" i="1"/>
  <c r="G398" i="1"/>
  <c r="H398" i="1"/>
  <c r="I398" i="1"/>
  <c r="C399" i="1"/>
  <c r="D399" i="1"/>
  <c r="E399" i="1"/>
  <c r="F399" i="1"/>
  <c r="G399" i="1"/>
  <c r="H399" i="1"/>
  <c r="I399" i="1"/>
  <c r="C400" i="1"/>
  <c r="D400" i="1"/>
  <c r="E400" i="1"/>
  <c r="F400" i="1"/>
  <c r="G400" i="1"/>
  <c r="H400" i="1"/>
  <c r="I400" i="1"/>
  <c r="C401" i="1"/>
  <c r="D401" i="1"/>
  <c r="E401" i="1"/>
  <c r="F401" i="1"/>
  <c r="G401" i="1"/>
  <c r="H401" i="1"/>
  <c r="I401" i="1"/>
  <c r="C402" i="1"/>
  <c r="D402" i="1"/>
  <c r="E402" i="1"/>
  <c r="F402" i="1"/>
  <c r="G402" i="1"/>
  <c r="H402" i="1"/>
  <c r="I402" i="1"/>
  <c r="C403" i="1"/>
  <c r="D403" i="1"/>
  <c r="E403" i="1"/>
  <c r="F403" i="1"/>
  <c r="G403" i="1"/>
  <c r="H403" i="1"/>
  <c r="I403" i="1"/>
  <c r="C404" i="1"/>
  <c r="D404" i="1"/>
  <c r="E404" i="1"/>
  <c r="F404" i="1"/>
  <c r="G404" i="1"/>
  <c r="H404" i="1"/>
  <c r="I404" i="1"/>
  <c r="C405" i="1"/>
  <c r="D405" i="1"/>
  <c r="E405" i="1"/>
  <c r="F405" i="1"/>
  <c r="G405" i="1"/>
  <c r="H405" i="1"/>
  <c r="I405" i="1"/>
  <c r="C406" i="1"/>
  <c r="D406" i="1"/>
  <c r="E406" i="1"/>
  <c r="F406" i="1"/>
  <c r="G406" i="1"/>
  <c r="H406" i="1"/>
  <c r="I406" i="1"/>
  <c r="C407" i="1"/>
  <c r="D407" i="1"/>
  <c r="E407" i="1"/>
  <c r="F407" i="1"/>
  <c r="G407" i="1"/>
  <c r="H407" i="1"/>
  <c r="I407" i="1"/>
  <c r="C408" i="1"/>
  <c r="D408" i="1"/>
  <c r="E408" i="1"/>
  <c r="F408" i="1"/>
  <c r="G408" i="1"/>
  <c r="H408" i="1"/>
  <c r="I408" i="1"/>
  <c r="C409" i="1"/>
  <c r="D409" i="1"/>
  <c r="E409" i="1"/>
  <c r="F409" i="1"/>
  <c r="G409" i="1"/>
  <c r="H409" i="1"/>
  <c r="I409" i="1"/>
  <c r="C410" i="1"/>
  <c r="D410" i="1"/>
  <c r="E410" i="1"/>
  <c r="F410" i="1"/>
  <c r="G410" i="1"/>
  <c r="H410" i="1"/>
  <c r="I410" i="1"/>
  <c r="C411" i="1"/>
  <c r="D411" i="1"/>
  <c r="E411" i="1"/>
  <c r="F411" i="1"/>
  <c r="G411" i="1"/>
  <c r="H411" i="1"/>
  <c r="I411" i="1"/>
  <c r="C412" i="1"/>
  <c r="D412" i="1"/>
  <c r="E412" i="1"/>
  <c r="F412" i="1"/>
  <c r="G412" i="1"/>
  <c r="H412" i="1"/>
  <c r="I412" i="1"/>
  <c r="C413" i="1"/>
  <c r="D413" i="1"/>
  <c r="E413" i="1"/>
  <c r="F413" i="1"/>
  <c r="G413" i="1"/>
  <c r="H413" i="1"/>
  <c r="I413" i="1"/>
  <c r="C414" i="1"/>
  <c r="D414" i="1"/>
  <c r="E414" i="1"/>
  <c r="F414" i="1"/>
  <c r="G414" i="1"/>
  <c r="H414" i="1"/>
  <c r="I414" i="1"/>
  <c r="C415" i="1"/>
  <c r="D415" i="1"/>
  <c r="E415" i="1"/>
  <c r="F415" i="1"/>
  <c r="G415" i="1"/>
  <c r="H415" i="1"/>
  <c r="I415" i="1"/>
  <c r="C416" i="1"/>
  <c r="D416" i="1"/>
  <c r="E416" i="1"/>
  <c r="F416" i="1"/>
  <c r="G416" i="1"/>
  <c r="H416" i="1"/>
  <c r="I416" i="1"/>
  <c r="C417" i="1"/>
  <c r="D417" i="1"/>
  <c r="E417" i="1"/>
  <c r="F417" i="1"/>
  <c r="G417" i="1"/>
  <c r="H417" i="1"/>
  <c r="I417" i="1"/>
  <c r="C418" i="1"/>
  <c r="D418" i="1"/>
  <c r="E418" i="1"/>
  <c r="F418" i="1"/>
  <c r="G418" i="1"/>
  <c r="H418" i="1"/>
  <c r="I418" i="1"/>
  <c r="C419" i="1"/>
  <c r="D419" i="1"/>
  <c r="E419" i="1"/>
  <c r="F419" i="1"/>
  <c r="G419" i="1"/>
  <c r="H419" i="1"/>
  <c r="I419" i="1"/>
  <c r="C420" i="1"/>
  <c r="D420" i="1"/>
  <c r="E420" i="1"/>
  <c r="F420" i="1"/>
  <c r="G420" i="1"/>
  <c r="H420" i="1"/>
  <c r="I420" i="1"/>
  <c r="C421" i="1"/>
  <c r="D421" i="1"/>
  <c r="E421" i="1"/>
  <c r="F421" i="1"/>
  <c r="G421" i="1"/>
  <c r="H421" i="1"/>
  <c r="I421" i="1"/>
  <c r="C422" i="1"/>
  <c r="D422" i="1"/>
  <c r="E422" i="1"/>
  <c r="F422" i="1"/>
  <c r="G422" i="1"/>
  <c r="H422" i="1"/>
  <c r="I422" i="1"/>
  <c r="C423" i="1"/>
  <c r="D423" i="1"/>
  <c r="E423" i="1"/>
  <c r="F423" i="1"/>
  <c r="G423" i="1"/>
  <c r="H423" i="1"/>
  <c r="I423" i="1"/>
  <c r="C424" i="1"/>
  <c r="D424" i="1"/>
  <c r="E424" i="1"/>
  <c r="F424" i="1"/>
  <c r="G424" i="1"/>
  <c r="H424" i="1"/>
  <c r="I424" i="1"/>
  <c r="C425" i="1"/>
  <c r="D425" i="1"/>
  <c r="E425" i="1"/>
  <c r="F425" i="1"/>
  <c r="G425" i="1"/>
  <c r="H425" i="1"/>
  <c r="I425" i="1"/>
  <c r="C426" i="1"/>
  <c r="D426" i="1"/>
  <c r="E426" i="1"/>
  <c r="F426" i="1"/>
  <c r="G426" i="1"/>
  <c r="H426" i="1"/>
  <c r="I426" i="1"/>
  <c r="C427" i="1"/>
  <c r="D427" i="1"/>
  <c r="E427" i="1"/>
  <c r="F427" i="1"/>
  <c r="G427" i="1"/>
  <c r="H427" i="1"/>
  <c r="I427" i="1"/>
  <c r="C428" i="1"/>
  <c r="D428" i="1"/>
  <c r="E428" i="1"/>
  <c r="F428" i="1"/>
  <c r="G428" i="1"/>
  <c r="H428" i="1"/>
  <c r="I428" i="1"/>
  <c r="C429" i="1"/>
  <c r="D429" i="1"/>
  <c r="E429" i="1"/>
  <c r="F429" i="1"/>
  <c r="G429" i="1"/>
  <c r="H429" i="1"/>
  <c r="I429" i="1"/>
  <c r="C430" i="1"/>
  <c r="D430" i="1"/>
  <c r="E430" i="1"/>
  <c r="F430" i="1"/>
  <c r="G430" i="1"/>
  <c r="H430" i="1"/>
  <c r="I430" i="1"/>
  <c r="C431" i="1"/>
  <c r="D431" i="1"/>
  <c r="E431" i="1"/>
  <c r="F431" i="1"/>
  <c r="G431" i="1"/>
  <c r="H431" i="1"/>
  <c r="I431" i="1"/>
  <c r="C432" i="1"/>
  <c r="D432" i="1"/>
  <c r="E432" i="1"/>
  <c r="F432" i="1"/>
  <c r="G432" i="1"/>
  <c r="H432" i="1"/>
  <c r="I432" i="1"/>
  <c r="C433" i="1"/>
  <c r="D433" i="1"/>
  <c r="E433" i="1"/>
  <c r="F433" i="1"/>
  <c r="G433" i="1"/>
  <c r="H433" i="1"/>
  <c r="I433" i="1"/>
  <c r="C434" i="1"/>
  <c r="D434" i="1"/>
  <c r="E434" i="1"/>
  <c r="F434" i="1"/>
  <c r="G434" i="1"/>
  <c r="H434" i="1"/>
  <c r="I434" i="1"/>
  <c r="C435" i="1"/>
  <c r="D435" i="1"/>
  <c r="E435" i="1"/>
  <c r="F435" i="1"/>
  <c r="G435" i="1"/>
  <c r="H435" i="1"/>
  <c r="I435" i="1"/>
  <c r="C436" i="1"/>
  <c r="D436" i="1"/>
  <c r="E436" i="1"/>
  <c r="F436" i="1"/>
  <c r="G436" i="1"/>
  <c r="H436" i="1"/>
  <c r="I436" i="1"/>
  <c r="C437" i="1"/>
  <c r="D437" i="1"/>
  <c r="E437" i="1"/>
  <c r="F437" i="1"/>
  <c r="G437" i="1"/>
  <c r="H437" i="1"/>
  <c r="I437" i="1"/>
  <c r="C438" i="1"/>
  <c r="D438" i="1"/>
  <c r="E438" i="1"/>
  <c r="F438" i="1"/>
  <c r="G438" i="1"/>
  <c r="H438" i="1"/>
  <c r="I438" i="1"/>
  <c r="C439" i="1"/>
  <c r="D439" i="1"/>
  <c r="E439" i="1"/>
  <c r="F439" i="1"/>
  <c r="G439" i="1"/>
  <c r="H439" i="1"/>
  <c r="I439" i="1"/>
  <c r="C440" i="1"/>
  <c r="D440" i="1"/>
  <c r="E440" i="1"/>
  <c r="F440" i="1"/>
  <c r="G440" i="1"/>
  <c r="H440" i="1"/>
  <c r="I440" i="1"/>
  <c r="C441" i="1"/>
  <c r="D441" i="1"/>
  <c r="E441" i="1"/>
  <c r="F441" i="1"/>
  <c r="G441" i="1"/>
  <c r="H441" i="1"/>
  <c r="I441" i="1"/>
  <c r="C442" i="1"/>
  <c r="D442" i="1"/>
  <c r="E442" i="1"/>
  <c r="F442" i="1"/>
  <c r="G442" i="1"/>
  <c r="H442" i="1"/>
  <c r="I442" i="1"/>
  <c r="C443" i="1"/>
  <c r="D443" i="1"/>
  <c r="E443" i="1"/>
  <c r="F443" i="1"/>
  <c r="G443" i="1"/>
  <c r="H443" i="1"/>
  <c r="I443" i="1"/>
  <c r="C444" i="1"/>
  <c r="D444" i="1"/>
  <c r="E444" i="1"/>
  <c r="F444" i="1"/>
  <c r="G444" i="1"/>
  <c r="H444" i="1"/>
  <c r="I444" i="1"/>
  <c r="C445" i="1"/>
  <c r="D445" i="1"/>
  <c r="E445" i="1"/>
  <c r="F445" i="1"/>
  <c r="G445" i="1"/>
  <c r="H445" i="1"/>
  <c r="I445" i="1"/>
  <c r="C446" i="1"/>
  <c r="D446" i="1"/>
  <c r="E446" i="1"/>
  <c r="F446" i="1"/>
  <c r="G446" i="1"/>
  <c r="H446" i="1"/>
  <c r="I446" i="1"/>
  <c r="C447" i="1"/>
  <c r="D447" i="1"/>
  <c r="E447" i="1"/>
  <c r="F447" i="1"/>
  <c r="G447" i="1"/>
  <c r="H447" i="1"/>
  <c r="I447" i="1"/>
  <c r="C448" i="1"/>
  <c r="D448" i="1"/>
  <c r="E448" i="1"/>
  <c r="F448" i="1"/>
  <c r="G448" i="1"/>
  <c r="H448" i="1"/>
  <c r="I448" i="1"/>
  <c r="C449" i="1"/>
  <c r="D449" i="1"/>
  <c r="E449" i="1"/>
  <c r="F449" i="1"/>
  <c r="G449" i="1"/>
  <c r="H449" i="1"/>
  <c r="I449" i="1"/>
  <c r="C450" i="1"/>
  <c r="D450" i="1"/>
  <c r="E450" i="1"/>
  <c r="F450" i="1"/>
  <c r="G450" i="1"/>
  <c r="H450" i="1"/>
  <c r="I450" i="1"/>
  <c r="C451" i="1"/>
  <c r="D451" i="1"/>
  <c r="E451" i="1"/>
  <c r="F451" i="1"/>
  <c r="G451" i="1"/>
  <c r="H451" i="1"/>
  <c r="I451" i="1"/>
  <c r="C452" i="1"/>
  <c r="D452" i="1"/>
  <c r="E452" i="1"/>
  <c r="F452" i="1"/>
  <c r="G452" i="1"/>
  <c r="H452" i="1"/>
  <c r="I452" i="1"/>
  <c r="C453" i="1"/>
  <c r="D453" i="1"/>
  <c r="E453" i="1"/>
  <c r="F453" i="1"/>
  <c r="G453" i="1"/>
  <c r="H453" i="1"/>
  <c r="I453" i="1"/>
  <c r="C454" i="1"/>
  <c r="D454" i="1"/>
  <c r="E454" i="1"/>
  <c r="F454" i="1"/>
  <c r="G454" i="1"/>
  <c r="H454" i="1"/>
  <c r="I454" i="1"/>
  <c r="C455" i="1"/>
  <c r="D455" i="1"/>
  <c r="E455" i="1"/>
  <c r="F455" i="1"/>
  <c r="G455" i="1"/>
  <c r="H455" i="1"/>
  <c r="I455" i="1"/>
  <c r="C456" i="1"/>
  <c r="D456" i="1"/>
  <c r="E456" i="1"/>
  <c r="F456" i="1"/>
  <c r="G456" i="1"/>
  <c r="H456" i="1"/>
  <c r="I456" i="1"/>
  <c r="C457" i="1"/>
  <c r="D457" i="1"/>
  <c r="E457" i="1"/>
  <c r="F457" i="1"/>
  <c r="G457" i="1"/>
  <c r="H457" i="1"/>
  <c r="I457" i="1"/>
  <c r="C458" i="1"/>
  <c r="D458" i="1"/>
  <c r="E458" i="1"/>
  <c r="F458" i="1"/>
  <c r="G458" i="1"/>
  <c r="H458" i="1"/>
  <c r="I458" i="1"/>
  <c r="C459" i="1"/>
  <c r="D459" i="1"/>
  <c r="E459" i="1"/>
  <c r="F459" i="1"/>
  <c r="G459" i="1"/>
  <c r="H459" i="1"/>
  <c r="I459" i="1"/>
  <c r="C460" i="1"/>
  <c r="D460" i="1"/>
  <c r="E460" i="1"/>
  <c r="F460" i="1"/>
  <c r="G460" i="1"/>
  <c r="H460" i="1"/>
  <c r="I460" i="1"/>
  <c r="C461" i="1"/>
  <c r="D461" i="1"/>
  <c r="E461" i="1"/>
  <c r="F461" i="1"/>
  <c r="G461" i="1"/>
  <c r="H461" i="1"/>
  <c r="I461" i="1"/>
  <c r="C462" i="1"/>
  <c r="D462" i="1"/>
  <c r="E462" i="1"/>
  <c r="F462" i="1"/>
  <c r="G462" i="1"/>
  <c r="H462" i="1"/>
  <c r="I462" i="1"/>
  <c r="C463" i="1"/>
  <c r="D463" i="1"/>
  <c r="E463" i="1"/>
  <c r="F463" i="1"/>
  <c r="G463" i="1"/>
  <c r="H463" i="1"/>
  <c r="I463" i="1"/>
  <c r="C464" i="1"/>
  <c r="D464" i="1"/>
  <c r="E464" i="1"/>
  <c r="F464" i="1"/>
  <c r="G464" i="1"/>
  <c r="H464" i="1"/>
  <c r="I464" i="1"/>
  <c r="C465" i="1"/>
  <c r="D465" i="1"/>
  <c r="E465" i="1"/>
  <c r="F465" i="1"/>
  <c r="G465" i="1"/>
  <c r="H465" i="1"/>
  <c r="I465" i="1"/>
  <c r="C466" i="1"/>
  <c r="D466" i="1"/>
  <c r="E466" i="1"/>
  <c r="F466" i="1"/>
  <c r="G466" i="1"/>
  <c r="H466" i="1"/>
  <c r="I466" i="1"/>
  <c r="C467" i="1"/>
  <c r="D467" i="1"/>
  <c r="E467" i="1"/>
  <c r="F467" i="1"/>
  <c r="G467" i="1"/>
  <c r="H467" i="1"/>
  <c r="I467" i="1"/>
  <c r="C468" i="1"/>
  <c r="D468" i="1"/>
  <c r="E468" i="1"/>
  <c r="F468" i="1"/>
  <c r="G468" i="1"/>
  <c r="H468" i="1"/>
  <c r="I468" i="1"/>
  <c r="C469" i="1"/>
  <c r="D469" i="1"/>
  <c r="E469" i="1"/>
  <c r="F469" i="1"/>
  <c r="G469" i="1"/>
  <c r="H469" i="1"/>
  <c r="I469" i="1"/>
  <c r="C470" i="1"/>
  <c r="D470" i="1"/>
  <c r="E470" i="1"/>
  <c r="F470" i="1"/>
  <c r="G470" i="1"/>
  <c r="H470" i="1"/>
  <c r="I470" i="1"/>
  <c r="C471" i="1"/>
  <c r="D471" i="1"/>
  <c r="E471" i="1"/>
  <c r="F471" i="1"/>
  <c r="G471" i="1"/>
  <c r="H471" i="1"/>
  <c r="I471" i="1"/>
  <c r="C472" i="1"/>
  <c r="D472" i="1"/>
  <c r="E472" i="1"/>
  <c r="F472" i="1"/>
  <c r="G472" i="1"/>
  <c r="H472" i="1"/>
  <c r="I472" i="1"/>
  <c r="C473" i="1"/>
  <c r="D473" i="1"/>
  <c r="E473" i="1"/>
  <c r="F473" i="1"/>
  <c r="G473" i="1"/>
  <c r="H473" i="1"/>
  <c r="I473" i="1"/>
  <c r="C474" i="1"/>
  <c r="D474" i="1"/>
  <c r="E474" i="1"/>
  <c r="F474" i="1"/>
  <c r="G474" i="1"/>
  <c r="H474" i="1"/>
  <c r="I474" i="1"/>
  <c r="C475" i="1"/>
  <c r="D475" i="1"/>
  <c r="E475" i="1"/>
  <c r="F475" i="1"/>
  <c r="G475" i="1"/>
  <c r="H475" i="1"/>
  <c r="I475" i="1"/>
  <c r="C476" i="1"/>
  <c r="D476" i="1"/>
  <c r="E476" i="1"/>
  <c r="F476" i="1"/>
  <c r="G476" i="1"/>
  <c r="H476" i="1"/>
  <c r="I476" i="1"/>
  <c r="C477" i="1"/>
  <c r="D477" i="1"/>
  <c r="E477" i="1"/>
  <c r="F477" i="1"/>
  <c r="G477" i="1"/>
  <c r="H477" i="1"/>
  <c r="I477" i="1"/>
  <c r="C478" i="1"/>
  <c r="D478" i="1"/>
  <c r="E478" i="1"/>
  <c r="F478" i="1"/>
  <c r="G478" i="1"/>
  <c r="H478" i="1"/>
  <c r="I478" i="1"/>
  <c r="C479" i="1"/>
  <c r="D479" i="1"/>
  <c r="E479" i="1"/>
  <c r="F479" i="1"/>
  <c r="G479" i="1"/>
  <c r="H479" i="1"/>
  <c r="I479" i="1"/>
  <c r="C480" i="1"/>
  <c r="D480" i="1"/>
  <c r="E480" i="1"/>
  <c r="F480" i="1"/>
  <c r="G480" i="1"/>
  <c r="H480" i="1"/>
  <c r="I480" i="1"/>
  <c r="C481" i="1"/>
  <c r="D481" i="1"/>
  <c r="E481" i="1"/>
  <c r="F481" i="1"/>
  <c r="G481" i="1"/>
  <c r="H481" i="1"/>
  <c r="I481" i="1"/>
  <c r="C482" i="1"/>
  <c r="D482" i="1"/>
  <c r="E482" i="1"/>
  <c r="F482" i="1"/>
  <c r="G482" i="1"/>
  <c r="H482" i="1"/>
  <c r="I482" i="1"/>
  <c r="C483" i="1"/>
  <c r="D483" i="1"/>
  <c r="E483" i="1"/>
  <c r="F483" i="1"/>
  <c r="G483" i="1"/>
  <c r="H483" i="1"/>
  <c r="I483" i="1"/>
  <c r="C484" i="1"/>
  <c r="D484" i="1"/>
  <c r="E484" i="1"/>
  <c r="F484" i="1"/>
  <c r="G484" i="1"/>
  <c r="H484" i="1"/>
  <c r="I484" i="1"/>
  <c r="C485" i="1"/>
  <c r="D485" i="1"/>
  <c r="E485" i="1"/>
  <c r="F485" i="1"/>
  <c r="G485" i="1"/>
  <c r="H485" i="1"/>
  <c r="I485" i="1"/>
  <c r="C486" i="1"/>
  <c r="D486" i="1"/>
  <c r="E486" i="1"/>
  <c r="F486" i="1"/>
  <c r="G486" i="1"/>
  <c r="H486" i="1"/>
  <c r="I486" i="1"/>
  <c r="C487" i="1"/>
  <c r="D487" i="1"/>
  <c r="E487" i="1"/>
  <c r="F487" i="1"/>
  <c r="G487" i="1"/>
  <c r="H487" i="1"/>
  <c r="I487" i="1"/>
  <c r="C488" i="1"/>
  <c r="D488" i="1"/>
  <c r="E488" i="1"/>
  <c r="F488" i="1"/>
  <c r="G488" i="1"/>
  <c r="H488" i="1"/>
  <c r="I488" i="1"/>
  <c r="C489" i="1"/>
  <c r="D489" i="1"/>
  <c r="E489" i="1"/>
  <c r="F489" i="1"/>
  <c r="G489" i="1"/>
  <c r="H489" i="1"/>
  <c r="I489" i="1"/>
  <c r="C490" i="1"/>
  <c r="D490" i="1"/>
  <c r="E490" i="1"/>
  <c r="F490" i="1"/>
  <c r="G490" i="1"/>
  <c r="H490" i="1"/>
  <c r="I490" i="1"/>
  <c r="C491" i="1"/>
  <c r="D491" i="1"/>
  <c r="E491" i="1"/>
  <c r="F491" i="1"/>
  <c r="G491" i="1"/>
  <c r="H491" i="1"/>
  <c r="I491" i="1"/>
  <c r="C492" i="1"/>
  <c r="D492" i="1"/>
  <c r="E492" i="1"/>
  <c r="F492" i="1"/>
  <c r="G492" i="1"/>
  <c r="H492" i="1"/>
  <c r="I492" i="1"/>
  <c r="C493" i="1"/>
  <c r="D493" i="1"/>
  <c r="E493" i="1"/>
  <c r="F493" i="1"/>
  <c r="G493" i="1"/>
  <c r="H493" i="1"/>
  <c r="I493" i="1"/>
  <c r="C494" i="1"/>
  <c r="D494" i="1"/>
  <c r="E494" i="1"/>
  <c r="F494" i="1"/>
  <c r="G494" i="1"/>
  <c r="H494" i="1"/>
  <c r="I494" i="1"/>
  <c r="C495" i="1"/>
  <c r="D495" i="1"/>
  <c r="E495" i="1"/>
  <c r="F495" i="1"/>
  <c r="G495" i="1"/>
  <c r="H495" i="1"/>
  <c r="I495" i="1"/>
  <c r="C496" i="1"/>
  <c r="D496" i="1"/>
  <c r="E496" i="1"/>
  <c r="F496" i="1"/>
  <c r="G496" i="1"/>
  <c r="H496" i="1"/>
  <c r="I496" i="1"/>
  <c r="C497" i="1"/>
  <c r="D497" i="1"/>
  <c r="E497" i="1"/>
  <c r="F497" i="1"/>
  <c r="G497" i="1"/>
  <c r="H497" i="1"/>
  <c r="I497" i="1"/>
  <c r="C498" i="1"/>
  <c r="D498" i="1"/>
  <c r="E498" i="1"/>
  <c r="F498" i="1"/>
  <c r="G498" i="1"/>
  <c r="H498" i="1"/>
  <c r="I498" i="1"/>
  <c r="C499" i="1"/>
  <c r="D499" i="1"/>
  <c r="E499" i="1"/>
  <c r="F499" i="1"/>
  <c r="G499" i="1"/>
  <c r="H499" i="1"/>
  <c r="I499" i="1"/>
  <c r="C500" i="1"/>
  <c r="D500" i="1"/>
  <c r="E500" i="1"/>
  <c r="F500" i="1"/>
  <c r="G500" i="1"/>
  <c r="H500" i="1"/>
  <c r="I500" i="1"/>
  <c r="C501" i="1"/>
  <c r="D501" i="1"/>
  <c r="E501" i="1"/>
  <c r="F501" i="1"/>
  <c r="G501" i="1"/>
  <c r="H501" i="1"/>
  <c r="I501" i="1"/>
  <c r="C502" i="1"/>
  <c r="D502" i="1"/>
  <c r="E502" i="1"/>
  <c r="F502" i="1"/>
  <c r="G502" i="1"/>
  <c r="H502" i="1"/>
  <c r="I502" i="1"/>
  <c r="C503" i="1"/>
  <c r="D503" i="1"/>
  <c r="E503" i="1"/>
  <c r="F503" i="1"/>
  <c r="G503" i="1"/>
  <c r="H503" i="1"/>
  <c r="I503" i="1"/>
  <c r="C504" i="1"/>
  <c r="D504" i="1"/>
  <c r="E504" i="1"/>
  <c r="F504" i="1"/>
  <c r="G504" i="1"/>
  <c r="H504" i="1"/>
  <c r="I504" i="1"/>
  <c r="C505" i="1"/>
  <c r="D505" i="1"/>
  <c r="E505" i="1"/>
  <c r="F505" i="1"/>
  <c r="G505" i="1"/>
  <c r="H505" i="1"/>
  <c r="I505" i="1"/>
  <c r="C506" i="1"/>
  <c r="D506" i="1"/>
  <c r="E506" i="1"/>
  <c r="F506" i="1"/>
  <c r="G506" i="1"/>
  <c r="H506" i="1"/>
  <c r="I506" i="1"/>
  <c r="C507" i="1"/>
  <c r="D507" i="1"/>
  <c r="E507" i="1"/>
  <c r="F507" i="1"/>
  <c r="G507" i="1"/>
  <c r="H507" i="1"/>
  <c r="I507" i="1"/>
  <c r="C508" i="1"/>
  <c r="D508" i="1"/>
  <c r="E508" i="1"/>
  <c r="F508" i="1"/>
  <c r="G508" i="1"/>
  <c r="H508" i="1"/>
  <c r="I508" i="1"/>
  <c r="C509" i="1"/>
  <c r="D509" i="1"/>
  <c r="E509" i="1"/>
  <c r="F509" i="1"/>
  <c r="G509" i="1"/>
  <c r="H509" i="1"/>
  <c r="I509" i="1"/>
  <c r="C510" i="1"/>
  <c r="D510" i="1"/>
  <c r="E510" i="1"/>
  <c r="F510" i="1"/>
  <c r="G510" i="1"/>
  <c r="H510" i="1"/>
  <c r="I510" i="1"/>
  <c r="C511" i="1"/>
  <c r="D511" i="1"/>
  <c r="E511" i="1"/>
  <c r="F511" i="1"/>
  <c r="G511" i="1"/>
  <c r="H511" i="1"/>
  <c r="I511" i="1"/>
  <c r="C512" i="1"/>
  <c r="D512" i="1"/>
  <c r="E512" i="1"/>
  <c r="F512" i="1"/>
  <c r="G512" i="1"/>
  <c r="H512" i="1"/>
  <c r="I512" i="1"/>
  <c r="C513" i="1"/>
  <c r="D513" i="1"/>
  <c r="E513" i="1"/>
  <c r="F513" i="1"/>
  <c r="G513" i="1"/>
  <c r="H513" i="1"/>
  <c r="I513" i="1"/>
  <c r="C514" i="1"/>
  <c r="D514" i="1"/>
  <c r="E514" i="1"/>
  <c r="F514" i="1"/>
  <c r="G514" i="1"/>
  <c r="H514" i="1"/>
  <c r="I514" i="1"/>
  <c r="C515" i="1"/>
  <c r="D515" i="1"/>
  <c r="E515" i="1"/>
  <c r="F515" i="1"/>
  <c r="G515" i="1"/>
  <c r="H515" i="1"/>
  <c r="I515" i="1"/>
  <c r="C516" i="1"/>
  <c r="D516" i="1"/>
  <c r="E516" i="1"/>
  <c r="F516" i="1"/>
  <c r="G516" i="1"/>
  <c r="H516" i="1"/>
  <c r="I516" i="1"/>
  <c r="C517" i="1"/>
  <c r="D517" i="1"/>
  <c r="E517" i="1"/>
  <c r="F517" i="1"/>
  <c r="G517" i="1"/>
  <c r="H517" i="1"/>
  <c r="I517" i="1"/>
  <c r="C518" i="1"/>
  <c r="D518" i="1"/>
  <c r="E518" i="1"/>
  <c r="F518" i="1"/>
  <c r="G518" i="1"/>
  <c r="H518" i="1"/>
  <c r="I518" i="1"/>
  <c r="C519" i="1"/>
  <c r="D519" i="1"/>
  <c r="E519" i="1"/>
  <c r="F519" i="1"/>
  <c r="G519" i="1"/>
  <c r="H519" i="1"/>
  <c r="I519" i="1"/>
  <c r="C520" i="1"/>
  <c r="D520" i="1"/>
  <c r="E520" i="1"/>
  <c r="F520" i="1"/>
  <c r="G520" i="1"/>
  <c r="H520" i="1"/>
  <c r="I520" i="1"/>
  <c r="C521" i="1"/>
  <c r="D521" i="1"/>
  <c r="E521" i="1"/>
  <c r="F521" i="1"/>
  <c r="G521" i="1"/>
  <c r="H521" i="1"/>
  <c r="I521" i="1"/>
  <c r="C522" i="1"/>
  <c r="D522" i="1"/>
  <c r="E522" i="1"/>
  <c r="F522" i="1"/>
  <c r="G522" i="1"/>
  <c r="H522" i="1"/>
  <c r="I522" i="1"/>
  <c r="C523" i="1"/>
  <c r="D523" i="1"/>
  <c r="E523" i="1"/>
  <c r="F523" i="1"/>
  <c r="G523" i="1"/>
  <c r="H523" i="1"/>
  <c r="I523" i="1"/>
  <c r="C524" i="1"/>
  <c r="D524" i="1"/>
  <c r="E524" i="1"/>
  <c r="F524" i="1"/>
  <c r="G524" i="1"/>
  <c r="H524" i="1"/>
  <c r="I524" i="1"/>
  <c r="C525" i="1"/>
  <c r="D525" i="1"/>
  <c r="E525" i="1"/>
  <c r="F525" i="1"/>
  <c r="G525" i="1"/>
  <c r="H525" i="1"/>
  <c r="I525" i="1"/>
  <c r="C526" i="1"/>
  <c r="D526" i="1"/>
  <c r="E526" i="1"/>
  <c r="F526" i="1"/>
  <c r="G526" i="1"/>
  <c r="H526" i="1"/>
  <c r="I526" i="1"/>
  <c r="C527" i="1"/>
  <c r="D527" i="1"/>
  <c r="E527" i="1"/>
  <c r="F527" i="1"/>
  <c r="G527" i="1"/>
  <c r="H527" i="1"/>
  <c r="I527" i="1"/>
  <c r="C528" i="1"/>
  <c r="D528" i="1"/>
  <c r="E528" i="1"/>
  <c r="F528" i="1"/>
  <c r="G528" i="1"/>
  <c r="H528" i="1"/>
  <c r="I528" i="1"/>
  <c r="C529" i="1"/>
  <c r="D529" i="1"/>
  <c r="E529" i="1"/>
  <c r="F529" i="1"/>
  <c r="G529" i="1"/>
  <c r="H529" i="1"/>
  <c r="I529" i="1"/>
  <c r="C530" i="1"/>
  <c r="D530" i="1"/>
  <c r="E530" i="1"/>
  <c r="F530" i="1"/>
  <c r="G530" i="1"/>
  <c r="H530" i="1"/>
  <c r="I530" i="1"/>
  <c r="C531" i="1"/>
  <c r="D531" i="1"/>
  <c r="E531" i="1"/>
  <c r="F531" i="1"/>
  <c r="G531" i="1"/>
  <c r="H531" i="1"/>
  <c r="I531" i="1"/>
  <c r="C532" i="1"/>
  <c r="D532" i="1"/>
  <c r="E532" i="1"/>
  <c r="F532" i="1"/>
  <c r="G532" i="1"/>
  <c r="H532" i="1"/>
  <c r="I532" i="1"/>
  <c r="C533" i="1"/>
  <c r="D533" i="1"/>
  <c r="E533" i="1"/>
  <c r="F533" i="1"/>
  <c r="G533" i="1"/>
  <c r="H533" i="1"/>
  <c r="I533" i="1"/>
  <c r="C534" i="1"/>
  <c r="D534" i="1"/>
  <c r="E534" i="1"/>
  <c r="F534" i="1"/>
  <c r="G534" i="1"/>
  <c r="H534" i="1"/>
  <c r="I534" i="1"/>
  <c r="C535" i="1"/>
  <c r="D535" i="1"/>
  <c r="E535" i="1"/>
  <c r="F535" i="1"/>
  <c r="G535" i="1"/>
  <c r="H535" i="1"/>
  <c r="I535" i="1"/>
  <c r="C536" i="1"/>
  <c r="D536" i="1"/>
  <c r="E536" i="1"/>
  <c r="F536" i="1"/>
  <c r="G536" i="1"/>
  <c r="H536" i="1"/>
  <c r="I536" i="1"/>
  <c r="C537" i="1"/>
  <c r="D537" i="1"/>
  <c r="E537" i="1"/>
  <c r="F537" i="1"/>
  <c r="G537" i="1"/>
  <c r="H537" i="1"/>
  <c r="I537" i="1"/>
  <c r="C538" i="1"/>
  <c r="D538" i="1"/>
  <c r="E538" i="1"/>
  <c r="F538" i="1"/>
  <c r="G538" i="1"/>
  <c r="H538" i="1"/>
  <c r="I538" i="1"/>
  <c r="C539" i="1"/>
  <c r="D539" i="1"/>
  <c r="E539" i="1"/>
  <c r="F539" i="1"/>
  <c r="G539" i="1"/>
  <c r="H539" i="1"/>
  <c r="I539" i="1"/>
  <c r="C540" i="1"/>
  <c r="D540" i="1"/>
  <c r="E540" i="1"/>
  <c r="F540" i="1"/>
  <c r="G540" i="1"/>
  <c r="H540" i="1"/>
  <c r="I540" i="1"/>
  <c r="C541" i="1"/>
  <c r="D541" i="1"/>
  <c r="E541" i="1"/>
  <c r="F541" i="1"/>
  <c r="G541" i="1"/>
  <c r="H541" i="1"/>
  <c r="I541" i="1"/>
  <c r="C542" i="1"/>
  <c r="D542" i="1"/>
  <c r="E542" i="1"/>
  <c r="F542" i="1"/>
  <c r="G542" i="1"/>
  <c r="H542" i="1"/>
  <c r="I542" i="1"/>
  <c r="C543" i="1"/>
  <c r="D543" i="1"/>
  <c r="E543" i="1"/>
  <c r="F543" i="1"/>
  <c r="G543" i="1"/>
  <c r="H543" i="1"/>
  <c r="I543" i="1"/>
  <c r="C544" i="1"/>
  <c r="D544" i="1"/>
  <c r="E544" i="1"/>
  <c r="F544" i="1"/>
  <c r="G544" i="1"/>
  <c r="H544" i="1"/>
  <c r="I544" i="1"/>
  <c r="C545" i="1"/>
  <c r="D545" i="1"/>
  <c r="E545" i="1"/>
  <c r="F545" i="1"/>
  <c r="G545" i="1"/>
  <c r="H545" i="1"/>
  <c r="I545" i="1"/>
  <c r="C546" i="1"/>
  <c r="D546" i="1"/>
  <c r="E546" i="1"/>
  <c r="F546" i="1"/>
  <c r="G546" i="1"/>
  <c r="H546" i="1"/>
  <c r="I546" i="1"/>
  <c r="C547" i="1"/>
  <c r="D547" i="1"/>
  <c r="E547" i="1"/>
  <c r="F547" i="1"/>
  <c r="G547" i="1"/>
  <c r="H547" i="1"/>
  <c r="I547" i="1"/>
  <c r="C548" i="1"/>
  <c r="D548" i="1"/>
  <c r="E548" i="1"/>
  <c r="F548" i="1"/>
  <c r="G548" i="1"/>
  <c r="H548" i="1"/>
  <c r="I548" i="1"/>
  <c r="C549" i="1"/>
  <c r="D549" i="1"/>
  <c r="E549" i="1"/>
  <c r="F549" i="1"/>
  <c r="G549" i="1"/>
  <c r="H549" i="1"/>
  <c r="I549" i="1"/>
  <c r="C550" i="1"/>
  <c r="D550" i="1"/>
  <c r="E550" i="1"/>
  <c r="F550" i="1"/>
  <c r="G550" i="1"/>
  <c r="H550" i="1"/>
  <c r="I550" i="1"/>
  <c r="C551" i="1"/>
  <c r="D551" i="1"/>
  <c r="E551" i="1"/>
  <c r="F551" i="1"/>
  <c r="G551" i="1"/>
  <c r="H551" i="1"/>
  <c r="I551" i="1"/>
  <c r="C552" i="1"/>
  <c r="D552" i="1"/>
  <c r="E552" i="1"/>
  <c r="F552" i="1"/>
  <c r="G552" i="1"/>
  <c r="H552" i="1"/>
  <c r="I552" i="1"/>
  <c r="C553" i="1"/>
  <c r="D553" i="1"/>
  <c r="E553" i="1"/>
  <c r="F553" i="1"/>
  <c r="G553" i="1"/>
  <c r="H553" i="1"/>
  <c r="I553" i="1"/>
  <c r="C554" i="1"/>
  <c r="D554" i="1"/>
  <c r="E554" i="1"/>
  <c r="F554" i="1"/>
  <c r="G554" i="1"/>
  <c r="H554" i="1"/>
  <c r="I554" i="1"/>
  <c r="C555" i="1"/>
  <c r="D555" i="1"/>
  <c r="E555" i="1"/>
  <c r="F555" i="1"/>
  <c r="G555" i="1"/>
  <c r="H555" i="1"/>
  <c r="I555" i="1"/>
  <c r="C556" i="1"/>
  <c r="D556" i="1"/>
  <c r="E556" i="1"/>
  <c r="F556" i="1"/>
  <c r="G556" i="1"/>
  <c r="H556" i="1"/>
  <c r="I556" i="1"/>
  <c r="C557" i="1"/>
  <c r="D557" i="1"/>
  <c r="E557" i="1"/>
  <c r="F557" i="1"/>
  <c r="G557" i="1"/>
  <c r="H557" i="1"/>
  <c r="I557" i="1"/>
  <c r="C558" i="1"/>
  <c r="D558" i="1"/>
  <c r="E558" i="1"/>
  <c r="F558" i="1"/>
  <c r="G558" i="1"/>
  <c r="H558" i="1"/>
  <c r="I558" i="1"/>
  <c r="C559" i="1"/>
  <c r="D559" i="1"/>
  <c r="E559" i="1"/>
  <c r="F559" i="1"/>
  <c r="G559" i="1"/>
  <c r="H559" i="1"/>
  <c r="I559" i="1"/>
  <c r="C560" i="1"/>
  <c r="D560" i="1"/>
  <c r="E560" i="1"/>
  <c r="F560" i="1"/>
  <c r="G560" i="1"/>
  <c r="H560" i="1"/>
  <c r="I560" i="1"/>
  <c r="C561" i="1"/>
  <c r="D561" i="1"/>
  <c r="E561" i="1"/>
  <c r="F561" i="1"/>
  <c r="G561" i="1"/>
  <c r="H561" i="1"/>
  <c r="I561" i="1"/>
  <c r="C562" i="1"/>
  <c r="D562" i="1"/>
  <c r="E562" i="1"/>
  <c r="F562" i="1"/>
  <c r="G562" i="1"/>
  <c r="H562" i="1"/>
  <c r="I562" i="1"/>
  <c r="C563" i="1"/>
  <c r="D563" i="1"/>
  <c r="E563" i="1"/>
  <c r="F563" i="1"/>
  <c r="G563" i="1"/>
  <c r="H563" i="1"/>
  <c r="I563" i="1"/>
  <c r="C564" i="1"/>
  <c r="D564" i="1"/>
  <c r="E564" i="1"/>
  <c r="F564" i="1"/>
  <c r="G564" i="1"/>
  <c r="H564" i="1"/>
  <c r="I564" i="1"/>
  <c r="C565" i="1"/>
  <c r="D565" i="1"/>
  <c r="E565" i="1"/>
  <c r="F565" i="1"/>
  <c r="G565" i="1"/>
  <c r="H565" i="1"/>
  <c r="I565" i="1"/>
  <c r="C566" i="1"/>
  <c r="D566" i="1"/>
  <c r="E566" i="1"/>
  <c r="F566" i="1"/>
  <c r="G566" i="1"/>
  <c r="H566" i="1"/>
  <c r="I566" i="1"/>
  <c r="C567" i="1"/>
  <c r="D567" i="1"/>
  <c r="E567" i="1"/>
  <c r="F567" i="1"/>
  <c r="G567" i="1"/>
  <c r="H567" i="1"/>
  <c r="I567" i="1"/>
  <c r="C568" i="1"/>
  <c r="D568" i="1"/>
  <c r="E568" i="1"/>
  <c r="F568" i="1"/>
  <c r="G568" i="1"/>
  <c r="H568" i="1"/>
  <c r="I568" i="1"/>
  <c r="C569" i="1"/>
  <c r="D569" i="1"/>
  <c r="E569" i="1"/>
  <c r="F569" i="1"/>
  <c r="G569" i="1"/>
  <c r="H569" i="1"/>
  <c r="I569" i="1"/>
  <c r="C570" i="1"/>
  <c r="D570" i="1"/>
  <c r="E570" i="1"/>
  <c r="F570" i="1"/>
  <c r="G570" i="1"/>
  <c r="H570" i="1"/>
  <c r="I570" i="1"/>
  <c r="C571" i="1"/>
  <c r="D571" i="1"/>
  <c r="E571" i="1"/>
  <c r="F571" i="1"/>
  <c r="G571" i="1"/>
  <c r="H571" i="1"/>
  <c r="I571" i="1"/>
  <c r="C572" i="1"/>
  <c r="D572" i="1"/>
  <c r="E572" i="1"/>
  <c r="F572" i="1"/>
  <c r="G572" i="1"/>
  <c r="H572" i="1"/>
  <c r="I572" i="1"/>
  <c r="C573" i="1"/>
  <c r="D573" i="1"/>
  <c r="E573" i="1"/>
  <c r="F573" i="1"/>
  <c r="G573" i="1"/>
  <c r="H573" i="1"/>
  <c r="I573" i="1"/>
  <c r="C574" i="1"/>
  <c r="D574" i="1"/>
  <c r="E574" i="1"/>
  <c r="F574" i="1"/>
  <c r="G574" i="1"/>
  <c r="H574" i="1"/>
  <c r="I574" i="1"/>
  <c r="C575" i="1"/>
  <c r="D575" i="1"/>
  <c r="E575" i="1"/>
  <c r="F575" i="1"/>
  <c r="G575" i="1"/>
  <c r="H575" i="1"/>
  <c r="I575" i="1"/>
  <c r="C576" i="1"/>
  <c r="D576" i="1"/>
  <c r="E576" i="1"/>
  <c r="F576" i="1"/>
  <c r="G576" i="1"/>
  <c r="H576" i="1"/>
  <c r="I576" i="1"/>
  <c r="C577" i="1"/>
  <c r="D577" i="1"/>
  <c r="E577" i="1"/>
  <c r="F577" i="1"/>
  <c r="G577" i="1"/>
  <c r="H577" i="1"/>
  <c r="I577" i="1"/>
  <c r="C578" i="1"/>
  <c r="D578" i="1"/>
  <c r="E578" i="1"/>
  <c r="F578" i="1"/>
  <c r="G578" i="1"/>
  <c r="H578" i="1"/>
  <c r="I578" i="1"/>
  <c r="C579" i="1"/>
  <c r="D579" i="1"/>
  <c r="E579" i="1"/>
  <c r="F579" i="1"/>
  <c r="G579" i="1"/>
  <c r="H579" i="1"/>
  <c r="I579" i="1"/>
  <c r="C580" i="1"/>
  <c r="D580" i="1"/>
  <c r="E580" i="1"/>
  <c r="F580" i="1"/>
  <c r="G580" i="1"/>
  <c r="H580" i="1"/>
  <c r="I580" i="1"/>
  <c r="C581" i="1"/>
  <c r="D581" i="1"/>
  <c r="E581" i="1"/>
  <c r="F581" i="1"/>
  <c r="G581" i="1"/>
  <c r="H581" i="1"/>
  <c r="I581" i="1"/>
  <c r="C582" i="1"/>
  <c r="D582" i="1"/>
  <c r="E582" i="1"/>
  <c r="F582" i="1"/>
  <c r="G582" i="1"/>
  <c r="H582" i="1"/>
  <c r="I582" i="1"/>
  <c r="C583" i="1"/>
  <c r="D583" i="1"/>
  <c r="E583" i="1"/>
  <c r="F583" i="1"/>
  <c r="G583" i="1"/>
  <c r="H583" i="1"/>
  <c r="I583" i="1"/>
  <c r="C584" i="1"/>
  <c r="D584" i="1"/>
  <c r="E584" i="1"/>
  <c r="F584" i="1"/>
  <c r="G584" i="1"/>
  <c r="H584" i="1"/>
  <c r="I584" i="1"/>
  <c r="C585" i="1"/>
  <c r="D585" i="1"/>
  <c r="E585" i="1"/>
  <c r="F585" i="1"/>
  <c r="G585" i="1"/>
  <c r="H585" i="1"/>
  <c r="I585" i="1"/>
  <c r="C586" i="1"/>
  <c r="D586" i="1"/>
  <c r="E586" i="1"/>
  <c r="F586" i="1"/>
  <c r="G586" i="1"/>
  <c r="H586" i="1"/>
  <c r="I586" i="1"/>
  <c r="C587" i="1"/>
  <c r="D587" i="1"/>
  <c r="E587" i="1"/>
  <c r="F587" i="1"/>
  <c r="G587" i="1"/>
  <c r="H587" i="1"/>
  <c r="I587" i="1"/>
  <c r="C588" i="1"/>
  <c r="D588" i="1"/>
  <c r="E588" i="1"/>
  <c r="F588" i="1"/>
  <c r="G588" i="1"/>
  <c r="H588" i="1"/>
  <c r="I588" i="1"/>
  <c r="C589" i="1"/>
  <c r="D589" i="1"/>
  <c r="E589" i="1"/>
  <c r="F589" i="1"/>
  <c r="G589" i="1"/>
  <c r="H589" i="1"/>
  <c r="I589" i="1"/>
  <c r="C590" i="1"/>
  <c r="D590" i="1"/>
  <c r="E590" i="1"/>
  <c r="F590" i="1"/>
  <c r="G590" i="1"/>
  <c r="H590" i="1"/>
  <c r="I590" i="1"/>
  <c r="C591" i="1"/>
  <c r="D591" i="1"/>
  <c r="E591" i="1"/>
  <c r="F591" i="1"/>
  <c r="G591" i="1"/>
  <c r="H591" i="1"/>
  <c r="I591" i="1"/>
  <c r="C592" i="1"/>
  <c r="D592" i="1"/>
  <c r="E592" i="1"/>
  <c r="F592" i="1"/>
  <c r="G592" i="1"/>
  <c r="H592" i="1"/>
  <c r="I592" i="1"/>
  <c r="C593" i="1"/>
  <c r="D593" i="1"/>
  <c r="E593" i="1"/>
  <c r="F593" i="1"/>
  <c r="G593" i="1"/>
  <c r="H593" i="1"/>
  <c r="I593" i="1"/>
  <c r="C594" i="1"/>
  <c r="D594" i="1"/>
  <c r="E594" i="1"/>
  <c r="F594" i="1"/>
  <c r="G594" i="1"/>
  <c r="H594" i="1"/>
  <c r="I594" i="1"/>
  <c r="C595" i="1"/>
  <c r="D595" i="1"/>
  <c r="E595" i="1"/>
  <c r="F595" i="1"/>
  <c r="G595" i="1"/>
  <c r="H595" i="1"/>
  <c r="I595" i="1"/>
  <c r="C596" i="1"/>
  <c r="D596" i="1"/>
  <c r="E596" i="1"/>
  <c r="F596" i="1"/>
  <c r="G596" i="1"/>
  <c r="H596" i="1"/>
  <c r="I596" i="1"/>
  <c r="C597" i="1"/>
  <c r="D597" i="1"/>
  <c r="E597" i="1"/>
  <c r="F597" i="1"/>
  <c r="G597" i="1"/>
  <c r="H597" i="1"/>
  <c r="I597" i="1"/>
  <c r="C598" i="1"/>
  <c r="D598" i="1"/>
  <c r="E598" i="1"/>
  <c r="F598" i="1"/>
  <c r="G598" i="1"/>
  <c r="H598" i="1"/>
  <c r="I598" i="1"/>
  <c r="C599" i="1"/>
  <c r="D599" i="1"/>
  <c r="E599" i="1"/>
  <c r="F599" i="1"/>
  <c r="G599" i="1"/>
  <c r="H599" i="1"/>
  <c r="I599" i="1"/>
  <c r="C600" i="1"/>
  <c r="D600" i="1"/>
  <c r="E600" i="1"/>
  <c r="F600" i="1"/>
  <c r="G600" i="1"/>
  <c r="H600" i="1"/>
  <c r="I600" i="1"/>
  <c r="C601" i="1"/>
  <c r="D601" i="1"/>
  <c r="E601" i="1"/>
  <c r="F601" i="1"/>
  <c r="G601" i="1"/>
  <c r="H601" i="1"/>
  <c r="I601" i="1"/>
  <c r="C602" i="1"/>
  <c r="D602" i="1"/>
  <c r="E602" i="1"/>
  <c r="F602" i="1"/>
  <c r="G602" i="1"/>
  <c r="H602" i="1"/>
  <c r="I602" i="1"/>
  <c r="C603" i="1"/>
  <c r="D603" i="1"/>
  <c r="E603" i="1"/>
  <c r="F603" i="1"/>
  <c r="G603" i="1"/>
  <c r="H603" i="1"/>
  <c r="I603" i="1"/>
  <c r="C604" i="1"/>
  <c r="D604" i="1"/>
  <c r="E604" i="1"/>
  <c r="F604" i="1"/>
  <c r="G604" i="1"/>
  <c r="H604" i="1"/>
  <c r="I604" i="1"/>
  <c r="C605" i="1"/>
  <c r="D605" i="1"/>
  <c r="E605" i="1"/>
  <c r="F605" i="1"/>
  <c r="G605" i="1"/>
  <c r="H605" i="1"/>
  <c r="I605" i="1"/>
  <c r="C606" i="1"/>
  <c r="D606" i="1"/>
  <c r="E606" i="1"/>
  <c r="F606" i="1"/>
  <c r="G606" i="1"/>
  <c r="H606" i="1"/>
  <c r="I606" i="1"/>
  <c r="C607" i="1"/>
  <c r="D607" i="1"/>
  <c r="E607" i="1"/>
  <c r="F607" i="1"/>
  <c r="G607" i="1"/>
  <c r="H607" i="1"/>
  <c r="I607" i="1"/>
  <c r="C608" i="1"/>
  <c r="D608" i="1"/>
  <c r="E608" i="1"/>
  <c r="F608" i="1"/>
  <c r="G608" i="1"/>
  <c r="H608" i="1"/>
  <c r="I608" i="1"/>
  <c r="C609" i="1"/>
  <c r="D609" i="1"/>
  <c r="E609" i="1"/>
  <c r="F609" i="1"/>
  <c r="G609" i="1"/>
  <c r="H609" i="1"/>
  <c r="I609" i="1"/>
  <c r="C610" i="1"/>
  <c r="D610" i="1"/>
  <c r="E610" i="1"/>
  <c r="F610" i="1"/>
  <c r="G610" i="1"/>
  <c r="H610" i="1"/>
  <c r="I610" i="1"/>
  <c r="C611" i="1"/>
  <c r="D611" i="1"/>
  <c r="E611" i="1"/>
  <c r="F611" i="1"/>
  <c r="G611" i="1"/>
  <c r="H611" i="1"/>
  <c r="I611" i="1"/>
  <c r="C612" i="1"/>
  <c r="D612" i="1"/>
  <c r="E612" i="1"/>
  <c r="F612" i="1"/>
  <c r="G612" i="1"/>
  <c r="H612" i="1"/>
  <c r="I612" i="1"/>
  <c r="C613" i="1"/>
  <c r="D613" i="1"/>
  <c r="E613" i="1"/>
  <c r="F613" i="1"/>
  <c r="G613" i="1"/>
  <c r="H613" i="1"/>
  <c r="I613" i="1"/>
  <c r="C614" i="1"/>
  <c r="D614" i="1"/>
  <c r="E614" i="1"/>
  <c r="F614" i="1"/>
  <c r="G614" i="1"/>
  <c r="H614" i="1"/>
  <c r="I614" i="1"/>
  <c r="C615" i="1"/>
  <c r="D615" i="1"/>
  <c r="E615" i="1"/>
  <c r="F615" i="1"/>
  <c r="G615" i="1"/>
  <c r="H615" i="1"/>
  <c r="I615" i="1"/>
  <c r="C616" i="1"/>
  <c r="D616" i="1"/>
  <c r="E616" i="1"/>
  <c r="F616" i="1"/>
  <c r="G616" i="1"/>
  <c r="H616" i="1"/>
  <c r="I616" i="1"/>
  <c r="C617" i="1"/>
  <c r="D617" i="1"/>
  <c r="E617" i="1"/>
  <c r="F617" i="1"/>
  <c r="G617" i="1"/>
  <c r="H617" i="1"/>
  <c r="I617" i="1"/>
  <c r="C618" i="1"/>
  <c r="D618" i="1"/>
  <c r="E618" i="1"/>
  <c r="F618" i="1"/>
  <c r="G618" i="1"/>
  <c r="H618" i="1"/>
  <c r="I618" i="1"/>
  <c r="C619" i="1"/>
  <c r="D619" i="1"/>
  <c r="E619" i="1"/>
  <c r="F619" i="1"/>
  <c r="G619" i="1"/>
  <c r="H619" i="1"/>
  <c r="I619" i="1"/>
  <c r="C620" i="1"/>
  <c r="D620" i="1"/>
  <c r="E620" i="1"/>
  <c r="F620" i="1"/>
  <c r="G620" i="1"/>
  <c r="H620" i="1"/>
  <c r="I620" i="1"/>
  <c r="C621" i="1"/>
  <c r="D621" i="1"/>
  <c r="E621" i="1"/>
  <c r="F621" i="1"/>
  <c r="G621" i="1"/>
  <c r="H621" i="1"/>
  <c r="I621" i="1"/>
  <c r="C622" i="1"/>
  <c r="D622" i="1"/>
  <c r="E622" i="1"/>
  <c r="F622" i="1"/>
  <c r="G622" i="1"/>
  <c r="H622" i="1"/>
  <c r="I622" i="1"/>
  <c r="C623" i="1"/>
  <c r="D623" i="1"/>
  <c r="E623" i="1"/>
  <c r="F623" i="1"/>
  <c r="G623" i="1"/>
  <c r="H623" i="1"/>
  <c r="I623" i="1"/>
  <c r="C624" i="1"/>
  <c r="D624" i="1"/>
  <c r="E624" i="1"/>
  <c r="F624" i="1"/>
  <c r="G624" i="1"/>
  <c r="H624" i="1"/>
  <c r="I624" i="1"/>
  <c r="C625" i="1"/>
  <c r="D625" i="1"/>
  <c r="E625" i="1"/>
  <c r="F625" i="1"/>
  <c r="G625" i="1"/>
  <c r="H625" i="1"/>
  <c r="I625" i="1"/>
  <c r="C626" i="1"/>
  <c r="D626" i="1"/>
  <c r="E626" i="1"/>
  <c r="F626" i="1"/>
  <c r="G626" i="1"/>
  <c r="H626" i="1"/>
  <c r="I626" i="1"/>
  <c r="C627" i="1"/>
  <c r="D627" i="1"/>
  <c r="E627" i="1"/>
  <c r="F627" i="1"/>
  <c r="G627" i="1"/>
  <c r="H627" i="1"/>
  <c r="I627" i="1"/>
  <c r="C628" i="1"/>
  <c r="D628" i="1"/>
  <c r="E628" i="1"/>
  <c r="F628" i="1"/>
  <c r="G628" i="1"/>
  <c r="H628" i="1"/>
  <c r="I628" i="1"/>
  <c r="C629" i="1"/>
  <c r="D629" i="1"/>
  <c r="E629" i="1"/>
  <c r="F629" i="1"/>
  <c r="G629" i="1"/>
  <c r="H629" i="1"/>
  <c r="I629" i="1"/>
  <c r="C630" i="1"/>
  <c r="D630" i="1"/>
  <c r="E630" i="1"/>
  <c r="F630" i="1"/>
  <c r="G630" i="1"/>
  <c r="H630" i="1"/>
  <c r="I630" i="1"/>
  <c r="C631" i="1"/>
  <c r="D631" i="1"/>
  <c r="E631" i="1"/>
  <c r="F631" i="1"/>
  <c r="G631" i="1"/>
  <c r="H631" i="1"/>
  <c r="I631" i="1"/>
  <c r="C632" i="1"/>
  <c r="D632" i="1"/>
  <c r="E632" i="1"/>
  <c r="F632" i="1"/>
  <c r="G632" i="1"/>
  <c r="H632" i="1"/>
  <c r="I632" i="1"/>
  <c r="C633" i="1"/>
  <c r="D633" i="1"/>
  <c r="E633" i="1"/>
  <c r="F633" i="1"/>
  <c r="G633" i="1"/>
  <c r="H633" i="1"/>
  <c r="I633" i="1"/>
  <c r="C634" i="1"/>
  <c r="D634" i="1"/>
  <c r="E634" i="1"/>
  <c r="F634" i="1"/>
  <c r="G634" i="1"/>
  <c r="H634" i="1"/>
  <c r="I634" i="1"/>
  <c r="C635" i="1"/>
  <c r="D635" i="1"/>
  <c r="E635" i="1"/>
  <c r="F635" i="1"/>
  <c r="G635" i="1"/>
  <c r="H635" i="1"/>
  <c r="I635" i="1"/>
  <c r="C636" i="1"/>
  <c r="D636" i="1"/>
  <c r="E636" i="1"/>
  <c r="F636" i="1"/>
  <c r="G636" i="1"/>
  <c r="H636" i="1"/>
  <c r="I636" i="1"/>
  <c r="C637" i="1"/>
  <c r="D637" i="1"/>
  <c r="E637" i="1"/>
  <c r="F637" i="1"/>
  <c r="G637" i="1"/>
  <c r="H637" i="1"/>
  <c r="I637" i="1"/>
  <c r="C638" i="1"/>
  <c r="D638" i="1"/>
  <c r="E638" i="1"/>
  <c r="F638" i="1"/>
  <c r="G638" i="1"/>
  <c r="H638" i="1"/>
  <c r="I638" i="1"/>
  <c r="C639" i="1"/>
  <c r="D639" i="1"/>
  <c r="E639" i="1"/>
  <c r="F639" i="1"/>
  <c r="G639" i="1"/>
  <c r="H639" i="1"/>
  <c r="I639" i="1"/>
  <c r="C640" i="1"/>
  <c r="D640" i="1"/>
  <c r="E640" i="1"/>
  <c r="F640" i="1"/>
  <c r="G640" i="1"/>
  <c r="H640" i="1"/>
  <c r="I640" i="1"/>
  <c r="C641" i="1"/>
  <c r="D641" i="1"/>
  <c r="E641" i="1"/>
  <c r="F641" i="1"/>
  <c r="G641" i="1"/>
  <c r="H641" i="1"/>
  <c r="I641" i="1"/>
  <c r="C642" i="1"/>
  <c r="D642" i="1"/>
  <c r="E642" i="1"/>
  <c r="F642" i="1"/>
  <c r="G642" i="1"/>
  <c r="H642" i="1"/>
  <c r="I642" i="1"/>
  <c r="C643" i="1"/>
  <c r="D643" i="1"/>
  <c r="E643" i="1"/>
  <c r="F643" i="1"/>
  <c r="G643" i="1"/>
  <c r="H643" i="1"/>
  <c r="I643" i="1"/>
  <c r="C644" i="1"/>
  <c r="D644" i="1"/>
  <c r="E644" i="1"/>
  <c r="F644" i="1"/>
  <c r="G644" i="1"/>
  <c r="H644" i="1"/>
  <c r="I644" i="1"/>
  <c r="C645" i="1"/>
  <c r="D645" i="1"/>
  <c r="E645" i="1"/>
  <c r="F645" i="1"/>
  <c r="G645" i="1"/>
  <c r="H645" i="1"/>
  <c r="I645" i="1"/>
  <c r="C646" i="1"/>
  <c r="D646" i="1"/>
  <c r="E646" i="1"/>
  <c r="F646" i="1"/>
  <c r="G646" i="1"/>
  <c r="H646" i="1"/>
  <c r="I646" i="1"/>
  <c r="C647" i="1"/>
  <c r="D647" i="1"/>
  <c r="E647" i="1"/>
  <c r="F647" i="1"/>
  <c r="G647" i="1"/>
  <c r="H647" i="1"/>
  <c r="I647" i="1"/>
  <c r="C648" i="1"/>
  <c r="D648" i="1"/>
  <c r="E648" i="1"/>
  <c r="F648" i="1"/>
  <c r="G648" i="1"/>
  <c r="H648" i="1"/>
  <c r="I648" i="1"/>
  <c r="C649" i="1"/>
  <c r="D649" i="1"/>
  <c r="E649" i="1"/>
  <c r="F649" i="1"/>
  <c r="G649" i="1"/>
  <c r="H649" i="1"/>
  <c r="I649" i="1"/>
  <c r="C650" i="1"/>
  <c r="D650" i="1"/>
  <c r="E650" i="1"/>
  <c r="F650" i="1"/>
  <c r="G650" i="1"/>
  <c r="H650" i="1"/>
  <c r="I650" i="1"/>
  <c r="C651" i="1"/>
  <c r="D651" i="1"/>
  <c r="E651" i="1"/>
  <c r="F651" i="1"/>
  <c r="G651" i="1"/>
  <c r="H651" i="1"/>
  <c r="I651" i="1"/>
  <c r="C652" i="1"/>
  <c r="D652" i="1"/>
  <c r="E652" i="1"/>
  <c r="F652" i="1"/>
  <c r="G652" i="1"/>
  <c r="H652" i="1"/>
  <c r="I652" i="1"/>
  <c r="C653" i="1"/>
  <c r="D653" i="1"/>
  <c r="E653" i="1"/>
  <c r="F653" i="1"/>
  <c r="G653" i="1"/>
  <c r="H653" i="1"/>
  <c r="I653" i="1"/>
  <c r="C654" i="1"/>
  <c r="D654" i="1"/>
  <c r="E654" i="1"/>
  <c r="F654" i="1"/>
  <c r="G654" i="1"/>
  <c r="H654" i="1"/>
  <c r="I654" i="1"/>
  <c r="C655" i="1"/>
  <c r="D655" i="1"/>
  <c r="E655" i="1"/>
  <c r="F655" i="1"/>
  <c r="G655" i="1"/>
  <c r="H655" i="1"/>
  <c r="I655" i="1"/>
  <c r="C656" i="1"/>
  <c r="D656" i="1"/>
  <c r="E656" i="1"/>
  <c r="F656" i="1"/>
  <c r="G656" i="1"/>
  <c r="H656" i="1"/>
  <c r="I656" i="1"/>
  <c r="C657" i="1"/>
  <c r="D657" i="1"/>
  <c r="E657" i="1"/>
  <c r="F657" i="1"/>
  <c r="G657" i="1"/>
  <c r="H657" i="1"/>
  <c r="I657" i="1"/>
  <c r="C658" i="1"/>
  <c r="D658" i="1"/>
  <c r="E658" i="1"/>
  <c r="F658" i="1"/>
  <c r="G658" i="1"/>
  <c r="H658" i="1"/>
  <c r="I658" i="1"/>
  <c r="C659" i="1"/>
  <c r="D659" i="1"/>
  <c r="E659" i="1"/>
  <c r="F659" i="1"/>
  <c r="G659" i="1"/>
  <c r="H659" i="1"/>
  <c r="I659" i="1"/>
  <c r="C660" i="1"/>
  <c r="D660" i="1"/>
  <c r="E660" i="1"/>
  <c r="F660" i="1"/>
  <c r="G660" i="1"/>
  <c r="H660" i="1"/>
  <c r="I660" i="1"/>
  <c r="C661" i="1"/>
  <c r="D661" i="1"/>
  <c r="E661" i="1"/>
  <c r="F661" i="1"/>
  <c r="G661" i="1"/>
  <c r="H661" i="1"/>
  <c r="I661" i="1"/>
  <c r="C662" i="1"/>
  <c r="D662" i="1"/>
  <c r="E662" i="1"/>
  <c r="F662" i="1"/>
  <c r="G662" i="1"/>
  <c r="H662" i="1"/>
  <c r="I662" i="1"/>
  <c r="C663" i="1"/>
  <c r="D663" i="1"/>
  <c r="E663" i="1"/>
  <c r="F663" i="1"/>
  <c r="G663" i="1"/>
  <c r="H663" i="1"/>
  <c r="I663" i="1"/>
  <c r="C664" i="1"/>
  <c r="D664" i="1"/>
  <c r="E664" i="1"/>
  <c r="F664" i="1"/>
  <c r="G664" i="1"/>
  <c r="H664" i="1"/>
  <c r="I664" i="1"/>
  <c r="C665" i="1"/>
  <c r="D665" i="1"/>
  <c r="E665" i="1"/>
  <c r="F665" i="1"/>
  <c r="G665" i="1"/>
  <c r="H665" i="1"/>
  <c r="I665" i="1"/>
  <c r="C666" i="1"/>
  <c r="D666" i="1"/>
  <c r="E666" i="1"/>
  <c r="F666" i="1"/>
  <c r="G666" i="1"/>
  <c r="H666" i="1"/>
  <c r="I666" i="1"/>
  <c r="C667" i="1"/>
  <c r="D667" i="1"/>
  <c r="E667" i="1"/>
  <c r="F667" i="1"/>
  <c r="G667" i="1"/>
  <c r="H667" i="1"/>
  <c r="I667" i="1"/>
  <c r="C668" i="1"/>
  <c r="D668" i="1"/>
  <c r="E668" i="1"/>
  <c r="F668" i="1"/>
  <c r="G668" i="1"/>
  <c r="H668" i="1"/>
  <c r="I668" i="1"/>
  <c r="C669" i="1"/>
  <c r="D669" i="1"/>
  <c r="E669" i="1"/>
  <c r="F669" i="1"/>
  <c r="G669" i="1"/>
  <c r="H669" i="1"/>
  <c r="I669" i="1"/>
  <c r="C670" i="1"/>
  <c r="D670" i="1"/>
  <c r="E670" i="1"/>
  <c r="F670" i="1"/>
  <c r="G670" i="1"/>
  <c r="H670" i="1"/>
  <c r="I670" i="1"/>
  <c r="C671" i="1"/>
  <c r="D671" i="1"/>
  <c r="E671" i="1"/>
  <c r="F671" i="1"/>
  <c r="G671" i="1"/>
  <c r="H671" i="1"/>
  <c r="I671" i="1"/>
  <c r="C672" i="1"/>
  <c r="D672" i="1"/>
  <c r="E672" i="1"/>
  <c r="F672" i="1"/>
  <c r="G672" i="1"/>
  <c r="H672" i="1"/>
  <c r="I672" i="1"/>
  <c r="C673" i="1"/>
  <c r="D673" i="1"/>
  <c r="E673" i="1"/>
  <c r="F673" i="1"/>
  <c r="G673" i="1"/>
  <c r="H673" i="1"/>
  <c r="I673" i="1"/>
  <c r="C674" i="1"/>
  <c r="D674" i="1"/>
  <c r="E674" i="1"/>
  <c r="F674" i="1"/>
  <c r="G674" i="1"/>
  <c r="H674" i="1"/>
  <c r="I674" i="1"/>
  <c r="C675" i="1"/>
  <c r="D675" i="1"/>
  <c r="E675" i="1"/>
  <c r="F675" i="1"/>
  <c r="G675" i="1"/>
  <c r="H675" i="1"/>
  <c r="I675" i="1"/>
  <c r="C676" i="1"/>
  <c r="D676" i="1"/>
  <c r="E676" i="1"/>
  <c r="F676" i="1"/>
  <c r="G676" i="1"/>
  <c r="H676" i="1"/>
  <c r="I676" i="1"/>
  <c r="C677" i="1"/>
  <c r="D677" i="1"/>
  <c r="E677" i="1"/>
  <c r="F677" i="1"/>
  <c r="G677" i="1"/>
  <c r="H677" i="1"/>
  <c r="I677" i="1"/>
  <c r="C678" i="1"/>
  <c r="D678" i="1"/>
  <c r="E678" i="1"/>
  <c r="F678" i="1"/>
  <c r="G678" i="1"/>
  <c r="H678" i="1"/>
  <c r="I678" i="1"/>
  <c r="C679" i="1"/>
  <c r="D679" i="1"/>
  <c r="E679" i="1"/>
  <c r="F679" i="1"/>
  <c r="G679" i="1"/>
  <c r="H679" i="1"/>
  <c r="I679" i="1"/>
  <c r="C680" i="1"/>
  <c r="D680" i="1"/>
  <c r="E680" i="1"/>
  <c r="F680" i="1"/>
  <c r="G680" i="1"/>
  <c r="H680" i="1"/>
  <c r="I680" i="1"/>
  <c r="C681" i="1"/>
  <c r="D681" i="1"/>
  <c r="E681" i="1"/>
  <c r="F681" i="1"/>
  <c r="G681" i="1"/>
  <c r="H681" i="1"/>
  <c r="I681" i="1"/>
  <c r="C682" i="1"/>
  <c r="D682" i="1"/>
  <c r="E682" i="1"/>
  <c r="F682" i="1"/>
  <c r="G682" i="1"/>
  <c r="H682" i="1"/>
  <c r="I682" i="1"/>
  <c r="C683" i="1"/>
  <c r="D683" i="1"/>
  <c r="E683" i="1"/>
  <c r="F683" i="1"/>
  <c r="G683" i="1"/>
  <c r="H683" i="1"/>
  <c r="I683" i="1"/>
  <c r="C684" i="1"/>
  <c r="D684" i="1"/>
  <c r="E684" i="1"/>
  <c r="F684" i="1"/>
  <c r="G684" i="1"/>
  <c r="H684" i="1"/>
  <c r="I684" i="1"/>
  <c r="C685" i="1"/>
  <c r="D685" i="1"/>
  <c r="E685" i="1"/>
  <c r="F685" i="1"/>
  <c r="G685" i="1"/>
  <c r="H685" i="1"/>
  <c r="I685" i="1"/>
  <c r="C686" i="1"/>
  <c r="D686" i="1"/>
  <c r="E686" i="1"/>
  <c r="F686" i="1"/>
  <c r="G686" i="1"/>
  <c r="H686" i="1"/>
  <c r="I686" i="1"/>
  <c r="C687" i="1"/>
  <c r="D687" i="1"/>
  <c r="E687" i="1"/>
  <c r="F687" i="1"/>
  <c r="G687" i="1"/>
  <c r="H687" i="1"/>
  <c r="I687" i="1"/>
  <c r="C688" i="1"/>
  <c r="D688" i="1"/>
  <c r="E688" i="1"/>
  <c r="F688" i="1"/>
  <c r="G688" i="1"/>
  <c r="H688" i="1"/>
  <c r="I688" i="1"/>
  <c r="C689" i="1"/>
  <c r="D689" i="1"/>
  <c r="E689" i="1"/>
  <c r="F689" i="1"/>
  <c r="G689" i="1"/>
  <c r="H689" i="1"/>
  <c r="I689" i="1"/>
  <c r="C690" i="1"/>
  <c r="D690" i="1"/>
  <c r="E690" i="1"/>
  <c r="F690" i="1"/>
  <c r="G690" i="1"/>
  <c r="H690" i="1"/>
  <c r="I690" i="1"/>
  <c r="C691" i="1"/>
  <c r="D691" i="1"/>
  <c r="E691" i="1"/>
  <c r="F691" i="1"/>
  <c r="G691" i="1"/>
  <c r="H691" i="1"/>
  <c r="I691" i="1"/>
  <c r="C692" i="1"/>
  <c r="D692" i="1"/>
  <c r="E692" i="1"/>
  <c r="F692" i="1"/>
  <c r="G692" i="1"/>
  <c r="H692" i="1"/>
  <c r="I692" i="1"/>
  <c r="C693" i="1"/>
  <c r="D693" i="1"/>
  <c r="E693" i="1"/>
  <c r="F693" i="1"/>
  <c r="G693" i="1"/>
  <c r="H693" i="1"/>
  <c r="I693" i="1"/>
  <c r="C694" i="1"/>
  <c r="D694" i="1"/>
  <c r="E694" i="1"/>
  <c r="F694" i="1"/>
  <c r="G694" i="1"/>
  <c r="H694" i="1"/>
  <c r="I694" i="1"/>
  <c r="C695" i="1"/>
  <c r="D695" i="1"/>
  <c r="E695" i="1"/>
  <c r="F695" i="1"/>
  <c r="G695" i="1"/>
  <c r="H695" i="1"/>
  <c r="I695" i="1"/>
  <c r="C696" i="1"/>
  <c r="D696" i="1"/>
  <c r="E696" i="1"/>
  <c r="F696" i="1"/>
  <c r="G696" i="1"/>
  <c r="H696" i="1"/>
  <c r="I696" i="1"/>
  <c r="C697" i="1"/>
  <c r="D697" i="1"/>
  <c r="E697" i="1"/>
  <c r="F697" i="1"/>
  <c r="G697" i="1"/>
  <c r="H697" i="1"/>
  <c r="I697" i="1"/>
  <c r="C698" i="1"/>
  <c r="D698" i="1"/>
  <c r="E698" i="1"/>
  <c r="F698" i="1"/>
  <c r="G698" i="1"/>
  <c r="H698" i="1"/>
  <c r="I698" i="1"/>
  <c r="C699" i="1"/>
  <c r="D699" i="1"/>
  <c r="E699" i="1"/>
  <c r="F699" i="1"/>
  <c r="G699" i="1"/>
  <c r="H699" i="1"/>
  <c r="I699" i="1"/>
  <c r="C700" i="1"/>
  <c r="D700" i="1"/>
  <c r="E700" i="1"/>
  <c r="F700" i="1"/>
  <c r="G700" i="1"/>
  <c r="H700" i="1"/>
  <c r="I700" i="1"/>
  <c r="C701" i="1"/>
  <c r="D701" i="1"/>
  <c r="E701" i="1"/>
  <c r="F701" i="1"/>
  <c r="G701" i="1"/>
  <c r="H701" i="1"/>
  <c r="I701" i="1"/>
  <c r="C702" i="1"/>
  <c r="D702" i="1"/>
  <c r="E702" i="1"/>
  <c r="F702" i="1"/>
  <c r="G702" i="1"/>
  <c r="H702" i="1"/>
  <c r="I702" i="1"/>
  <c r="C703" i="1"/>
  <c r="D703" i="1"/>
  <c r="E703" i="1"/>
  <c r="F703" i="1"/>
  <c r="G703" i="1"/>
  <c r="H703" i="1"/>
  <c r="I703" i="1"/>
  <c r="C704" i="1"/>
  <c r="D704" i="1"/>
  <c r="E704" i="1"/>
  <c r="F704" i="1"/>
  <c r="G704" i="1"/>
  <c r="H704" i="1"/>
  <c r="I704" i="1"/>
  <c r="C705" i="1"/>
  <c r="D705" i="1"/>
  <c r="E705" i="1"/>
  <c r="F705" i="1"/>
  <c r="G705" i="1"/>
  <c r="H705" i="1"/>
  <c r="I705" i="1"/>
  <c r="C706" i="1"/>
  <c r="D706" i="1"/>
  <c r="E706" i="1"/>
  <c r="F706" i="1"/>
  <c r="G706" i="1"/>
  <c r="H706" i="1"/>
  <c r="I706" i="1"/>
  <c r="C707" i="1"/>
  <c r="D707" i="1"/>
  <c r="E707" i="1"/>
  <c r="F707" i="1"/>
  <c r="G707" i="1"/>
  <c r="H707" i="1"/>
  <c r="I707" i="1"/>
  <c r="C708" i="1"/>
  <c r="D708" i="1"/>
  <c r="E708" i="1"/>
  <c r="F708" i="1"/>
  <c r="G708" i="1"/>
  <c r="H708" i="1"/>
  <c r="I708" i="1"/>
  <c r="C709" i="1"/>
  <c r="D709" i="1"/>
  <c r="E709" i="1"/>
  <c r="F709" i="1"/>
  <c r="G709" i="1"/>
  <c r="H709" i="1"/>
  <c r="I709" i="1"/>
  <c r="C710" i="1"/>
  <c r="D710" i="1"/>
  <c r="E710" i="1"/>
  <c r="F710" i="1"/>
  <c r="G710" i="1"/>
  <c r="H710" i="1"/>
  <c r="I710" i="1"/>
  <c r="C711" i="1"/>
  <c r="D711" i="1"/>
  <c r="E711" i="1"/>
  <c r="F711" i="1"/>
  <c r="G711" i="1"/>
  <c r="H711" i="1"/>
  <c r="I711" i="1"/>
  <c r="C712" i="1"/>
  <c r="D712" i="1"/>
  <c r="E712" i="1"/>
  <c r="F712" i="1"/>
  <c r="G712" i="1"/>
  <c r="H712" i="1"/>
  <c r="I712" i="1"/>
  <c r="C713" i="1"/>
  <c r="D713" i="1"/>
  <c r="E713" i="1"/>
  <c r="F713" i="1"/>
  <c r="G713" i="1"/>
  <c r="H713" i="1"/>
  <c r="I713" i="1"/>
  <c r="C714" i="1"/>
  <c r="D714" i="1"/>
  <c r="E714" i="1"/>
  <c r="F714" i="1"/>
  <c r="G714" i="1"/>
  <c r="H714" i="1"/>
  <c r="I714" i="1"/>
  <c r="C715" i="1"/>
  <c r="D715" i="1"/>
  <c r="E715" i="1"/>
  <c r="F715" i="1"/>
  <c r="G715" i="1"/>
  <c r="H715" i="1"/>
  <c r="I715" i="1"/>
  <c r="C716" i="1"/>
  <c r="D716" i="1"/>
  <c r="E716" i="1"/>
  <c r="F716" i="1"/>
  <c r="G716" i="1"/>
  <c r="H716" i="1"/>
  <c r="I716" i="1"/>
  <c r="C717" i="1"/>
  <c r="D717" i="1"/>
  <c r="E717" i="1"/>
  <c r="F717" i="1"/>
  <c r="G717" i="1"/>
  <c r="H717" i="1"/>
  <c r="I717" i="1"/>
  <c r="C718" i="1"/>
  <c r="D718" i="1"/>
  <c r="E718" i="1"/>
  <c r="F718" i="1"/>
  <c r="G718" i="1"/>
  <c r="H718" i="1"/>
  <c r="I718" i="1"/>
  <c r="C719" i="1"/>
  <c r="D719" i="1"/>
  <c r="E719" i="1"/>
  <c r="F719" i="1"/>
  <c r="G719" i="1"/>
  <c r="H719" i="1"/>
  <c r="I719" i="1"/>
  <c r="C720" i="1"/>
  <c r="D720" i="1"/>
  <c r="E720" i="1"/>
  <c r="F720" i="1"/>
  <c r="G720" i="1"/>
  <c r="H720" i="1"/>
  <c r="I720" i="1"/>
  <c r="C721" i="1"/>
  <c r="D721" i="1"/>
  <c r="E721" i="1"/>
  <c r="F721" i="1"/>
  <c r="G721" i="1"/>
  <c r="H721" i="1"/>
  <c r="I721" i="1"/>
  <c r="C722" i="1"/>
  <c r="D722" i="1"/>
  <c r="E722" i="1"/>
  <c r="F722" i="1"/>
  <c r="G722" i="1"/>
  <c r="H722" i="1"/>
  <c r="I722" i="1"/>
  <c r="C723" i="1"/>
  <c r="D723" i="1"/>
  <c r="E723" i="1"/>
  <c r="F723" i="1"/>
  <c r="G723" i="1"/>
  <c r="H723" i="1"/>
  <c r="I723" i="1"/>
  <c r="C724" i="1"/>
  <c r="D724" i="1"/>
  <c r="E724" i="1"/>
  <c r="F724" i="1"/>
  <c r="G724" i="1"/>
  <c r="H724" i="1"/>
  <c r="I724" i="1"/>
  <c r="C725" i="1"/>
  <c r="D725" i="1"/>
  <c r="E725" i="1"/>
  <c r="F725" i="1"/>
  <c r="G725" i="1"/>
  <c r="H725" i="1"/>
  <c r="I725" i="1"/>
  <c r="C726" i="1"/>
  <c r="D726" i="1"/>
  <c r="E726" i="1"/>
  <c r="F726" i="1"/>
  <c r="G726" i="1"/>
  <c r="H726" i="1"/>
  <c r="I726" i="1"/>
  <c r="C727" i="1"/>
  <c r="D727" i="1"/>
  <c r="E727" i="1"/>
  <c r="F727" i="1"/>
  <c r="G727" i="1"/>
  <c r="H727" i="1"/>
  <c r="I727" i="1"/>
  <c r="C728" i="1"/>
  <c r="D728" i="1"/>
  <c r="E728" i="1"/>
  <c r="F728" i="1"/>
  <c r="G728" i="1"/>
  <c r="H728" i="1"/>
  <c r="I728" i="1"/>
  <c r="C3" i="1"/>
  <c r="D3" i="1"/>
  <c r="E3" i="1"/>
  <c r="F3" i="1"/>
  <c r="G3" i="1"/>
  <c r="H3" i="1"/>
  <c r="I3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C12" i="1"/>
  <c r="D12" i="1"/>
  <c r="E12" i="1"/>
  <c r="F12" i="1"/>
  <c r="G12" i="1"/>
  <c r="H12" i="1"/>
  <c r="I12" i="1"/>
  <c r="C13" i="1"/>
  <c r="D13" i="1"/>
  <c r="E13" i="1"/>
  <c r="F13" i="1"/>
  <c r="G13" i="1"/>
  <c r="H13" i="1"/>
  <c r="I13" i="1"/>
  <c r="C14" i="1"/>
  <c r="D14" i="1"/>
  <c r="E14" i="1"/>
  <c r="F14" i="1"/>
  <c r="G14" i="1"/>
  <c r="H14" i="1"/>
  <c r="I14" i="1"/>
  <c r="C15" i="1"/>
  <c r="D15" i="1"/>
  <c r="E15" i="1"/>
  <c r="F15" i="1"/>
  <c r="G15" i="1"/>
  <c r="H15" i="1"/>
  <c r="I15" i="1"/>
  <c r="C16" i="1"/>
  <c r="D16" i="1"/>
  <c r="E16" i="1"/>
  <c r="F16" i="1"/>
  <c r="G16" i="1"/>
  <c r="H16" i="1"/>
  <c r="I16" i="1"/>
  <c r="C17" i="1"/>
  <c r="D17" i="1"/>
  <c r="E17" i="1"/>
  <c r="F17" i="1"/>
  <c r="G17" i="1"/>
  <c r="H17" i="1"/>
  <c r="I17" i="1"/>
  <c r="C18" i="1"/>
  <c r="D18" i="1"/>
  <c r="E18" i="1"/>
  <c r="F18" i="1"/>
  <c r="G18" i="1"/>
  <c r="H18" i="1"/>
  <c r="I18" i="1"/>
  <c r="C19" i="1"/>
  <c r="D19" i="1"/>
  <c r="E19" i="1"/>
  <c r="F19" i="1"/>
  <c r="G19" i="1"/>
  <c r="H19" i="1"/>
  <c r="I19" i="1"/>
  <c r="C20" i="1"/>
  <c r="D20" i="1"/>
  <c r="E20" i="1"/>
  <c r="F20" i="1"/>
  <c r="G20" i="1"/>
  <c r="H20" i="1"/>
  <c r="I20" i="1"/>
  <c r="C21" i="1"/>
  <c r="D21" i="1"/>
  <c r="E21" i="1"/>
  <c r="F21" i="1"/>
  <c r="G21" i="1"/>
  <c r="H21" i="1"/>
  <c r="I21" i="1"/>
  <c r="C22" i="1"/>
  <c r="D22" i="1"/>
  <c r="E22" i="1"/>
  <c r="F22" i="1"/>
  <c r="G22" i="1"/>
  <c r="H22" i="1"/>
  <c r="I22" i="1"/>
  <c r="C23" i="1"/>
  <c r="D23" i="1"/>
  <c r="E23" i="1"/>
  <c r="F23" i="1"/>
  <c r="G23" i="1"/>
  <c r="H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C30" i="1"/>
  <c r="D30" i="1"/>
  <c r="E30" i="1"/>
  <c r="F30" i="1"/>
  <c r="G30" i="1"/>
  <c r="H30" i="1"/>
  <c r="I30" i="1"/>
  <c r="C31" i="1"/>
  <c r="D31" i="1"/>
  <c r="E31" i="1"/>
  <c r="F31" i="1"/>
  <c r="G31" i="1"/>
  <c r="H31" i="1"/>
  <c r="I31" i="1"/>
  <c r="I2" i="1"/>
  <c r="H2" i="1"/>
  <c r="G2" i="1"/>
  <c r="F2" i="1"/>
  <c r="E2" i="1"/>
  <c r="D2" i="1"/>
  <c r="C2" i="1"/>
  <c r="B2" i="1"/>
  <c r="A23" i="1" l="1"/>
  <c r="A14" i="1"/>
  <c r="A7" i="1"/>
  <c r="A2" i="1" l="1"/>
  <c r="A4" i="1" l="1"/>
  <c r="A3" i="1" l="1"/>
  <c r="A5" i="1"/>
  <c r="A6" i="1"/>
  <c r="A8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230!$A$1:$G$24" type="102" refreshedVersion="5" minRefreshableVersion="5">
    <extLst>
      <ext xmlns:x15="http://schemas.microsoft.com/office/spreadsheetml/2010/11/main" uri="{DE250136-89BD-433C-8126-D09CA5730AF9}">
        <x15:connection id="Plage-8bbc10cb-9ce1-4bd5-9e72-d784459804da">
          <x15:rangePr sourceName="_xlcn.WorksheetConnection_230A1G24"/>
        </x15:connection>
      </ext>
    </extLst>
  </connection>
  <connection id="3" name="WorksheetConnection_230!$A$1:$I$1148" type="102" refreshedVersion="5" minRefreshableVersion="5">
    <extLst>
      <ext xmlns:x15="http://schemas.microsoft.com/office/spreadsheetml/2010/11/main" uri="{DE250136-89BD-433C-8126-D09CA5730AF9}">
        <x15:connection id="Plage2-dd24bde5-9c9d-477a-8416-ae9b97c0e263">
          <x15:rangePr sourceName="_xlcn.WorksheetConnection_230A1I1148"/>
        </x15:connection>
      </ext>
    </extLst>
  </connection>
  <connection id="4" name="WorksheetConnection_230!$D$1:$E$24" type="102" refreshedVersion="5" minRefreshableVersion="5">
    <extLst>
      <ext xmlns:x15="http://schemas.microsoft.com/office/spreadsheetml/2010/11/main" uri="{DE250136-89BD-433C-8126-D09CA5730AF9}">
        <x15:connection id="Plage1-e1aa3b83-86ed-418e-8a0d-4c8fbd720e83">
          <x15:rangePr sourceName="_xlcn.WorksheetConnection_230D1E24"/>
        </x15:connection>
      </ext>
    </extLst>
  </connection>
</connections>
</file>

<file path=xl/sharedStrings.xml><?xml version="1.0" encoding="utf-8"?>
<sst xmlns="http://schemas.openxmlformats.org/spreadsheetml/2006/main" count="6716" uniqueCount="2402">
  <si>
    <t>ppn</t>
  </si>
  <si>
    <t>rcr</t>
  </si>
  <si>
    <t>shortname</t>
  </si>
  <si>
    <t>latitude</t>
  </si>
  <si>
    <t>longitude</t>
  </si>
  <si>
    <t>issn</t>
  </si>
  <si>
    <t>titre_unimarc</t>
  </si>
  <si>
    <t>titre_rdf</t>
  </si>
  <si>
    <t>etat_de_coll</t>
  </si>
  <si>
    <t>040002845</t>
  </si>
  <si>
    <t>061525404</t>
  </si>
  <si>
    <t>SOPHIA/ANT.-Thales Und. Systems</t>
  </si>
  <si>
    <t>Transfer  [Texte imprimé]</t>
  </si>
  <si>
    <t>093354320</t>
  </si>
  <si>
    <t>830505302</t>
  </si>
  <si>
    <t>DRAGUIGNAN-SESA</t>
  </si>
  <si>
    <t>43.5366856</t>
  </si>
  <si>
    <t>6.461841499999999</t>
  </si>
  <si>
    <t>REPECO  [Texte imprimé]</t>
  </si>
  <si>
    <t>156154919</t>
  </si>
  <si>
    <t>060696201</t>
  </si>
  <si>
    <t>GRASSE-Villa St Hilaire</t>
  </si>
  <si>
    <t>43.65711599999999</t>
  </si>
  <si>
    <t>6.9183745</t>
  </si>
  <si>
    <t>03794651X</t>
  </si>
  <si>
    <t>991386201</t>
  </si>
  <si>
    <t>MONACO-Bibl.Louis Notari</t>
  </si>
  <si>
    <t>43.7351319</t>
  </si>
  <si>
    <t>7.420563100000001</t>
  </si>
  <si>
    <t>Üntra nui  [Texte imprimé]</t>
  </si>
  <si>
    <t>039113264</t>
  </si>
  <si>
    <t>831376201</t>
  </si>
  <si>
    <t>TOULON-BM</t>
  </si>
  <si>
    <t>43.0823215</t>
  </si>
  <si>
    <t>5.920052699999999</t>
  </si>
  <si>
    <t>Annuaire toulonnais  [Texte imprimé]</t>
  </si>
  <si>
    <t>050926470</t>
  </si>
  <si>
    <t>831375101</t>
  </si>
  <si>
    <t>TOULON-Serv.Historique Marine</t>
  </si>
  <si>
    <t>43.124228</t>
  </si>
  <si>
    <t>5.928</t>
  </si>
  <si>
    <t>Guide officiel des voyageurs sur tous les chemins de fer de l'Europe et des principaux paquebots de la Méditerranée et de l'Océan  [Texte imprimé]</t>
  </si>
  <si>
    <t>190961791</t>
  </si>
  <si>
    <t>Cosmobiologie  : revue internationale</t>
  </si>
  <si>
    <t>040000257</t>
  </si>
  <si>
    <t>060885101</t>
  </si>
  <si>
    <t>NICE-Archives Municipales</t>
  </si>
  <si>
    <t>43.68774699999999</t>
  </si>
  <si>
    <t>7.235200000000001</t>
  </si>
  <si>
    <t>Mumacote infos  [Texte imprimé]</t>
  </si>
  <si>
    <t>068786603</t>
  </si>
  <si>
    <t>Alchimist  [Texte imprimé]</t>
  </si>
  <si>
    <t>12427854X</t>
  </si>
  <si>
    <t>060885105</t>
  </si>
  <si>
    <t>NICE-Bibl.Chevalier de Cessole</t>
  </si>
  <si>
    <t>43.6956246</t>
  </si>
  <si>
    <t>7.259380900000001</t>
  </si>
  <si>
    <t>La Lanterne illustrée  [Texte imprimé]</t>
  </si>
  <si>
    <t>137899319</t>
  </si>
  <si>
    <t>Le Masque  [Texte imprimé]</t>
  </si>
  <si>
    <t>137908385</t>
  </si>
  <si>
    <t>Nice-journal  [Texte imprimé]</t>
  </si>
  <si>
    <t>137900902</t>
  </si>
  <si>
    <t>Le Messager d'Antibes, Grasse, Cannes  [Texte imprimé]</t>
  </si>
  <si>
    <t>037547852</t>
  </si>
  <si>
    <t>991385301</t>
  </si>
  <si>
    <t>MONACO-Musée Océanographique</t>
  </si>
  <si>
    <t>43.7310033</t>
  </si>
  <si>
    <t>7.425491600000001</t>
  </si>
  <si>
    <t>World record marine fishes  [Texte imprimé]</t>
  </si>
  <si>
    <t>109285441</t>
  </si>
  <si>
    <t>060296201</t>
  </si>
  <si>
    <t>CANNES-Médiathèque municipal</t>
  </si>
  <si>
    <t>43.5508621</t>
  </si>
  <si>
    <t>7.0033444</t>
  </si>
  <si>
    <t>Annuaire des stations hivernales  [Texte imprimé]  : Hyères - Saint-Raphaël - Cannes - Nice - Monaco et Monte-Carlo [...]</t>
  </si>
  <si>
    <t>140651047</t>
  </si>
  <si>
    <t>La Ramassa  [Texte imprimé]</t>
  </si>
  <si>
    <t>140206922</t>
  </si>
  <si>
    <t>Le Patriote des Alpes-Maritimes  [Texte imprimé]</t>
  </si>
  <si>
    <t>038024713</t>
  </si>
  <si>
    <t>991385203</t>
  </si>
  <si>
    <t>MONACO-ES d'Arts Plastiques</t>
  </si>
  <si>
    <t>43.7320022</t>
  </si>
  <si>
    <t>7.426917999999999</t>
  </si>
  <si>
    <t>San Francisco oracle  [Texte imprimé]</t>
  </si>
  <si>
    <t>159879477</t>
  </si>
  <si>
    <t>Le Grand journal  [Texte imprimé]</t>
  </si>
  <si>
    <t>13603960X</t>
  </si>
  <si>
    <t>Bulletin de l'Église réformée de France, Nice  [Texte imprimé]</t>
  </si>
  <si>
    <t>136034489</t>
  </si>
  <si>
    <t>La Bienvenue aux étrangers  [Texte imprimé]</t>
  </si>
  <si>
    <t>040079007</t>
  </si>
  <si>
    <t>991385201</t>
  </si>
  <si>
    <t>MONACO-Jardin exotique</t>
  </si>
  <si>
    <t>43.7310908</t>
  </si>
  <si>
    <t>7.410747499999999</t>
  </si>
  <si>
    <t>Epiphytes  [Texte imprimé]</t>
  </si>
  <si>
    <t>037396250</t>
  </si>
  <si>
    <t>Shinjyû nenkan  [Texte imprimé]</t>
  </si>
  <si>
    <t>037988131</t>
  </si>
  <si>
    <t>Mitteilungen der Schweizerischen Kakteen-Gesellschaft  [Texte imprimé]</t>
  </si>
  <si>
    <t>038427249</t>
  </si>
  <si>
    <t>Cactaceae  [Texte imprimé]</t>
  </si>
  <si>
    <t>03877528X</t>
  </si>
  <si>
    <t>Le Messager des Alpes  [Texte imprimé]</t>
  </si>
  <si>
    <t>038792826</t>
  </si>
  <si>
    <t>060692301</t>
  </si>
  <si>
    <t>GRASSE-Musée Art/Hist Provence</t>
  </si>
  <si>
    <t>43.65761759999999</t>
  </si>
  <si>
    <t>6.9224541</t>
  </si>
  <si>
    <t>Bulletin d'information de la Société scientifique &amp; littéraire de Cannes &amp; de l'arrondissement de Grasse  [Texte imprimé]</t>
  </si>
  <si>
    <t>040269302</t>
  </si>
  <si>
    <t>The Quarterly report of the Inter-American Tropical Tuna Commission  [Texte imprimé]</t>
  </si>
  <si>
    <t>036883409</t>
  </si>
  <si>
    <t>Data book - Memory integrated circuit  [Texte imprimé]</t>
  </si>
  <si>
    <t>036176567</t>
  </si>
  <si>
    <t>Atlantic oceanographic and meteorological laboratories. Pacific oceanographic laboratories. Collected reprints.</t>
  </si>
  <si>
    <t>036987980</t>
  </si>
  <si>
    <t>Kaktus  [Texte imprimé]</t>
  </si>
  <si>
    <t>037127594</t>
  </si>
  <si>
    <t>831375302</t>
  </si>
  <si>
    <t>TOULON-MEDEF Var</t>
  </si>
  <si>
    <t>43.1260535</t>
  </si>
  <si>
    <t>5.9314786</t>
  </si>
  <si>
    <t>037819550</t>
  </si>
  <si>
    <t>Defense systems review and military communications  [Texte imprimé]</t>
  </si>
  <si>
    <t>044734115</t>
  </si>
  <si>
    <t>060885111</t>
  </si>
  <si>
    <t>NICE-Jardin botanique</t>
  </si>
  <si>
    <t>43.6857624</t>
  </si>
  <si>
    <t>7.210481499999998</t>
  </si>
  <si>
    <t>Kanazawa Daigaku Rigakubu Fuzoku Shokubutsuen nenpō  [Texte imprimé]</t>
  </si>
  <si>
    <t>058364846</t>
  </si>
  <si>
    <t>061522306</t>
  </si>
  <si>
    <t>VALBONNE-Inst.Pharmacol.Mol.</t>
  </si>
  <si>
    <t>American journal of Alzheimer's disease and other dementias  [Texte imprimé]</t>
  </si>
  <si>
    <t>156143453</t>
  </si>
  <si>
    <t>Le Petit Grassois  [Texte imprimé]</t>
  </si>
  <si>
    <t>146037138</t>
  </si>
  <si>
    <t>Lou Sincaire  [Texte imprimé]</t>
  </si>
  <si>
    <t>036254134</t>
  </si>
  <si>
    <t>038378213</t>
  </si>
  <si>
    <t>The Fuaux Herbarium Bulletin  [Texte imprimé]</t>
  </si>
  <si>
    <t>036798398</t>
  </si>
  <si>
    <t>Fisheries newsletter  [Texte imprimé]</t>
  </si>
  <si>
    <t>03804966X</t>
  </si>
  <si>
    <t>Bulletin of the International Oceanographic Foundation  [Texte imprimé]</t>
  </si>
  <si>
    <t>038606704</t>
  </si>
  <si>
    <t>Le Sabot de Noe͏̈l  [Texte imprimé]</t>
  </si>
  <si>
    <t>039052206</t>
  </si>
  <si>
    <t>Le Socialiste toulonnais  [Texte imprimé]</t>
  </si>
  <si>
    <t>048884286</t>
  </si>
  <si>
    <t>L'Armée coloniale  [Texte imprimé]  : Revue indépendante</t>
  </si>
  <si>
    <t>055392210</t>
  </si>
  <si>
    <t>La Voce di S. Antonio Zaccaria  [Texte imprimé]</t>
  </si>
  <si>
    <t>03647732X</t>
  </si>
  <si>
    <t>060886101</t>
  </si>
  <si>
    <t>NICE- BMVR Louis Nucéra</t>
  </si>
  <si>
    <t>43.7015650</t>
  </si>
  <si>
    <t>7.2786247</t>
  </si>
  <si>
    <t>Scena illustrata  [Texte imprimé]</t>
  </si>
  <si>
    <t>037774689</t>
  </si>
  <si>
    <t>Cacti &amp; other succulents  [Texte imprimé]</t>
  </si>
  <si>
    <t>037964461</t>
  </si>
  <si>
    <t>Regular information service bulletin on ocean data buoys and other ocean data acquisition systems, ODAS  [Texte imprimé]</t>
  </si>
  <si>
    <t>039118576</t>
  </si>
  <si>
    <t>Annales universelles et méthodiques  [Texte imprimé]</t>
  </si>
  <si>
    <t>039376907</t>
  </si>
  <si>
    <t>060882306</t>
  </si>
  <si>
    <t>NICE-CEPAM</t>
  </si>
  <si>
    <t>43.7090597</t>
  </si>
  <si>
    <t>7.288295</t>
  </si>
  <si>
    <t>040198596</t>
  </si>
  <si>
    <t>Grasse accueille  [Texte imprimé]</t>
  </si>
  <si>
    <t>036373427</t>
  </si>
  <si>
    <t>Papers from the Dana oceanographical collections  [Texte imprimé]</t>
  </si>
  <si>
    <t>037258230</t>
  </si>
  <si>
    <t>Environment &amp; change  [Texte imprimé]</t>
  </si>
  <si>
    <t>040192733</t>
  </si>
  <si>
    <t>Excelsa. Taxonomic series  [Texte imprimé]</t>
  </si>
  <si>
    <t>050921894</t>
  </si>
  <si>
    <t>Le Journal d'Alger  [Texte imprimé]</t>
  </si>
  <si>
    <t>055669786</t>
  </si>
  <si>
    <t>Moun beu Cimié  [Texte imprimé]  : bulletin paroissial de Notre-Dame de Cimiez</t>
  </si>
  <si>
    <t>059135093</t>
  </si>
  <si>
    <t>Vox  [Texte imprimé]</t>
  </si>
  <si>
    <t>120632705</t>
  </si>
  <si>
    <t>Current Alzheimer research  [Texte imprimé]</t>
  </si>
  <si>
    <t>201863790</t>
  </si>
  <si>
    <t>Le Bon climat  : journal de Menton</t>
  </si>
  <si>
    <t>036261661</t>
  </si>
  <si>
    <t>Fisheries research station. Contribution</t>
  </si>
  <si>
    <t>040130770</t>
  </si>
  <si>
    <t>FMS. Fédération monégasque de ski  [Texte imprimé]</t>
  </si>
  <si>
    <t>050926764</t>
  </si>
  <si>
    <t>Monthly newsletter  [Texte imprimé]  / Navy Department</t>
  </si>
  <si>
    <t>13662524X</t>
  </si>
  <si>
    <t>L'Étincelle de Nice et des Alpes-Maritimes  [Texte imprimé]</t>
  </si>
  <si>
    <t>036994723</t>
  </si>
  <si>
    <t>Journal of the Cactus and Succulent Society of America  [Texte imprimé]</t>
  </si>
  <si>
    <t>037753738</t>
  </si>
  <si>
    <t>Canadian aquaculture bulletin  [Texte imprimé]</t>
  </si>
  <si>
    <t>039034658</t>
  </si>
  <si>
    <t>L'Information immobilière de Provence  [Texte imprimé]</t>
  </si>
  <si>
    <t>039378209</t>
  </si>
  <si>
    <t>039731480</t>
  </si>
  <si>
    <t>De Brugse cactuspost  [Texte imprimé]</t>
  </si>
  <si>
    <t>055779093</t>
  </si>
  <si>
    <t>Statistique du bagne de Toulon  [Texte imprimé]</t>
  </si>
  <si>
    <t>038799456</t>
  </si>
  <si>
    <t>Bulletin  [Texte imprimé]  / Commissariat à la lutte contre le chômage</t>
  </si>
  <si>
    <t>036306649</t>
  </si>
  <si>
    <t>Journal of marine science  [Texte imprimé]</t>
  </si>
  <si>
    <t>03691813X</t>
  </si>
  <si>
    <t>Proceedings of the Challenger Society  [Texte imprimé]</t>
  </si>
  <si>
    <t>036380814</t>
  </si>
  <si>
    <t>Poissons du Québec  [Texte imprimé]</t>
  </si>
  <si>
    <t>03641025X</t>
  </si>
  <si>
    <t>Rijksinstituut voor visserij onderzoek. Reprints</t>
  </si>
  <si>
    <t>036470961</t>
  </si>
  <si>
    <t>University of Delaware. Marine laboratories. Contributions</t>
  </si>
  <si>
    <t>036471046</t>
  </si>
  <si>
    <t>University of Göteborg, Marine geological laboratory [Contributions]</t>
  </si>
  <si>
    <t>036371084</t>
  </si>
  <si>
    <t>Osservatorio geofisico sperimentale. Contributi</t>
  </si>
  <si>
    <t>03636942X</t>
  </si>
  <si>
    <t>Oregon state university. Department of oceanography. Annual report</t>
  </si>
  <si>
    <t>040033031</t>
  </si>
  <si>
    <t>060885102</t>
  </si>
  <si>
    <t>NICE-Archives Départementales</t>
  </si>
  <si>
    <t>43.6877482</t>
  </si>
  <si>
    <t>7.2113605</t>
  </si>
  <si>
    <t>Symival actualités  [Texte imprimé]</t>
  </si>
  <si>
    <t>156155125</t>
  </si>
  <si>
    <t>Le Progrès social des Alpes-Maritimes  [Texte imprimé]</t>
  </si>
  <si>
    <t>114705321</t>
  </si>
  <si>
    <t>Azur informations  [Texte imprimé]</t>
  </si>
  <si>
    <t>03636522X</t>
  </si>
  <si>
    <t>Oceanographic ship operating schedules  [Texte imprimé]</t>
  </si>
  <si>
    <t>036365300</t>
  </si>
  <si>
    <t>Oceanography coordinating committee newsletter  [Texte imprimé]</t>
  </si>
  <si>
    <t>038024675</t>
  </si>
  <si>
    <t>GOFS news  [Texte imprimé]</t>
  </si>
  <si>
    <t>038024683</t>
  </si>
  <si>
    <t>WoceNotes  [Texte imprimé]</t>
  </si>
  <si>
    <t>039034585</t>
  </si>
  <si>
    <t>Les Grandes affiches du littoral  [Texte imprimé]</t>
  </si>
  <si>
    <t>039066614</t>
  </si>
  <si>
    <t>Bulletin  [Texte imprimé]  / Syndicat des Communes du Littoral pour la protection, l'aménagement et la mise en valeur de la Côte d'Azur varoise</t>
  </si>
  <si>
    <t>039095886</t>
  </si>
  <si>
    <t>Almanach du philatéliste  [Texte imprimé]</t>
  </si>
  <si>
    <t>039095908</t>
  </si>
  <si>
    <t>Actualités de la quinzaine  [Texte imprimé]  / Chambre de commerce et d'industrie de Toulon et du Var</t>
  </si>
  <si>
    <t>039113434</t>
  </si>
  <si>
    <t>La Revue artistique, littéraire, commerciale et d'annonces  [Texte imprimé]</t>
  </si>
  <si>
    <t>039113396</t>
  </si>
  <si>
    <t>Le Tam-tam  [Texte imprimé]</t>
  </si>
  <si>
    <t>039113531</t>
  </si>
  <si>
    <t>La Provence héroïque et mutualiste  [Texte imprimé]</t>
  </si>
  <si>
    <t>039113477</t>
  </si>
  <si>
    <t>Revue de Cannes  [Texte imprimé]  : Littéraire, scientifique, maritime, commerciale, agricole et d'annonces</t>
  </si>
  <si>
    <t>039127877</t>
  </si>
  <si>
    <t>060695201</t>
  </si>
  <si>
    <t>GRASSE-Musée Intern Parfumerie</t>
  </si>
  <si>
    <t>43.6582879</t>
  </si>
  <si>
    <t>6.9219354</t>
  </si>
  <si>
    <t>Dragoco-Report  [Texte imprimé]</t>
  </si>
  <si>
    <t>040132064</t>
  </si>
  <si>
    <t>Bulletin d'information de l'Amicale des donneurs de sang  [Texte imprimé]</t>
  </si>
  <si>
    <t>115206086</t>
  </si>
  <si>
    <t>Channels  [Texte imprimé]</t>
  </si>
  <si>
    <t>135949297</t>
  </si>
  <si>
    <t>L'Actualité  [Texte imprimé]</t>
  </si>
  <si>
    <t>037656058</t>
  </si>
  <si>
    <t>Hybrid circuit technology  [Texte imprimé]</t>
  </si>
  <si>
    <t>039034968</t>
  </si>
  <si>
    <t>Bulletin trimestriel du Cyclo-Touring-Club-varois  [Texte imprimé]</t>
  </si>
  <si>
    <t>040090531</t>
  </si>
  <si>
    <t>Liste des acquisitions  [Texte imprimé]  / Service historique de la marine, Centre de documentation et de recherche de la IIIème région maritime, Bibliothèque</t>
  </si>
  <si>
    <t>137891482</t>
  </si>
  <si>
    <t>La Lanterne grassoise  [Texte imprimé]</t>
  </si>
  <si>
    <t>04487703X</t>
  </si>
  <si>
    <t>Katalog der Automobil-Revue  [Texte imprimé]</t>
  </si>
  <si>
    <t>037383930</t>
  </si>
  <si>
    <t>Polychaeta  [Texte imprimé]</t>
  </si>
  <si>
    <t>03863242X</t>
  </si>
  <si>
    <t>Note de conjoncture  [Texte imprimé]  / Chambre de commerce et d'industrie de Toulon et du Var</t>
  </si>
  <si>
    <t>039989879</t>
  </si>
  <si>
    <t>09848138X</t>
  </si>
  <si>
    <t>Euphorbia world  [Texte imprimé]  : Journal of the international euphorbia society</t>
  </si>
  <si>
    <t>037127675</t>
  </si>
  <si>
    <t>Bulletin religieux du diocese de monaco  [Texte imprimé]</t>
  </si>
  <si>
    <t>039078183</t>
  </si>
  <si>
    <t>The Navy list  [Texte imprimé]</t>
  </si>
  <si>
    <t>044691580</t>
  </si>
  <si>
    <t>The Haworthia society newsletter  [Texte imprimé]</t>
  </si>
  <si>
    <t>156131943</t>
  </si>
  <si>
    <t>Nice-revue  [Texte imprimé]</t>
  </si>
  <si>
    <t>037950479</t>
  </si>
  <si>
    <t>Revue ludographique de Monte-Carlo  [Texte imprimé]</t>
  </si>
  <si>
    <t>039034291</t>
  </si>
  <si>
    <t>La Gazette toulonnaise politique &amp; littéraire  [Texte imprimé]</t>
  </si>
  <si>
    <t>040133613</t>
  </si>
  <si>
    <t>Nouvelles de la Fédération patronale monégasque  [Texte imprimé]</t>
  </si>
  <si>
    <t>109275454</t>
  </si>
  <si>
    <t>Guide-annuaire de Cannes et de l'arrondissement de Grasse  [Texte imprimé]</t>
  </si>
  <si>
    <t>109275837</t>
  </si>
  <si>
    <t>Le Jeu de dames  [Texte imprimé]</t>
  </si>
  <si>
    <t>116911697</t>
  </si>
  <si>
    <t>060882303</t>
  </si>
  <si>
    <t>NICE-Museum Hist.Naturelle</t>
  </si>
  <si>
    <t>43.7017477</t>
  </si>
  <si>
    <t>7.279483399999999</t>
  </si>
  <si>
    <t>055389856</t>
  </si>
  <si>
    <t>L'Appel du vieux Nice  [Texte imprimé]  : échos de nos ruelles et de nos clochers</t>
  </si>
  <si>
    <t>124278337</t>
  </si>
  <si>
    <t>Le Ciapecan  [Texte imprimé]</t>
  </si>
  <si>
    <t>037206060</t>
  </si>
  <si>
    <t>Mitteilungen der Gesellschaft Schweizer Kakteen-Freunde  [Texte imprimé]</t>
  </si>
  <si>
    <t>037839268</t>
  </si>
  <si>
    <t>040175375</t>
  </si>
  <si>
    <t>Bulletin  [Texte imprimé]  / APMES</t>
  </si>
  <si>
    <t>113830378</t>
  </si>
  <si>
    <t>PSM3  [Texte imprimé]</t>
  </si>
  <si>
    <t>036309397</t>
  </si>
  <si>
    <t>Karger-Gazette  [Texte imprimé]</t>
  </si>
  <si>
    <t>036491667</t>
  </si>
  <si>
    <t>Zoological station, Tvärmine. [Contributions]</t>
  </si>
  <si>
    <t>039577597</t>
  </si>
  <si>
    <t>Gyobyō kenkyū  [Texte imprimé]</t>
  </si>
  <si>
    <t>040139905</t>
  </si>
  <si>
    <t>Bulletin de liaison  [Texte imprimé]  / Association européenne des sciences et techniques de la mer</t>
  </si>
  <si>
    <t>050937448</t>
  </si>
  <si>
    <t>Le Programme  [Texte imprimé]  : Journal des théâtres de Versailles</t>
  </si>
  <si>
    <t>114207135</t>
  </si>
  <si>
    <t>060845301</t>
  </si>
  <si>
    <t>MOUANS SARTOUX-CRD Occitane</t>
  </si>
  <si>
    <t>43.6188186</t>
  </si>
  <si>
    <t>6.972011600000001</t>
  </si>
  <si>
    <t>L'Action méridionale  [Texte imprimé]  : revue fédérale de littérature, d'art, de sociologie et d'économie politique</t>
  </si>
  <si>
    <t>14066050X</t>
  </si>
  <si>
    <t>Le Réveil des Alpes-Maritimes  [Texte imprimé]</t>
  </si>
  <si>
    <t>036866598</t>
  </si>
  <si>
    <t>L'Electeur  [Texte imprimé]</t>
  </si>
  <si>
    <t>04016229X</t>
  </si>
  <si>
    <t>The Ingens bulletin  [Texte imprimé]</t>
  </si>
  <si>
    <t>050921673</t>
  </si>
  <si>
    <t>Bulletin trimestriel d'information  [Texte imprimé]  / CIRAM Toulon</t>
  </si>
  <si>
    <t>037202472</t>
  </si>
  <si>
    <t>060042306</t>
  </si>
  <si>
    <t>ANTIBES-INRA-UMR R.O.S.E.</t>
  </si>
  <si>
    <t>43.5661292</t>
  </si>
  <si>
    <t>7.1249398</t>
  </si>
  <si>
    <t>Nematology news  [Texte imprimé]</t>
  </si>
  <si>
    <t>038989239</t>
  </si>
  <si>
    <t>Le Lumignon de Beausoleil  [Texte imprimé]</t>
  </si>
  <si>
    <t>036265004</t>
  </si>
  <si>
    <t>Froskmannatíðindi  [Texte imprimé]</t>
  </si>
  <si>
    <t>040304159</t>
  </si>
  <si>
    <t>Coast &amp; sea  [Texte imprimé]</t>
  </si>
  <si>
    <t>039051684</t>
  </si>
  <si>
    <t>Toulon Journal  [Texte imprimé]</t>
  </si>
  <si>
    <t>03999323X</t>
  </si>
  <si>
    <t>Surface mount technology  [Texte imprimé]</t>
  </si>
  <si>
    <t>040086380</t>
  </si>
  <si>
    <t>Navint  [Texte imprimé]</t>
  </si>
  <si>
    <t>140300619</t>
  </si>
  <si>
    <t>La Voix de Nice et des Alpes-Maritimes  [Texte imprimé]</t>
  </si>
  <si>
    <t>039023087</t>
  </si>
  <si>
    <t>Voix de Provence  [Texte imprimé]</t>
  </si>
  <si>
    <t>039078507</t>
  </si>
  <si>
    <t>Asclepiadaceae  [Texte imprimé]</t>
  </si>
  <si>
    <t>039094219</t>
  </si>
  <si>
    <t>060182301</t>
  </si>
  <si>
    <t>ANTIBES-INRA-Horticulture</t>
  </si>
  <si>
    <t>43.6156756</t>
  </si>
  <si>
    <t>7.084510099999999</t>
  </si>
  <si>
    <t>CA selects. Solar energy  [Texte imprimé]</t>
  </si>
  <si>
    <t>039598004</t>
  </si>
  <si>
    <t>Agricoltura e innovazione  [Texte imprimé]</t>
  </si>
  <si>
    <t>045047162</t>
  </si>
  <si>
    <t>Cactus y suculentas  [Texte imprimé]</t>
  </si>
  <si>
    <t>050926616</t>
  </si>
  <si>
    <t>Marine-Algérie  [Texte imprimé]</t>
  </si>
  <si>
    <t>050927132</t>
  </si>
  <si>
    <t>Revue mensuelle  [Texte imprimé]  : Organe de l'Union fraternelle des officiers en retraite des armées de terre et de mer</t>
  </si>
  <si>
    <t>137896492</t>
  </si>
  <si>
    <t>La Lutte sociale  [Texte imprimé]</t>
  </si>
  <si>
    <t>039204561</t>
  </si>
  <si>
    <t>Revista de inmersión, actividades subacuáticos y biología marina  [Texte imprimé]</t>
  </si>
  <si>
    <t>040130754</t>
  </si>
  <si>
    <t>La Lettre de M.C.  [Texte imprimé]</t>
  </si>
  <si>
    <t>151324115</t>
  </si>
  <si>
    <t>060885109</t>
  </si>
  <si>
    <t>NICE-Théâtre Photo. et Image</t>
  </si>
  <si>
    <t>43.6958659</t>
  </si>
  <si>
    <t>7.274715499999957</t>
  </si>
  <si>
    <t>Journal des galeries photo  [Texte imprimé]  / Direction des galeries photo FNAC</t>
  </si>
  <si>
    <t>140576894</t>
  </si>
  <si>
    <t>Le Sifflet de Nice  [Texte imprimé]</t>
  </si>
  <si>
    <t>03641056X</t>
  </si>
  <si>
    <t>Riviera dei fiori  [Texte imprimé]</t>
  </si>
  <si>
    <t>156139669</t>
  </si>
  <si>
    <t>Le Patriote niçois  [Texte imprimé]</t>
  </si>
  <si>
    <t>037127772</t>
  </si>
  <si>
    <t>Lycee albert 1e et cours secondaire de jeunes filles : distribution des prix  [Texte imprimé]</t>
  </si>
  <si>
    <t>124278582</t>
  </si>
  <si>
    <t>Nice bavard  [Texte imprimé]</t>
  </si>
  <si>
    <t>124278876</t>
  </si>
  <si>
    <t>Le Vampire de Nice  [Texte imprimé]</t>
  </si>
  <si>
    <t>183659724</t>
  </si>
  <si>
    <t>L'Alerte  [Texte imprimé]</t>
  </si>
  <si>
    <t>12840020X</t>
  </si>
  <si>
    <t>037396188</t>
  </si>
  <si>
    <t>Gyosen  [Texte imprimé]</t>
  </si>
  <si>
    <t>040022277</t>
  </si>
  <si>
    <t>Suisan no kenkyū  [Texte imprimé]</t>
  </si>
  <si>
    <t>109151895</t>
  </si>
  <si>
    <t>060046201</t>
  </si>
  <si>
    <t>ANTIBES-Mediath.A.Camus</t>
  </si>
  <si>
    <t>43.58041799999999</t>
  </si>
  <si>
    <t>7.125102</t>
  </si>
  <si>
    <t>Émergences  [Texte imprimé]  : le magazine de la Communauté d'Agglomération Sophia Antipolis</t>
  </si>
  <si>
    <t>137884168</t>
  </si>
  <si>
    <t>Journal de la Corniche  [Texte imprimé]</t>
  </si>
  <si>
    <t>039118509</t>
  </si>
  <si>
    <t>Almanach astronomique  [Texte imprimé]</t>
  </si>
  <si>
    <t>050921746</t>
  </si>
  <si>
    <t>All the world's aircraft  [Texte imprimé]</t>
  </si>
  <si>
    <t>137908180</t>
  </si>
  <si>
    <t>Nice select  [Texte imprimé]</t>
  </si>
  <si>
    <t>039034860</t>
  </si>
  <si>
    <t>Art et Soleil  [Texte imprimé]</t>
  </si>
  <si>
    <t>036365106</t>
  </si>
  <si>
    <t>Oceanic index  [Texte imprimé]</t>
  </si>
  <si>
    <t>039035034</t>
  </si>
  <si>
    <t>Journal-Programme Cronstadt Toulon  [Texte imprimé]</t>
  </si>
  <si>
    <t>050926667</t>
  </si>
  <si>
    <t>Merchant ships...  [Texte imprimé]</t>
  </si>
  <si>
    <t>040256898</t>
  </si>
  <si>
    <t>Avionics report  [Texte imprimé]</t>
  </si>
  <si>
    <t>183031008</t>
  </si>
  <si>
    <t>Bauhinia  [Texte imprimé]</t>
  </si>
  <si>
    <t>124278620</t>
  </si>
  <si>
    <t>Le Nouveau Figaro  [Texte imprimé]</t>
  </si>
  <si>
    <t>040131955</t>
  </si>
  <si>
    <t>Annuaire officiel du réseau téléphonique de Monaco  [Texte imprimé]</t>
  </si>
  <si>
    <t>039096009</t>
  </si>
  <si>
    <t>Le Farceur  [Texte imprimé]</t>
  </si>
  <si>
    <t>039731464</t>
  </si>
  <si>
    <t>Cactus  [Texte imprimé]</t>
  </si>
  <si>
    <t>039118584</t>
  </si>
  <si>
    <t>050926527</t>
  </si>
  <si>
    <t>Magazzino toscano  [Texte imprimé]</t>
  </si>
  <si>
    <t>191198463</t>
  </si>
  <si>
    <t>Nouvelles de Grasse  : bulletin semestriel d'information</t>
  </si>
  <si>
    <t>137900309</t>
  </si>
  <si>
    <t>La Mensoneghiera  [Texte imprimé]</t>
  </si>
  <si>
    <t>050926756</t>
  </si>
  <si>
    <t>The Sailors' home journal and the naval chronicle  [Texte imprimé]</t>
  </si>
  <si>
    <t>039205770</t>
  </si>
  <si>
    <t>Samaruc  [Texte imprimé]</t>
  </si>
  <si>
    <t>050921878</t>
  </si>
  <si>
    <t>Information  [Texte imprimé]  / Service presse information, Ministère des armées, Marine</t>
  </si>
  <si>
    <t>124278310</t>
  </si>
  <si>
    <t>La Basoche illustrée  [Texte imprimé]</t>
  </si>
  <si>
    <t>036940216</t>
  </si>
  <si>
    <t>The American perfumer  [Texte imprimé]</t>
  </si>
  <si>
    <t>039023117</t>
  </si>
  <si>
    <t>La Démocratie du Midi  [Texte imprimé]</t>
  </si>
  <si>
    <t>037271849</t>
  </si>
  <si>
    <t>Amies &amp; weapons  [Texte imprimé]</t>
  </si>
  <si>
    <t>040079252</t>
  </si>
  <si>
    <t>Sussex cactus &amp; succulent year book  [Texte imprimé]</t>
  </si>
  <si>
    <t>037950495</t>
  </si>
  <si>
    <t>Annuaire  [Texte imprimé]  / Automobile-Club de Monaco</t>
  </si>
  <si>
    <t>037950525</t>
  </si>
  <si>
    <t>Bulletin  [Texte imprimé]  / Club alpin de Monaco</t>
  </si>
  <si>
    <t>038339013</t>
  </si>
  <si>
    <t>Blätter für Sukkulentenkunde  [Texte imprimé]</t>
  </si>
  <si>
    <t>039155781</t>
  </si>
  <si>
    <t>Nematology newsletter  [Texte imprimé]</t>
  </si>
  <si>
    <t>036279854</t>
  </si>
  <si>
    <t>Horace Lamb centre for oceanographical research. Survey paper  [Texte imprimé]</t>
  </si>
  <si>
    <t>036319007</t>
  </si>
  <si>
    <t>The Lerner marine laboratory. Collected reprints</t>
  </si>
  <si>
    <t>037948725</t>
  </si>
  <si>
    <t>Bulletin d'information de l'Association des parents d'élèves des écoles de Monaco  [Texte imprimé]</t>
  </si>
  <si>
    <t>036363928</t>
  </si>
  <si>
    <t>Review  [Texte imprimé]  / New Zealand Marine Sciences Society</t>
  </si>
  <si>
    <t>037192159</t>
  </si>
  <si>
    <t>Cahier  [Texte imprimé]  / CEPAM</t>
  </si>
  <si>
    <t>136212891</t>
  </si>
  <si>
    <t>L'Avenir commercial des Alpes-Maritimes  [Texte imprimé]</t>
  </si>
  <si>
    <t>104804114</t>
  </si>
  <si>
    <t>Butlletí  [Texte imprimé]</t>
  </si>
  <si>
    <t>039577287</t>
  </si>
  <si>
    <t>Gekkan kansui  [Texte imprimé]</t>
  </si>
  <si>
    <t>039877027</t>
  </si>
  <si>
    <t>Liste des acquisitions  [Texte imprimé]  / Anthropologie maritime</t>
  </si>
  <si>
    <t>03667334X</t>
  </si>
  <si>
    <t>ASRAN  [Texte imprimé]</t>
  </si>
  <si>
    <t>038601044</t>
  </si>
  <si>
    <t>Fiche d'information et bulletin de liaison de l'AOEF  [Texte imprimé]</t>
  </si>
  <si>
    <t>038899574</t>
  </si>
  <si>
    <t>Biology digest  [Texte imprimé]</t>
  </si>
  <si>
    <t>076007790</t>
  </si>
  <si>
    <t>Mammillaria  [Texte imprimé]</t>
  </si>
  <si>
    <t>036299766</t>
  </si>
  <si>
    <t>Istituto di fisica. Programma Oceanoboe. Nota tecnica.</t>
  </si>
  <si>
    <t>036353736</t>
  </si>
  <si>
    <t>National oceanographic instrumentation center. Tests in progress sheet</t>
  </si>
  <si>
    <t>038739151</t>
  </si>
  <si>
    <t>Almanach ardéchois  [Texte imprimé]</t>
  </si>
  <si>
    <t>039113655</t>
  </si>
  <si>
    <t>L'Indicateur universel  [Texte imprimé]</t>
  </si>
  <si>
    <t>039113809</t>
  </si>
  <si>
    <t>La Nouvelle Nice  [Texte imprimé]</t>
  </si>
  <si>
    <t>039113795</t>
  </si>
  <si>
    <t>La Nouvelle législation française ou recueil des loix. Municipalités et assemblées administratives  [Texte imprimé]</t>
  </si>
  <si>
    <t>039874826</t>
  </si>
  <si>
    <t>Statistiques  [Texte imprimé]  / Comité professionnel du pétrole. PBC</t>
  </si>
  <si>
    <t>048887005</t>
  </si>
  <si>
    <t>Midi marine  [Texte imprimé]</t>
  </si>
  <si>
    <t>136620426</t>
  </si>
  <si>
    <t>L'Économie franchiste  [Texte imprimé]</t>
  </si>
  <si>
    <t>040078167</t>
  </si>
  <si>
    <t>International defence newsletter  [Texte imprimé]</t>
  </si>
  <si>
    <t>14031475X</t>
  </si>
  <si>
    <t>Wissenschaftliche Mitteilungen  [Texte imprimé]</t>
  </si>
  <si>
    <t>036389862</t>
  </si>
  <si>
    <t>Pubblicazioni dell'Istituto di biologia animale e della Stazione idrobiologica, Chioggia, dell'Università di Padova  [Texte imprimé]</t>
  </si>
  <si>
    <t>036225436</t>
  </si>
  <si>
    <t>Summary of cruise  [Texte imprimé]  / Commonwealth scientific and industrial research organization. Division of fisheries and oceanography</t>
  </si>
  <si>
    <t>039074730</t>
  </si>
  <si>
    <t>International newsletter  [Texte imprimé]  / Sempervivum Society</t>
  </si>
  <si>
    <t>039140881</t>
  </si>
  <si>
    <t>Annuaire  [Texte imprimé]  / Cercle nautique de Cannes</t>
  </si>
  <si>
    <t>039313778</t>
  </si>
  <si>
    <t>060884001</t>
  </si>
  <si>
    <t>NICE-Lycée hôtelier P.Augier</t>
  </si>
  <si>
    <t>43.668306</t>
  </si>
  <si>
    <t>7.21230</t>
  </si>
  <si>
    <t>TTG. Travel trade gazette. Europa  [Texte imprimé]</t>
  </si>
  <si>
    <t>055390862</t>
  </si>
  <si>
    <t>Initiatives  [Texte imprimé]  : bulletin trimestriel du syndicat d'initiative de Nice</t>
  </si>
  <si>
    <t>192377558</t>
  </si>
  <si>
    <t>060885215</t>
  </si>
  <si>
    <t>NICE-Musée des Beaux-Arts</t>
  </si>
  <si>
    <t>43.694748</t>
  </si>
  <si>
    <t>7.2491359</t>
  </si>
  <si>
    <t>Le Miroir du livre d'art</t>
  </si>
  <si>
    <t>05092172X</t>
  </si>
  <si>
    <t>Bulletin trimestriel d'instruction  [Texte imprimé]  / CIRAM. Toulon</t>
  </si>
  <si>
    <t>114236194</t>
  </si>
  <si>
    <t>L'Année félibréenne  [Texte imprimé]  : ... supplément du Catalogue félibréen et de la Bibliographie mistralienne  / par Edmond Lefèvre</t>
  </si>
  <si>
    <t>039741427</t>
  </si>
  <si>
    <t>Larviculture &amp; artemia newsletter  [Texte imprimé]</t>
  </si>
  <si>
    <t>158400186</t>
  </si>
  <si>
    <t>Bulletin Obregonia  [Texte imprimé]</t>
  </si>
  <si>
    <t>040035603</t>
  </si>
  <si>
    <t>Toulon informations  [Texte imprimé]</t>
  </si>
  <si>
    <t>044739869</t>
  </si>
  <si>
    <t>Mammillaria postscripts  [Texte imprimé]</t>
  </si>
  <si>
    <t>055385559</t>
  </si>
  <si>
    <t>Le Patriote soir de Nice et du Sud-Est  [Texte imprimé]</t>
  </si>
  <si>
    <t>03688345X</t>
  </si>
  <si>
    <t>Data book - Optoelectronics  [Texte imprimé]</t>
  </si>
  <si>
    <t>036981710</t>
  </si>
  <si>
    <t>Auszüge aus den europäischen Patentanmeldungen  Teil II, Elektrotechnik, Physik, Feinmechanik und Optik, Akustik  [Texte imprimé]</t>
  </si>
  <si>
    <t>039113213</t>
  </si>
  <si>
    <t>L'Écho rouennais  [Texte imprimé]</t>
  </si>
  <si>
    <t>04009832X</t>
  </si>
  <si>
    <t>Occasional publication  [Texte imprimé]  / University Marine Biological Station</t>
  </si>
  <si>
    <t>058796827</t>
  </si>
  <si>
    <t>Bollettino dell'Associazione fra oriundi savoiardi e nizzardi italiani  [Texte imprimé]</t>
  </si>
  <si>
    <t>039612929</t>
  </si>
  <si>
    <t>Technical Report  [Texte imprimé]  / Chesapeake Bay Institute, the Johns Hopkins University</t>
  </si>
  <si>
    <t>039409694</t>
  </si>
  <si>
    <t>Reeflections  [Texte imprimé]</t>
  </si>
  <si>
    <t>039553566</t>
  </si>
  <si>
    <t>060882301</t>
  </si>
  <si>
    <t>NICE-C.Et.Biol.Océanographique</t>
  </si>
  <si>
    <t>43.663739</t>
  </si>
  <si>
    <t>7.14882</t>
  </si>
  <si>
    <t>CYP. Revista de contaminación y prevención  [Texte imprimé]</t>
  </si>
  <si>
    <t>040615820</t>
  </si>
  <si>
    <t>Nouvelles acquisitions de la bibliothèque du Service historique de la marine à Vincennes  [Texte imprimé]</t>
  </si>
  <si>
    <t>055053297</t>
  </si>
  <si>
    <t>La Socca  [Texte imprimé]</t>
  </si>
  <si>
    <t>040137384</t>
  </si>
  <si>
    <t>Investors World  [Texte imprimé]</t>
  </si>
  <si>
    <t>040264424</t>
  </si>
  <si>
    <t>SeaScope  [Texte imprimé]</t>
  </si>
  <si>
    <t>140298444</t>
  </si>
  <si>
    <t>La Vie élégante à Nice  [Texte imprimé]</t>
  </si>
  <si>
    <t>036279811</t>
  </si>
  <si>
    <t>Horace Lamb centre for oceanographical research. Annual report  [Texte imprimé]</t>
  </si>
  <si>
    <t>037403575</t>
  </si>
  <si>
    <t>Indice per i beni culturali del territorio ligure  [Texte imprimé]</t>
  </si>
  <si>
    <t>038263408</t>
  </si>
  <si>
    <t>Results of oceanographical observations  [Texte imprimé]</t>
  </si>
  <si>
    <t>048881910</t>
  </si>
  <si>
    <t>Les Annales maritimes  [Texte imprimé]</t>
  </si>
  <si>
    <t>075842696</t>
  </si>
  <si>
    <t>Recueil des actes administratifs du service départemental d'incendie et de secours des Alpes-Maritimes  [Texte imprimé]</t>
  </si>
  <si>
    <t>114248095</t>
  </si>
  <si>
    <t>Actualités  [Texte imprimé]  : bulletin culturel d'information</t>
  </si>
  <si>
    <t>037452606</t>
  </si>
  <si>
    <t>Quarterly newsletter  [Texte imprimé]  / Aloe, Cactus and Succulent Society of Rhodesia</t>
  </si>
  <si>
    <t>039113647</t>
  </si>
  <si>
    <t>La Nouvelle législation française ou recueil des loix. Ordre judiciaire et police générale</t>
  </si>
  <si>
    <t>039113582</t>
  </si>
  <si>
    <t>1930  [Texte imprimé]</t>
  </si>
  <si>
    <t>039118428</t>
  </si>
  <si>
    <t>L'Union de Cannes et Grasse  [Texte imprimé]</t>
  </si>
  <si>
    <t>039584518</t>
  </si>
  <si>
    <t>Acquario  [Texte imprimé]</t>
  </si>
  <si>
    <t>036279870</t>
  </si>
  <si>
    <t>Horace Lamb institute of oceanography  [Texte imprimé]</t>
  </si>
  <si>
    <t>036778508</t>
  </si>
  <si>
    <t>Cactaceae consensus initiatives  [Texte imprimé]</t>
  </si>
  <si>
    <t>038030691</t>
  </si>
  <si>
    <t>U.S. GOFS report  [Texte imprimé]</t>
  </si>
  <si>
    <t>039804933</t>
  </si>
  <si>
    <t>Drum and croaker  [Texte imprimé]</t>
  </si>
  <si>
    <t>04504757X</t>
  </si>
  <si>
    <t>Calyx  [Texte imprimé]</t>
  </si>
  <si>
    <t>039140547</t>
  </si>
  <si>
    <t>Cave canem !  [Texte imprimé]</t>
  </si>
  <si>
    <t>040198332</t>
  </si>
  <si>
    <t>Bulletin trimestriel  [Texte imprimé]  / Société scientifique et littéraire de Cannes et de l'arrondissement de Grasse</t>
  </si>
  <si>
    <t>045116105</t>
  </si>
  <si>
    <t>Nice-matin, le Var  [Texte imprimé]</t>
  </si>
  <si>
    <t>150867875</t>
  </si>
  <si>
    <t>International photography  [Texte imprimé]  / Professional photography division of Eastman Kodak Company</t>
  </si>
  <si>
    <t>037483455</t>
  </si>
  <si>
    <t>Annuario ufficiale della Regia Marina  [Texte imprimé]</t>
  </si>
  <si>
    <t>039022927</t>
  </si>
  <si>
    <t>Cours et conférences  [Texte imprimé]  / Centre Universitaire Méditerranéen</t>
  </si>
  <si>
    <t>140209689</t>
  </si>
  <si>
    <t>La Saison  [Texte imprimé]</t>
  </si>
  <si>
    <t>037919415</t>
  </si>
  <si>
    <t>Cactus journal  [Texte imprimé]</t>
  </si>
  <si>
    <t>039114015</t>
  </si>
  <si>
    <t>Le Patriote soir  [Texte imprimé]</t>
  </si>
  <si>
    <t>192162209</t>
  </si>
  <si>
    <t>Il Mattino illustrato  [Texte imprimé]</t>
  </si>
  <si>
    <t>039354466</t>
  </si>
  <si>
    <t>Kumamoto Daigaku Rigakubu Fuzoku Aitsu Rinkai Jikkenjo gyōsekishū  [Texte imprimé]</t>
  </si>
  <si>
    <t>045047081</t>
  </si>
  <si>
    <t>Avonia  [Texte imprimé]  : Journal der Fachgesellschaft andere Sukkulenten</t>
  </si>
  <si>
    <t>036165352</t>
  </si>
  <si>
    <t>Alba  [Texte imprimé]</t>
  </si>
  <si>
    <t>037584820</t>
  </si>
  <si>
    <t>037823892</t>
  </si>
  <si>
    <t>Desert plant life  [Texte imprimé]</t>
  </si>
  <si>
    <t>039741923</t>
  </si>
  <si>
    <t>Tijdschrift voor liefhebbers van cactussen, vetplanten en kamerplanten  [Texte imprimé]</t>
  </si>
  <si>
    <t>104839848</t>
  </si>
  <si>
    <t>Riviera-Bijou  [Texte imprimé]  : Guide annuel illustré décrivant les stations de la Côte d'Azur...</t>
  </si>
  <si>
    <t>038378345</t>
  </si>
  <si>
    <t>Gekkan kakutasu kenkyū  [Texte imprimé]  = The Study of cacti :</t>
  </si>
  <si>
    <t>039732304</t>
  </si>
  <si>
    <t>Cactusvrienden  [Texte imprimé]</t>
  </si>
  <si>
    <t>036988227</t>
  </si>
  <si>
    <t>Boletin nakari  [Texte imprimé]</t>
  </si>
  <si>
    <t>048779385</t>
  </si>
  <si>
    <t>061522308</t>
  </si>
  <si>
    <t>SOPHIA/ANT.-Doc.Institut Eurecom</t>
  </si>
  <si>
    <t>Computer &amp; communications security reviews  [Texte imprimé]</t>
  </si>
  <si>
    <t>14065965X</t>
  </si>
  <si>
    <t>Le Réveil de la montagne  [Texte imprimé]</t>
  </si>
  <si>
    <t>037984926</t>
  </si>
  <si>
    <t>Monaco-cactus  [Texte imprimé]</t>
  </si>
  <si>
    <t>039065537</t>
  </si>
  <si>
    <t>Cronstadt Toulon  [Texte imprimé]</t>
  </si>
  <si>
    <t>036225398</t>
  </si>
  <si>
    <t>Cruise plan  [Texte imprimé]  / Commonwealth scientific and industrial research organization. Division of fisheries and oceanography</t>
  </si>
  <si>
    <t>036954802</t>
  </si>
  <si>
    <t>Kaktus og andre sukkulenter  [Texte imprimé]</t>
  </si>
  <si>
    <t>037207555</t>
  </si>
  <si>
    <t>International automobile parade  [Texte imprimé]</t>
  </si>
  <si>
    <t>037483382</t>
  </si>
  <si>
    <t>Atti e notizie  [Texte imprimé]  / Societa' dantesca italiana</t>
  </si>
  <si>
    <t>039034518</t>
  </si>
  <si>
    <t>L'Écho mondain  [Texte imprimé]</t>
  </si>
  <si>
    <t>039141365</t>
  </si>
  <si>
    <t>Annuaire de la marine marchande  [Texte imprimé]</t>
  </si>
  <si>
    <t>058264310</t>
  </si>
  <si>
    <t>The Journal  [Texte imprimé]</t>
  </si>
  <si>
    <t>038724790</t>
  </si>
  <si>
    <t>List of books received from the U.S.S.R. and translated books  [Texte imprimé]</t>
  </si>
  <si>
    <t>038748738</t>
  </si>
  <si>
    <t>La Marina italiana  [Texte imprimé]</t>
  </si>
  <si>
    <t>090212460</t>
  </si>
  <si>
    <t>Fauna entomológica de Portugal  [Texte imprimé]  / Sociedade portuguesa de entomologia</t>
  </si>
  <si>
    <t>037764330</t>
  </si>
  <si>
    <t>039066207</t>
  </si>
  <si>
    <t>Guide de Toulon Mondain et Pittoresque  [Texte imprimé]</t>
  </si>
  <si>
    <t>039140601</t>
  </si>
  <si>
    <t>La Jouino Prouvènço  [Texte imprimé]</t>
  </si>
  <si>
    <t>039347672</t>
  </si>
  <si>
    <t>Publication  [Texte imprimé]  / Baltic Marine Biologists</t>
  </si>
  <si>
    <t>040198642</t>
  </si>
  <si>
    <t>Bulletin municipal  [Texte imprimé]  / Mairie de Biot</t>
  </si>
  <si>
    <t>036463361</t>
  </si>
  <si>
    <t>U[nited] S[tates]. Coast guard. Oceanographic report</t>
  </si>
  <si>
    <t>039318885</t>
  </si>
  <si>
    <t>Urethanes technology  [Texte imprimé]</t>
  </si>
  <si>
    <t>039600289</t>
  </si>
  <si>
    <t>Piante grasse  [Texte imprimé]</t>
  </si>
  <si>
    <t>050921827</t>
  </si>
  <si>
    <t>Fiches d'information sur l'économie des pêches maritimes étrangères  [Texte imprimé]</t>
  </si>
  <si>
    <t>036665339</t>
  </si>
  <si>
    <t>Marine science communications  [Texte imprimé]</t>
  </si>
  <si>
    <t>038415992</t>
  </si>
  <si>
    <t>Gyogyô yôshokugyô seisan tôkei nenpô  [Texte imprimé]</t>
  </si>
  <si>
    <t>140581731</t>
  </si>
  <si>
    <t>La Tinée  [Texte imprimé]</t>
  </si>
  <si>
    <t>038719118</t>
  </si>
  <si>
    <t>Homes and gardens  [Texte imprimé]</t>
  </si>
  <si>
    <t>038902818</t>
  </si>
  <si>
    <t>038989123</t>
  </si>
  <si>
    <t>Le Communiste des Bouches-du-Rhône  [Texte imprimé]</t>
  </si>
  <si>
    <t>090237021</t>
  </si>
  <si>
    <t>In natura association  [Texte imprimé]  : bulletin trimestriel  : Faire comprendre la nature par l'art et la science</t>
  </si>
  <si>
    <t>036351318</t>
  </si>
  <si>
    <t>N.O.A.A. Publications list.</t>
  </si>
  <si>
    <t>037192620</t>
  </si>
  <si>
    <t>La Satire chinoise politique et sociale  [Texte imprimé]</t>
  </si>
  <si>
    <t>039052346</t>
  </si>
  <si>
    <t>L'Électeur  [Texte imprimé]</t>
  </si>
  <si>
    <t>037983997</t>
  </si>
  <si>
    <t>Bulletin  [Texte imprimé]  / International Committee for Natural History Museums</t>
  </si>
  <si>
    <t>038535289</t>
  </si>
  <si>
    <t>Lectures d'aujourd'hui  [Texte imprimé]</t>
  </si>
  <si>
    <t>039275078</t>
  </si>
  <si>
    <t>Reef encounter  [Texte imprimé]</t>
  </si>
  <si>
    <t>039968596</t>
  </si>
  <si>
    <t>Enquête mensuelle de fréquentation hôtelière. Région Provence-Alpes-Côte-d'Azur  [Texte imprimé]</t>
  </si>
  <si>
    <t>11449858X</t>
  </si>
  <si>
    <t>136600360</t>
  </si>
  <si>
    <t>Le Cri de Nice  [Texte imprimé]</t>
  </si>
  <si>
    <t>04025898X</t>
  </si>
  <si>
    <t>CommunicationsWeek international  [Texte imprimé]</t>
  </si>
  <si>
    <t>124278728</t>
  </si>
  <si>
    <t>Le Réveil de Nice  [Texte imprimé]</t>
  </si>
  <si>
    <t>039035018</t>
  </si>
  <si>
    <t>Journal des Fêtes du Carnaval...  [Texte imprimé]</t>
  </si>
  <si>
    <t>039052222</t>
  </si>
  <si>
    <t>Le Var sportif et artistique  [Texte imprimé]  : Organe des sociétés du département</t>
  </si>
  <si>
    <t>050921924</t>
  </si>
  <si>
    <t>La Revue maritime  [Texte imprimé]</t>
  </si>
  <si>
    <t>036177474</t>
  </si>
  <si>
    <t>Australian fisheries education  [Texte imprimé]</t>
  </si>
  <si>
    <t>136589995</t>
  </si>
  <si>
    <t>La Colonie étrangère  [Texte imprimé]</t>
  </si>
  <si>
    <t>040158136</t>
  </si>
  <si>
    <t>Journal of parametrics  [Texte imprimé]</t>
  </si>
  <si>
    <t>140575510</t>
  </si>
  <si>
    <t>La Semaine niçoise  [Texte imprimé]</t>
  </si>
  <si>
    <t>140587225</t>
  </si>
  <si>
    <t>La Trompette niçoise  [Texte imprimé]</t>
  </si>
  <si>
    <t>038416018</t>
  </si>
  <si>
    <t>Tavole per il calcolo delle rette d'altezza  [Texte imprimé]</t>
  </si>
  <si>
    <t>039051838</t>
  </si>
  <si>
    <t>Le Cri de Toulon  [Texte imprimé]</t>
  </si>
  <si>
    <t>040130738</t>
  </si>
  <si>
    <t>Monaco actualité  [Texte imprimé]</t>
  </si>
  <si>
    <t>039347435</t>
  </si>
  <si>
    <t>Hasselblad forum  [Texte imprimé]</t>
  </si>
  <si>
    <t>03841600X</t>
  </si>
  <si>
    <t>Gyogyô yôshokugyô gyokaku tôkei hyô  [Texte imprimé]</t>
  </si>
  <si>
    <t>055778836</t>
  </si>
  <si>
    <t>Statistique du commerce maritime du port de Rouen  [Texte imprimé]</t>
  </si>
  <si>
    <t>137887108</t>
  </si>
  <si>
    <t>Le Journal des décavés  [Texte imprimé]</t>
  </si>
  <si>
    <t>140292500</t>
  </si>
  <si>
    <t>L'Acomarin  [Texte imprimé]</t>
  </si>
  <si>
    <t>048881899</t>
  </si>
  <si>
    <t>Bulletin d'information du Génie maritime  [Texte imprimé]</t>
  </si>
  <si>
    <t>136049486</t>
  </si>
  <si>
    <t>Le Carillon de Nice  [Texte imprimé]</t>
  </si>
  <si>
    <t>036333948</t>
  </si>
  <si>
    <t>Meddelelser fra det Zoologiske museum  [Texte imprimé]</t>
  </si>
  <si>
    <t>037540998</t>
  </si>
  <si>
    <t>Prirodno-matematichki Fakultet Univerziteta u Beogradu. Geografski Zavod. Zbornik Radova  [Texte imprimé]</t>
  </si>
  <si>
    <t>038550156</t>
  </si>
  <si>
    <t>Annales du museum d'histoire naturelle de marseille</t>
  </si>
  <si>
    <t>039052176</t>
  </si>
  <si>
    <t>La Semaine judiciaire &amp; commerciale  [Texte imprimé]</t>
  </si>
  <si>
    <t>039095878</t>
  </si>
  <si>
    <t>Le Ménagier français  [Texte imprimé]</t>
  </si>
  <si>
    <t>190996374</t>
  </si>
  <si>
    <t>Grand Pavois  : revue de l'International sporting club de Cannes</t>
  </si>
  <si>
    <t>055390218</t>
  </si>
  <si>
    <t>Nouostre clouquié  [Texte imprimé]  : Bullletin de la Société du Gonfalon dite "Archiconfrérie de Ste-Croix"</t>
  </si>
  <si>
    <t>05092706X</t>
  </si>
  <si>
    <t>Situation de la flotte française de pêche  [Texte imprimé]</t>
  </si>
  <si>
    <t>045047138</t>
  </si>
  <si>
    <t>EPIG. Interessengemeinschaft Epiphytische Kakteen  [Texte imprimé]</t>
  </si>
  <si>
    <t>036419273</t>
  </si>
  <si>
    <t>Sea grant information bulletin.  [Texte imprimé]</t>
  </si>
  <si>
    <t>048886998</t>
  </si>
  <si>
    <t>Bulletin hebdomadaire  [Texte imprimé]  / 3e région maritime</t>
  </si>
  <si>
    <t>180497561</t>
  </si>
  <si>
    <t>038632438</t>
  </si>
  <si>
    <t>Panorama de l'actualité  [Texte imprimé]  / Chambre de commerce et d'industrie du Var</t>
  </si>
  <si>
    <t>038890585</t>
  </si>
  <si>
    <t>Dynamiques sociales  [Texte imprimé]</t>
  </si>
  <si>
    <t>050921800</t>
  </si>
  <si>
    <t>Engineering directory  [Texte imprimé]</t>
  </si>
  <si>
    <t>124278825</t>
  </si>
  <si>
    <t>Le Soleil de Nice  [Texte imprimé]</t>
  </si>
  <si>
    <t>036418668</t>
  </si>
  <si>
    <t>Scientific results of the Brategg expedition, 1947-48</t>
  </si>
  <si>
    <t>040079090</t>
  </si>
  <si>
    <t>COI. Countertrade and offset intelligence  [Texte imprimé]</t>
  </si>
  <si>
    <t>136618723</t>
  </si>
  <si>
    <t>L'Eclair de Nice et des Alpes-Maritimes  [Texte imprimé]</t>
  </si>
  <si>
    <t>050923315</t>
  </si>
  <si>
    <t>Revue bretonne et maritime  [Texte imprimé]</t>
  </si>
  <si>
    <t>03903478X</t>
  </si>
  <si>
    <t>Affiches, annonces et avis divers de la ville de Toulon  [Texte imprimé]</t>
  </si>
  <si>
    <t>037950584</t>
  </si>
  <si>
    <t>L'Eveil démocratique de Monaco  [Texte imprimé]</t>
  </si>
  <si>
    <t>039034151</t>
  </si>
  <si>
    <t>L'Électeur  [Texte imprimé]  : Organe du Comité républicain, démocratique d'intérêt local</t>
  </si>
  <si>
    <t>038020041</t>
  </si>
  <si>
    <t>International electronic design  [Texte imprimé]</t>
  </si>
  <si>
    <t>038775301</t>
  </si>
  <si>
    <t>Le Messager des Alpes-maritimes  [Texte imprimé]</t>
  </si>
  <si>
    <t>044691572</t>
  </si>
  <si>
    <t>The Journal of the Sempervivum Society  [Texte imprimé]</t>
  </si>
  <si>
    <t>136611451</t>
  </si>
  <si>
    <t>L'Echo de Castellar  [Texte imprimé]</t>
  </si>
  <si>
    <t>040269264</t>
  </si>
  <si>
    <t>Annual report  [Texte imprimé]  / Bigelow Laboratory for Ocean Sciences</t>
  </si>
  <si>
    <t>050926659</t>
  </si>
  <si>
    <t>Mémorial des travaux hydrauliques de la marine  [Texte imprimé]</t>
  </si>
  <si>
    <t>13621455X</t>
  </si>
  <si>
    <t>L'Avenir de Nice et du Sud-Est  [Texte imprimé]</t>
  </si>
  <si>
    <t>050921762</t>
  </si>
  <si>
    <t>Diffusion des informations techniques  [Texte imprimé]</t>
  </si>
  <si>
    <t>136607667</t>
  </si>
  <si>
    <t>La Dépêche de Nice  [Texte imprimé]</t>
  </si>
  <si>
    <t>191197661</t>
  </si>
  <si>
    <t>Chambre syndicale de la Propriété Bâtie de la région de Grasse affiliée à l'Union de la Propriété Bâtie de France  : bulletin trimestriel</t>
  </si>
  <si>
    <t>187258767</t>
  </si>
  <si>
    <t>Le Petit Grassois  [Ressource électronique]</t>
  </si>
  <si>
    <t>039113825</t>
  </si>
  <si>
    <t>Interservices - Personnel municipal  [Texte imprimé]</t>
  </si>
  <si>
    <t>092972071</t>
  </si>
  <si>
    <t>Sunset  [Texte imprimé]</t>
  </si>
  <si>
    <t>140650830</t>
  </si>
  <si>
    <t>Le Ralliement  [Texte imprimé]</t>
  </si>
  <si>
    <t>050926748</t>
  </si>
  <si>
    <t>The United services and empire review  [Texte imprimé]</t>
  </si>
  <si>
    <t>140581650</t>
  </si>
  <si>
    <t>Les Théâtres de Nice  [Texte imprimé]</t>
  </si>
  <si>
    <t>187259054</t>
  </si>
  <si>
    <t>Le Progrès de Grasse  [Ressource électronique]</t>
  </si>
  <si>
    <t>048884251</t>
  </si>
  <si>
    <t>Annuario  [Texte imprimé]  / Istituto universitario navale Napoli</t>
  </si>
  <si>
    <t>039023036</t>
  </si>
  <si>
    <t>L'Éclaireur de la Méditerranée  [Texte imprimé]</t>
  </si>
  <si>
    <t>05093712X</t>
  </si>
  <si>
    <t>Le Consommateur  [Texte imprimé]</t>
  </si>
  <si>
    <t>124278809</t>
  </si>
  <si>
    <t>La Situation de Nice et des Alpes-Maritimes  [Texte imprimé]</t>
  </si>
  <si>
    <t>187259143</t>
  </si>
  <si>
    <t>Le Progrès provençal  [Ressource électronique]</t>
  </si>
  <si>
    <t>037741020</t>
  </si>
  <si>
    <t>Anacampseros : the Australian national cactus and succulent journal  [Texte imprimé]</t>
  </si>
  <si>
    <t>037824414</t>
  </si>
  <si>
    <t>BIOSIS previews memo  [Texte imprimé]</t>
  </si>
  <si>
    <t>037824392</t>
  </si>
  <si>
    <t>U.S. WOCE planning report  [Texte imprimé]</t>
  </si>
  <si>
    <t>038897458</t>
  </si>
  <si>
    <t>Industrial fishery products. Market review and outlook  [Texte imprimé]</t>
  </si>
  <si>
    <t>040139514</t>
  </si>
  <si>
    <t>Coil winding international  [Texte imprimé]</t>
  </si>
  <si>
    <t>037983180</t>
  </si>
  <si>
    <t>Iraqi journal of marine science  [Texte imprimé]</t>
  </si>
  <si>
    <t>040130851</t>
  </si>
  <si>
    <t>ACM  [Texte imprimé]  : revue officielle de l'automobile club de Monaco</t>
  </si>
  <si>
    <t>037948776</t>
  </si>
  <si>
    <t>L'Echo monégasque  [Texte imprimé]</t>
  </si>
  <si>
    <t>039035395</t>
  </si>
  <si>
    <t>Oeuvres &amp; créations du petit Polyte  [Texte imprimé]</t>
  </si>
  <si>
    <t>03914139X</t>
  </si>
  <si>
    <t>Annuaire des administrateurs civils  [Texte imprimé]</t>
  </si>
  <si>
    <t>037396331</t>
  </si>
  <si>
    <t>Marin pabirion  [Texte imprimé]</t>
  </si>
  <si>
    <t>037787381</t>
  </si>
  <si>
    <t>Świat Kaktusów  [Texte imprimé]</t>
  </si>
  <si>
    <t>040192695</t>
  </si>
  <si>
    <t>Quepo  [Texte imprimé]</t>
  </si>
  <si>
    <t>140129367</t>
  </si>
  <si>
    <t>830616201</t>
  </si>
  <si>
    <t>FREJUS-Médiathèque Villa-Mar</t>
  </si>
  <si>
    <t>Playstation le magazine officiel  [Texte imprimé]</t>
  </si>
  <si>
    <t>198106335</t>
  </si>
  <si>
    <t>Gazette des étrangers  : petit courrier de Nice</t>
  </si>
  <si>
    <t>039023362</t>
  </si>
  <si>
    <t>La Semaine politique et sociale  [Texte imprimé]</t>
  </si>
  <si>
    <t>039140857</t>
  </si>
  <si>
    <t>Affiches, annonces et avis divers de la ville de Grasse  [Texte imprimé]</t>
  </si>
  <si>
    <t>038427222</t>
  </si>
  <si>
    <t>Blühende Sukkulenten  [Texte imprimé]</t>
  </si>
  <si>
    <t>03842729X</t>
  </si>
  <si>
    <t>Beiträge zur Sukkulentenkunde und-pflege  [Texte imprimé]</t>
  </si>
  <si>
    <t>039066126</t>
  </si>
  <si>
    <t>Le Petit Var  [Texte imprimé]</t>
  </si>
  <si>
    <t>039096424</t>
  </si>
  <si>
    <t>Le Troubadour  [Texte imprimé]  : Journal hebdomadaire</t>
  </si>
  <si>
    <t>039096599</t>
  </si>
  <si>
    <t>Bulletin paroissial de Le Val  [Texte imprimé]</t>
  </si>
  <si>
    <t>039282147</t>
  </si>
  <si>
    <t>Gazette Monaco Côte d'azur  [Texte imprimé]</t>
  </si>
  <si>
    <t>039287297</t>
  </si>
  <si>
    <t>Monte-Carlo tennis  [Texte imprimé]</t>
  </si>
  <si>
    <t>036213993</t>
  </si>
  <si>
    <t>Rapport  / Centre de recherches océanographiques de Dakar-Thiaroye</t>
  </si>
  <si>
    <t>036521493</t>
  </si>
  <si>
    <t>Boletim  [Texte imprimé]  / Instituto de Biologia Marinha, Universidade Federal do Rio Grande do Norte</t>
  </si>
  <si>
    <t>036631035</t>
  </si>
  <si>
    <t>Report  [Texte imprimé]  / Great Lakes Institute. University of Toronto</t>
  </si>
  <si>
    <t>156152746</t>
  </si>
  <si>
    <t>La Presse libre de Nice  [Texte imprimé]</t>
  </si>
  <si>
    <t>03645494X</t>
  </si>
  <si>
    <t>Tropical Atlantic biological laboratory. Contribution.</t>
  </si>
  <si>
    <t>036345415</t>
  </si>
  <si>
    <t>Moss Landing marine laboratory. Newsletter</t>
  </si>
  <si>
    <t>037270303</t>
  </si>
  <si>
    <t>British Library Science Reference Library SRL news  [Texte imprimé]</t>
  </si>
  <si>
    <t>037566334</t>
  </si>
  <si>
    <t>Preliminary report  [Texte imprimé]  / Great Lakes Institute. University of Toronto</t>
  </si>
  <si>
    <t>037935526</t>
  </si>
  <si>
    <t>ABC world airways guide  [Texte imprimé]</t>
  </si>
  <si>
    <t>048882933</t>
  </si>
  <si>
    <t>Plein ciel journal  [Texte imprimé]</t>
  </si>
  <si>
    <t>113611242</t>
  </si>
  <si>
    <t>Zeitschrift der Arbeitsgemeinschaft Österreichischer Entomologen  [Texte imprimé]</t>
  </si>
  <si>
    <t>037554018</t>
  </si>
  <si>
    <t>Bulletin d'information des relations extérieures  [Texte imprimé]</t>
  </si>
  <si>
    <t>040175197</t>
  </si>
  <si>
    <t>Première international  [Texte imprimé]</t>
  </si>
  <si>
    <t>050920588</t>
  </si>
  <si>
    <t>L'Écho du moulin  [Texte imprimé]</t>
  </si>
  <si>
    <t>038597438</t>
  </si>
  <si>
    <t>Documents arrivés en bibliothèque  [Texte imprimé]  / Centre océanologique de Bretagne</t>
  </si>
  <si>
    <t>038660423</t>
  </si>
  <si>
    <t>Le Nouveau bulletin du Centre universitaire de Toulon et du Var  [Texte imprimé]</t>
  </si>
  <si>
    <t>038660431</t>
  </si>
  <si>
    <t>Bulletin de l'Université de Toulon et du Var  [Texte imprimé]</t>
  </si>
  <si>
    <t>039731510</t>
  </si>
  <si>
    <t>Leuchtenbergia  [Texte imprimé]</t>
  </si>
  <si>
    <t>036777293</t>
  </si>
  <si>
    <t>New Zealand Marine Sciences Society newsletter  [Texte imprimé]</t>
  </si>
  <si>
    <t>040291391</t>
  </si>
  <si>
    <t>Whale news  [Texte imprimé]</t>
  </si>
  <si>
    <t>150628641</t>
  </si>
  <si>
    <t>060885110</t>
  </si>
  <si>
    <t>NICE-Musée du Palais Lascaris</t>
  </si>
  <si>
    <t>43.6976448</t>
  </si>
  <si>
    <t>7.2773359</t>
  </si>
  <si>
    <t>LePénitent  [Texte imprimé]  / Foyer Sainte-Croix</t>
  </si>
  <si>
    <t>150555660</t>
  </si>
  <si>
    <t>Welcome!  [Texte imprimé]  : Côte d'Azur culture &amp; loisirs</t>
  </si>
  <si>
    <t>040131262</t>
  </si>
  <si>
    <t>L'unité syndicale  [Texte imprimé]</t>
  </si>
  <si>
    <t>040142000</t>
  </si>
  <si>
    <t>Yearbook  [Texte imprimé]  / ACOPS</t>
  </si>
  <si>
    <t>040141950</t>
  </si>
  <si>
    <t>Currents  [Texte imprimé]  / Bermuda Biological Station for Research</t>
  </si>
  <si>
    <t>036560707</t>
  </si>
  <si>
    <t>060042301</t>
  </si>
  <si>
    <t>ANTIBES-INRA-Lab.Protec.Végé</t>
  </si>
  <si>
    <t>04867074X</t>
  </si>
  <si>
    <t>Bulletin de liaison du Commissariat de la marine  [Texte imprimé]</t>
  </si>
  <si>
    <t>037227785</t>
  </si>
  <si>
    <t>136595456</t>
  </si>
  <si>
    <t>Lou Coucia carêma  [Texte imprimé]</t>
  </si>
  <si>
    <t>13595374X</t>
  </si>
  <si>
    <t>L'Ami du peuple  [Texte imprimé]</t>
  </si>
  <si>
    <t>039312984</t>
  </si>
  <si>
    <t>Helicopter world  [Texte imprimé]</t>
  </si>
  <si>
    <t>059470623</t>
  </si>
  <si>
    <t>Journal of Information Warfare  [Texte imprimé]</t>
  </si>
  <si>
    <t>17889432X</t>
  </si>
  <si>
    <t>Nice Informations – Tourisme  [Texte imprimé]  : Note de conjoncture mensuelle sur le tourisme à Nice  / Mairie de Nice. Service du tourisme</t>
  </si>
  <si>
    <t>037403540</t>
  </si>
  <si>
    <t>Cactussen en vetplanten  [Texte imprimé]</t>
  </si>
  <si>
    <t>039052001</t>
  </si>
  <si>
    <t>Petites affiches toulonnaises  [Texte imprimé]</t>
  </si>
  <si>
    <t>039051994</t>
  </si>
  <si>
    <t>Les Petites affiches de Toulon et du Var  [Texte imprimé]</t>
  </si>
  <si>
    <t>040295257</t>
  </si>
  <si>
    <t>Annuaire des personnels civils et militaires relevant de la direction centrale des travaux immobiliers et maritimes  [Texte imprimé]</t>
  </si>
  <si>
    <t>040295265</t>
  </si>
  <si>
    <t>Annuaire des officiers généraux et assimilés en activité de service  [Texte imprimé]</t>
  </si>
  <si>
    <t>156131951</t>
  </si>
  <si>
    <t>Nice-théâtres  [Texte imprimé]</t>
  </si>
  <si>
    <t>039470873</t>
  </si>
  <si>
    <t>055054048</t>
  </si>
  <si>
    <t>La Voix des marchands de journaux du Sud-Est  [Texte imprimé]</t>
  </si>
  <si>
    <t>146037154</t>
  </si>
  <si>
    <t>Passepartout  [Texte imprimé]</t>
  </si>
  <si>
    <t>04018689X</t>
  </si>
  <si>
    <t>La Revue trimestrielle  [Texte imprimé]  / Centre de presse</t>
  </si>
  <si>
    <t>054374561</t>
  </si>
  <si>
    <t>Bulletin officiel  [Texte imprimé]  / Association générale automobile</t>
  </si>
  <si>
    <t>109184289</t>
  </si>
  <si>
    <t>Le Journal des Alpes-Maritimes  [Texte imprimé]</t>
  </si>
  <si>
    <t>140127615</t>
  </si>
  <si>
    <t>L'Italianiste provençal  [Texte imprimé]</t>
  </si>
  <si>
    <t>036454869</t>
  </si>
  <si>
    <t>Triton  [Texte imprimé]</t>
  </si>
  <si>
    <t>039034224</t>
  </si>
  <si>
    <t>La France libérée  [Texte imprimé]</t>
  </si>
  <si>
    <t>039034178</t>
  </si>
  <si>
    <t>L'Éphémère  [Texte imprimé]</t>
  </si>
  <si>
    <t>039034194</t>
  </si>
  <si>
    <t>L'Étoile rouge du Var  [Texte imprimé]</t>
  </si>
  <si>
    <t>140667830</t>
  </si>
  <si>
    <t>Lou Saburu  [Texte imprimé]</t>
  </si>
  <si>
    <t>037496077</t>
  </si>
  <si>
    <t>Nachrichtenblatt der Deutschen Kakteen-Gesellschaft e.V.  [Texte imprimé]</t>
  </si>
  <si>
    <t>137883218</t>
  </si>
  <si>
    <t>Journal de Cimiez  [Texte imprimé]</t>
  </si>
  <si>
    <t>143235389</t>
  </si>
  <si>
    <t>Photo pro XXL  [Texte imprimé]</t>
  </si>
  <si>
    <t>038012200</t>
  </si>
  <si>
    <t>Woods Hole notes  [Texte imprimé]</t>
  </si>
  <si>
    <t>038686422</t>
  </si>
  <si>
    <t>Le Livre bleu de la Cote-d-Azur  [Texte imprimé]</t>
  </si>
  <si>
    <t>039188930</t>
  </si>
  <si>
    <t>Kaktusz világ  [Texte imprimé]</t>
  </si>
  <si>
    <t>039961206</t>
  </si>
  <si>
    <t>Bulletin de liaison du Conseil municipal  [Texte imprimé]</t>
  </si>
  <si>
    <t>040303241</t>
  </si>
  <si>
    <t>060885206</t>
  </si>
  <si>
    <t>NICE-CDDP Alpes Maritimes</t>
  </si>
  <si>
    <t>43.7305073</t>
  </si>
  <si>
    <t>7.275889999999999</t>
  </si>
  <si>
    <t>ABCDDP  [Texte imprimé]</t>
  </si>
  <si>
    <t>036163422</t>
  </si>
  <si>
    <t>Annual report of the Noto marine laboratory.</t>
  </si>
  <si>
    <t>040013421</t>
  </si>
  <si>
    <t>Bulletin de liaison des Amis des plantes de serres et d'acclimatation  [Texte imprimé]</t>
  </si>
  <si>
    <t>038803992</t>
  </si>
  <si>
    <t>Succulenta  [Texte imprimé]</t>
  </si>
  <si>
    <t>039988899</t>
  </si>
  <si>
    <t>Tank topics  [Texte imprimé]</t>
  </si>
  <si>
    <t>040265676</t>
  </si>
  <si>
    <t>The Crustacean nutrition newsletter  [Texte imprimé]</t>
  </si>
  <si>
    <t>103270329</t>
  </si>
  <si>
    <t>The Internet protocol journal  [Texte imprimé]</t>
  </si>
  <si>
    <t>036225371</t>
  </si>
  <si>
    <t>Circular  [Texte imprimé]  / monwealth scientific and industrial research organization. Division of fisheries and oceanography</t>
  </si>
  <si>
    <t>038371405</t>
  </si>
  <si>
    <t>Armorial du Canada français  [Texte imprimé]</t>
  </si>
  <si>
    <t>054375177</t>
  </si>
  <si>
    <t>Automobile-Revue du littoral  [Texte imprimé]</t>
  </si>
  <si>
    <t>116950099</t>
  </si>
  <si>
    <t>Zoom  [Texte imprimé]</t>
  </si>
  <si>
    <t>140666826</t>
  </si>
  <si>
    <t>Riviera season  [Texte imprimé]</t>
  </si>
  <si>
    <t>037979728</t>
  </si>
  <si>
    <t>Gazette de Monaco et de Monte Carlo  [Texte imprimé]</t>
  </si>
  <si>
    <t>039307441</t>
  </si>
  <si>
    <t>UNEP report  [Texte imprimé]</t>
  </si>
  <si>
    <t>048882399</t>
  </si>
  <si>
    <t>Brassey's naval and shipping  [Texte imprimé]</t>
  </si>
  <si>
    <t>039351831</t>
  </si>
  <si>
    <t>Ryūkyū Daigaku Rigakubu kiyō  [Texte imprimé]</t>
  </si>
  <si>
    <t>040163423</t>
  </si>
  <si>
    <t>Newsletter of the International Association of Fish Ethologists  [Texte imprimé]</t>
  </si>
  <si>
    <t>140582126</t>
  </si>
  <si>
    <t>Le Tonnerre de Nice  [Texte imprimé]</t>
  </si>
  <si>
    <t>036644854</t>
  </si>
  <si>
    <t>037430971</t>
  </si>
  <si>
    <t>Calypso log  [Texte imprimé]</t>
  </si>
  <si>
    <t>038621916</t>
  </si>
  <si>
    <t>Langages  [Texte imprimé]</t>
  </si>
  <si>
    <t>050881507</t>
  </si>
  <si>
    <t>JavaPro  [Texte imprimé]</t>
  </si>
  <si>
    <t>050927094</t>
  </si>
  <si>
    <t>Situation des marines de guerre étrangères...  [Texte imprimé]</t>
  </si>
  <si>
    <t>039335119</t>
  </si>
  <si>
    <t>Whalewatcher  [Texte imprimé]</t>
  </si>
  <si>
    <t>040610314</t>
  </si>
  <si>
    <t>Phénomènes spatiaux  [Texte imprimé]</t>
  </si>
  <si>
    <t>03880977X</t>
  </si>
  <si>
    <t>La Cheminée  [Texte imprimé]</t>
  </si>
  <si>
    <t>048886807</t>
  </si>
  <si>
    <t>Bilan social  [Texte imprimé]  / Direction de la fonction militaire et du personnel civil</t>
  </si>
  <si>
    <t>048886831</t>
  </si>
  <si>
    <t>Bulletin bibliographique et de documentation  [Texte imprimé]  / Ecole supérieure de guerre navale</t>
  </si>
  <si>
    <t>176257101</t>
  </si>
  <si>
    <t>Église des Alpes-Maritimes  [Texte imprimé]</t>
  </si>
  <si>
    <t>013819720</t>
  </si>
  <si>
    <t>048692972</t>
  </si>
  <si>
    <t>Arqueologia &amp; indústria  [Texte imprimé]</t>
  </si>
  <si>
    <t>058265368</t>
  </si>
  <si>
    <t>Cactaceae systematics initiatives  [Texte imprimé]</t>
  </si>
  <si>
    <t>07687219X</t>
  </si>
  <si>
    <t>060885402</t>
  </si>
  <si>
    <t>NICE-Centre Antoine Lacassagne</t>
  </si>
  <si>
    <t>43.696036</t>
  </si>
  <si>
    <t>7.265592</t>
  </si>
  <si>
    <t>Applied immunohistochemistry &amp; molecular morphology  [Texte imprimé]</t>
  </si>
  <si>
    <t>190971096</t>
  </si>
  <si>
    <t>Euterpe  : Paris</t>
  </si>
  <si>
    <t>039052265</t>
  </si>
  <si>
    <t>La Vie sportive  [Texte imprimé]  : Journal hebdomadaire de tous les sports</t>
  </si>
  <si>
    <t>039066339</t>
  </si>
  <si>
    <t>Bulletin paroissial du doyenné de Tavernes et de la paroisse de Quinson  [Texte imprimé]</t>
  </si>
  <si>
    <t>075971461</t>
  </si>
  <si>
    <t>Caveka  [Texte imprimé]  : cactussen vetplanten kamerplanten</t>
  </si>
  <si>
    <t>10915102X</t>
  </si>
  <si>
    <t>L'Echo d'Antibes  [Texte imprimé]</t>
  </si>
  <si>
    <t>154257478</t>
  </si>
  <si>
    <t>Der Echinocereenfreund  [Texte imprimé]</t>
  </si>
  <si>
    <t>170068250</t>
  </si>
  <si>
    <t>Courier universel  [Texte imprimé]</t>
  </si>
  <si>
    <t>036299774</t>
  </si>
  <si>
    <t>Istituto di fisica. Programma Oceanoboe. Rapporto tecnico.</t>
  </si>
  <si>
    <t>037219375</t>
  </si>
  <si>
    <t>060882305</t>
  </si>
  <si>
    <t>NICE-Institut européen</t>
  </si>
  <si>
    <t>43.697776</t>
  </si>
  <si>
    <t>7.254210999999999</t>
  </si>
  <si>
    <t>039140776</t>
  </si>
  <si>
    <t>Le Trait d'union agricole  [Texte imprimé]</t>
  </si>
  <si>
    <t>039309967</t>
  </si>
  <si>
    <t>Leaflet  [Texte imprimé]  / Royal Scottish Museum</t>
  </si>
  <si>
    <t>13662734X</t>
  </si>
  <si>
    <t>L'Exposition internationale de Nice  [Texte imprimé]</t>
  </si>
  <si>
    <t>143838377</t>
  </si>
  <si>
    <t>Monaco imprese  [Texte imprimé]</t>
  </si>
  <si>
    <t>039304647</t>
  </si>
  <si>
    <t>Tsunami newsletter  [Texte imprimé]</t>
  </si>
  <si>
    <t>036452378</t>
  </si>
  <si>
    <t>Tōkai kokai ni okeru teigyo shigen no kenkyū  [Texte imprimé]</t>
  </si>
  <si>
    <t>037396382</t>
  </si>
  <si>
    <t>Atlas kaktusu  [Texte imprimé]</t>
  </si>
  <si>
    <t>037586823</t>
  </si>
  <si>
    <t>Sea pen  [Texte imprimé]</t>
  </si>
  <si>
    <t>038277085</t>
  </si>
  <si>
    <t>Annales de Menton  [Texte imprimé]</t>
  </si>
  <si>
    <t>140659498</t>
  </si>
  <si>
    <t>Le Réveil de la Côte d'Azur  [Texte imprimé]</t>
  </si>
  <si>
    <t>037337025</t>
  </si>
  <si>
    <t>Military technology and economics  [Texte imprimé]</t>
  </si>
  <si>
    <t>050855646</t>
  </si>
  <si>
    <t>Naval review  [Texte imprimé]</t>
  </si>
  <si>
    <t>128339136</t>
  </si>
  <si>
    <t>060185201</t>
  </si>
  <si>
    <t>SOPHIA ANTIPOLIS-ANSES</t>
  </si>
  <si>
    <t>46.0007702</t>
  </si>
  <si>
    <t>6.2518531</t>
  </si>
  <si>
    <t>Environmental entomology  [Ressource électronique]</t>
  </si>
  <si>
    <t>036227862</t>
  </si>
  <si>
    <t>Consiglio nazionale delle ricerche. Commissione di studio per la oceanografia e la limnologia. [Pubblicazioni]. Serie C</t>
  </si>
  <si>
    <t>036325465</t>
  </si>
  <si>
    <t>M.M.L. News  [Texte imprimé]</t>
  </si>
  <si>
    <t>050926578</t>
  </si>
  <si>
    <t>Liste des bâtiments de guerre des marines étrangères  [Texte imprimé]</t>
  </si>
  <si>
    <t>050926624</t>
  </si>
  <si>
    <t>Matériel d'artillerie de la marine  [Texte imprimé]</t>
  </si>
  <si>
    <t>121449386</t>
  </si>
  <si>
    <t>137906331</t>
  </si>
  <si>
    <t>Lou Mountagnart  [Texte imprimé]</t>
  </si>
  <si>
    <t>037444077</t>
  </si>
  <si>
    <t>Technical report  [Texte imprimé]  / South African National Committee for Oceanographic Research, Marine Geology Programme</t>
  </si>
  <si>
    <t>038597446</t>
  </si>
  <si>
    <t>Documents arrivés en bibliothèque  [Texte imprimé]  / Institut français de recherche pour l'exploitation de la mer</t>
  </si>
  <si>
    <t>136591159</t>
  </si>
  <si>
    <t>La Comédie niçoise  [Texte imprimé]</t>
  </si>
  <si>
    <t>036365297</t>
  </si>
  <si>
    <t>Oceanography abstracts of technical reports  [Texte imprimé]  / Texas A and M university</t>
  </si>
  <si>
    <t>037950517</t>
  </si>
  <si>
    <t>L'Avenir monégasque  [Texte imprimé]</t>
  </si>
  <si>
    <t>163382824</t>
  </si>
  <si>
    <t>J'aime écrire  [Texte imprimé]</t>
  </si>
  <si>
    <t>136597556</t>
  </si>
  <si>
    <t>Le Courrier de Nice  [Texte imprimé]</t>
  </si>
  <si>
    <t>036365149</t>
  </si>
  <si>
    <t>Oceanic instrumentation reporter and ocean engineering  [Texte imprimé]</t>
  </si>
  <si>
    <t>156141906</t>
  </si>
  <si>
    <t>Le Petit Cagnois  [Texte imprimé]</t>
  </si>
  <si>
    <t>140577114</t>
  </si>
  <si>
    <t>La Situation de Nice  [Texte imprimé]</t>
  </si>
  <si>
    <t>040295281</t>
  </si>
  <si>
    <t>Annuaire des anciens marins de l'"Albatros"  [Texte imprimé]</t>
  </si>
  <si>
    <t>13659882X</t>
  </si>
  <si>
    <t>Le Courrier franco-italien  [Texte imprimé]</t>
  </si>
  <si>
    <t>140577947</t>
  </si>
  <si>
    <t>03794634X</t>
  </si>
  <si>
    <t>Petits échos du Collège séraphique de Monte-Carlo  [Texte imprimé]</t>
  </si>
  <si>
    <t>050921770</t>
  </si>
  <si>
    <t>Encre  [Texte imprimé]</t>
  </si>
  <si>
    <t>050926705</t>
  </si>
  <si>
    <t>Le Moniteur du marin en Provence  [Texte imprimé]</t>
  </si>
  <si>
    <t>156136171</t>
  </si>
  <si>
    <t>L'Opposition niçoise  [Texte imprimé]</t>
  </si>
  <si>
    <t>037950460</t>
  </si>
  <si>
    <t>Proche-Orient économique  [Texte imprimé]</t>
  </si>
  <si>
    <t>048884243</t>
  </si>
  <si>
    <t>Activité  [Texte imprimé]  / DICTIM</t>
  </si>
  <si>
    <t>156131978</t>
  </si>
  <si>
    <t>Nice-touriste  [Texte imprimé]</t>
  </si>
  <si>
    <t>124278477</t>
  </si>
  <si>
    <t>La France méridionale  [Texte imprimé]</t>
  </si>
  <si>
    <t>044718888</t>
  </si>
  <si>
    <t>831495401</t>
  </si>
  <si>
    <t>VILLECROZE-Acad. musicale</t>
  </si>
  <si>
    <t>43.5817048</t>
  </si>
  <si>
    <t>6.2750889</t>
  </si>
  <si>
    <t>124278558</t>
  </si>
  <si>
    <t>La Lumière du littoral  [Texte imprimé]</t>
  </si>
  <si>
    <t>037396366</t>
  </si>
  <si>
    <t>Sedum society newsletter  [Texte imprimé]</t>
  </si>
  <si>
    <t>048886890</t>
  </si>
  <si>
    <t>Bulletin de sécurité aérienne de l'Aéronautique navale  [Texte imprimé]</t>
  </si>
  <si>
    <t>136039545</t>
  </si>
  <si>
    <t>Bulletin de l'Association patriotique des anciens combattants de 1870-1871 des Alpes-maritimes  [Texte imprimé]</t>
  </si>
  <si>
    <t>137908105</t>
  </si>
  <si>
    <t>Nice l'hiver  [Texte imprimé]</t>
  </si>
  <si>
    <t>036327514</t>
  </si>
  <si>
    <t>Marine aquarist  [Texte imprimé]</t>
  </si>
  <si>
    <t>039004864</t>
  </si>
  <si>
    <t>Accomplishment report  [Texte imprimé]  / Bureau of Fisheries and Aquatic Resources</t>
  </si>
  <si>
    <t>036336394</t>
  </si>
  <si>
    <t>Meteorological service. Contributions</t>
  </si>
  <si>
    <t>039051641</t>
  </si>
  <si>
    <t>Le Tambourin provençal  [Texte imprimé]</t>
  </si>
  <si>
    <t>136625568</t>
  </si>
  <si>
    <t>L'Etoile de Nice  [Texte imprimé]</t>
  </si>
  <si>
    <t>039034755</t>
  </si>
  <si>
    <t>Le Patriote de Toulon  [Texte imprimé]</t>
  </si>
  <si>
    <t>037396315</t>
  </si>
  <si>
    <t>Compendio anual de productividad  [Texte imprimé]  / Centro de investigación científica y de educación superior de Ensenada</t>
  </si>
  <si>
    <t>039052362</t>
  </si>
  <si>
    <t>Le Diable vert  [Texte imprimé]</t>
  </si>
  <si>
    <t>039287424</t>
  </si>
  <si>
    <t>Society  [Texte imprimé]</t>
  </si>
  <si>
    <t>048881937</t>
  </si>
  <si>
    <t>Bulletin du Service machines  [Texte imprimé]  / Ministère de la Marine</t>
  </si>
  <si>
    <t>038660393</t>
  </si>
  <si>
    <t>Bulletin d'information du Centre universitaire de Toulon et du Var  [Texte imprimé]</t>
  </si>
  <si>
    <t>039035174</t>
  </si>
  <si>
    <t>Le Mousse  [Texte imprimé]  : journal-programme des théâtres... musique, littérature, beaux-arts</t>
  </si>
  <si>
    <t>039096467</t>
  </si>
  <si>
    <t>La Guêpe de Toulon  [Texte imprimé]</t>
  </si>
  <si>
    <t>140301402</t>
  </si>
  <si>
    <t>La Voix du peuple  [Texte imprimé]</t>
  </si>
  <si>
    <t>190953489</t>
  </si>
  <si>
    <t>Economie 06  : revue trimestrielle d'informations économiques des Alpes-Maritimes</t>
  </si>
  <si>
    <t>039924149</t>
  </si>
  <si>
    <t>Bulletin des acquisitions  [Texte imprimé]  / Institut français de recherche pour l'exploitation de la mer</t>
  </si>
  <si>
    <t>124278639</t>
  </si>
  <si>
    <t>L'Opinione di Nizza  [Texte imprimé]</t>
  </si>
  <si>
    <t>039113701</t>
  </si>
  <si>
    <t>La Nouvelle législation française ou recueil des loix. Ordre militaire, gardes nationales et marine  [Texte imprimé]</t>
  </si>
  <si>
    <t>037744607</t>
  </si>
  <si>
    <t>Australian national journal  [Texte imprimé]</t>
  </si>
  <si>
    <t>039034070</t>
  </si>
  <si>
    <t>La Défense oléicole  [Texte imprimé]</t>
  </si>
  <si>
    <t>050927019</t>
  </si>
  <si>
    <t>Ships and the sea  [Texte imprimé]</t>
  </si>
  <si>
    <t>038378221</t>
  </si>
  <si>
    <t>Encyclopédie de l'amateur d'oiseaux  [Texte imprimé]</t>
  </si>
  <si>
    <t>037979558</t>
  </si>
  <si>
    <t>Casinorama  [Texte imprimé]</t>
  </si>
  <si>
    <t>038427265</t>
  </si>
  <si>
    <t>Blühende Kakteen  [Texte imprimé]  : Iconographia Cactacearum  / im Auftrage der deutschen Kakteen-Gesellschaft begründet und herausgegeben von Prof. Dr. Karl Schumann</t>
  </si>
  <si>
    <t>05092673X</t>
  </si>
  <si>
    <t>United services review  [Texte imprimé]</t>
  </si>
  <si>
    <t>116228156</t>
  </si>
  <si>
    <t>Let's go Riviera  [Texte imprimé]</t>
  </si>
  <si>
    <t>039034372</t>
  </si>
  <si>
    <t>Le Guide général  [Texte imprimé]</t>
  </si>
  <si>
    <t>040079198</t>
  </si>
  <si>
    <t>Houslekes  [Texte imprimé]</t>
  </si>
  <si>
    <t>039034992</t>
  </si>
  <si>
    <t>Journal des Arsenaux, des ports &amp; établissements maritimes  [Texte imprimé]</t>
  </si>
  <si>
    <t>04007918X</t>
  </si>
  <si>
    <t>Newsletter  [Texte imprimé]  / Sempervivum Society</t>
  </si>
  <si>
    <t>048884448</t>
  </si>
  <si>
    <t>Aviation and marine international  [Texte imprimé]</t>
  </si>
  <si>
    <t>135951755</t>
  </si>
  <si>
    <t>L'Aigle de Nice  [Texte imprimé]</t>
  </si>
  <si>
    <t>055150470</t>
  </si>
  <si>
    <t>Invertebrate neuroscience  [Texte imprimé]</t>
  </si>
  <si>
    <t>037135910</t>
  </si>
  <si>
    <t>Immersió  [Texte imprimé]</t>
  </si>
  <si>
    <t>037979582</t>
  </si>
  <si>
    <t>Monaco Monte-Carlo  [Texte imprimé]</t>
  </si>
  <si>
    <t>039034267</t>
  </si>
  <si>
    <t>La Grimace  [Texte imprimé]  : Organe officiel des artistes lyriques et dramatiques, des concerts, music-halls, théâtres, cirques, cinémas de Toulon et du Sud-Est</t>
  </si>
  <si>
    <t>124278531</t>
  </si>
  <si>
    <t>Journal comique de Nice-Monaco  [Texte imprimé]</t>
  </si>
  <si>
    <t>124278590</t>
  </si>
  <si>
    <t>Nice-caricature  [Texte imprimé]</t>
  </si>
  <si>
    <t>048797162</t>
  </si>
  <si>
    <t>Die Sukkulentenwelt  [Texte imprimé]</t>
  </si>
  <si>
    <t>037946390</t>
  </si>
  <si>
    <t>La Revue du Touring-Club de Monaco  [Texte imprimé]</t>
  </si>
  <si>
    <t>039035158</t>
  </si>
  <si>
    <t>Le Mistral  [Texte imprimé]  : Littéraire, artistique et mondain, soufflant tous les jeudis</t>
  </si>
  <si>
    <t>040086364</t>
  </si>
  <si>
    <t>Jane's defence weekly. Pacific rim ed.  [Texte imprimé]</t>
  </si>
  <si>
    <t>178959030</t>
  </si>
  <si>
    <t>Les Nouvelles de l'Osmothèque  [Texte imprimé]</t>
  </si>
  <si>
    <t>03622703X</t>
  </si>
  <si>
    <t>Conférence hydrographique internationale. Compte-rendu des séances</t>
  </si>
  <si>
    <t>036257184</t>
  </si>
  <si>
    <t>Cetacea news  [Texte imprimé]</t>
  </si>
  <si>
    <t>124278256</t>
  </si>
  <si>
    <t>L'Alliance des Alpes-Maritimes  [Texte imprimé]</t>
  </si>
  <si>
    <t>058778004</t>
  </si>
  <si>
    <t>Molecular interventions  [Texte imprimé]</t>
  </si>
  <si>
    <t>224069411</t>
  </si>
  <si>
    <t>Dialogues  : le droit au service de la médecine</t>
  </si>
  <si>
    <t>036224642</t>
  </si>
  <si>
    <t>Commercial fisheries newsletter  [Texte imprimé]</t>
  </si>
  <si>
    <t>037485679</t>
  </si>
  <si>
    <t>991385202</t>
  </si>
  <si>
    <t>MONACO-Musée Anthropol.Préhi</t>
  </si>
  <si>
    <t>43.73338</t>
  </si>
  <si>
    <t>7.413762599999999</t>
  </si>
  <si>
    <t>Bollettino della Scuola di Polizia scientífica e del Servizio di segnalamento  [Texte imprimé]</t>
  </si>
  <si>
    <t>140659110</t>
  </si>
  <si>
    <t>Le Réveil de Grasse  [Texte imprimé]</t>
  </si>
  <si>
    <t>167431420</t>
  </si>
  <si>
    <t>Cahiers d'art  [Texte imprimé]</t>
  </si>
  <si>
    <t>137231679</t>
  </si>
  <si>
    <t>Lou Ficanas  [Texte imprimé]</t>
  </si>
  <si>
    <t>039095827</t>
  </si>
  <si>
    <t>Midi-camping  [Texte imprimé]</t>
  </si>
  <si>
    <t>039096459</t>
  </si>
  <si>
    <t>Toulon journal  [Texte imprimé]</t>
  </si>
  <si>
    <t>050937200</t>
  </si>
  <si>
    <t>Le Vin  [Texte imprimé]</t>
  </si>
  <si>
    <t>037396277</t>
  </si>
  <si>
    <t>Tavole di marea e delle correnti di marea  [Texte imprimé]</t>
  </si>
  <si>
    <t>039065677</t>
  </si>
  <si>
    <t>Le Télégraphe  [Texte imprimé]</t>
  </si>
  <si>
    <t>040198413</t>
  </si>
  <si>
    <t>L'Armanac dé sei grassenc  [Texte imprimé]</t>
  </si>
  <si>
    <t>040272680</t>
  </si>
  <si>
    <t>075968061</t>
  </si>
  <si>
    <t>Les Cactophiles  [Texte imprimé]</t>
  </si>
  <si>
    <t>109354737</t>
  </si>
  <si>
    <t>Société agricole et horticole de Cannes et de l'arrondissement de Grasse  [Texte imprimé]  : Bulletin</t>
  </si>
  <si>
    <t>036777463</t>
  </si>
  <si>
    <t>Journal of the Cactus and Succulent Society of New Zealand  [Texte imprimé]</t>
  </si>
  <si>
    <t>037972359</t>
  </si>
  <si>
    <t>Monaco informations  [Texte imprimé]</t>
  </si>
  <si>
    <t>039065758</t>
  </si>
  <si>
    <t>La Vigie des ports  [Texte imprimé]  : Organe de défense des personnels de la marine</t>
  </si>
  <si>
    <t>039065774</t>
  </si>
  <si>
    <t>La Vigie provençale  [Texte imprimé]</t>
  </si>
  <si>
    <t>036226297</t>
  </si>
  <si>
    <t>The Compass  [Texte imprimé]</t>
  </si>
  <si>
    <t>036745200</t>
  </si>
  <si>
    <t>NHBS bulletin  [Texte imprimé]</t>
  </si>
  <si>
    <t>038378248</t>
  </si>
  <si>
    <t>Il Mondo elegante  [Texte imprimé]</t>
  </si>
  <si>
    <t>039052060</t>
  </si>
  <si>
    <t>Le Réveil national du Var  [Texte imprimé]</t>
  </si>
  <si>
    <t>036371831</t>
  </si>
  <si>
    <t>Oulun yliopiston eläintieteen laitos. Reprints</t>
  </si>
  <si>
    <t>048886971</t>
  </si>
  <si>
    <t>Bulletin quotidien de l'Afrique du Nord  II, Sahara et territoires du Sud  [Texte imprimé]</t>
  </si>
  <si>
    <t>048886742</t>
  </si>
  <si>
    <t>Le Bachi du Var  [Texte imprimé]</t>
  </si>
  <si>
    <t>039705390</t>
  </si>
  <si>
    <t>Sound &amp; video contractor  [Texte imprimé]</t>
  </si>
  <si>
    <t>055391796</t>
  </si>
  <si>
    <t>Le Skieur des Alpes niçoises  [Texte imprimé]  : bulletin trimestriel du Ski Club de Nice</t>
  </si>
  <si>
    <t>070933154</t>
  </si>
  <si>
    <t>Alsterworthia international  [Texte imprimé]</t>
  </si>
  <si>
    <t>039066290</t>
  </si>
  <si>
    <t>Bulletin semestriel  [Texte imprimé]  / Cercle des mécaniciens de la Marine Nationale à Toulon</t>
  </si>
  <si>
    <t>039066274</t>
  </si>
  <si>
    <t>Bulletin du Cercle des mécaniciens de la Marine Impériale  [Texte imprimé]</t>
  </si>
  <si>
    <t>039991032</t>
  </si>
  <si>
    <t>CSA update  [Texte imprimé]</t>
  </si>
  <si>
    <t>040113728</t>
  </si>
  <si>
    <t>Haiyang wenzhai  [Texte imprimé]</t>
  </si>
  <si>
    <t>036419354</t>
  </si>
  <si>
    <t>Sea grant technical bulletin  [Texte imprimé]</t>
  </si>
  <si>
    <t>039518566</t>
  </si>
  <si>
    <t>Canadian Fish Culturist  [Texte imprimé]</t>
  </si>
  <si>
    <t>058147764</t>
  </si>
  <si>
    <t>Reportage  [Texte imprimé]</t>
  </si>
  <si>
    <t>12427868X</t>
  </si>
  <si>
    <t>Radio-Nice et Méditerranée  [Texte imprimé]</t>
  </si>
  <si>
    <t>039150941</t>
  </si>
  <si>
    <t>Aquasphere  [Texte imprimé]</t>
  </si>
  <si>
    <t>039326047</t>
  </si>
  <si>
    <t>Strategy &amp; defence  [Texte imprimé]</t>
  </si>
  <si>
    <t>040160297</t>
  </si>
  <si>
    <t>Abri de Monaco  [Texte imprimé]</t>
  </si>
  <si>
    <t>044868596</t>
  </si>
  <si>
    <t>Debreceni pozsgás-tár  [Texte imprimé]</t>
  </si>
  <si>
    <t>036390755</t>
  </si>
  <si>
    <t>Publicacão do Instituto hidrográfico  [Texte imprimé]</t>
  </si>
  <si>
    <t>038489880</t>
  </si>
  <si>
    <t>Pubblicazioni della stazione zoologica di napoli  Section i,   marine ecology,   [Texte imprimé]</t>
  </si>
  <si>
    <t>03902282X</t>
  </si>
  <si>
    <t>La Province Nouvelle  [Texte imprimé]</t>
  </si>
  <si>
    <t>039674460</t>
  </si>
  <si>
    <t>Canadian technical report of hydrography and ocean sciences  [Texte imprimé]</t>
  </si>
  <si>
    <t>04016036X</t>
  </si>
  <si>
    <t>Newsletter of the Cetacean Specialist Group  [Texte imprimé]</t>
  </si>
  <si>
    <t>146433157</t>
  </si>
  <si>
    <t>Cuisine du sud  [Texte imprimé]</t>
  </si>
  <si>
    <t>039140636</t>
  </si>
  <si>
    <t>Entr'aide marine  [Texte imprimé]</t>
  </si>
  <si>
    <t>136600387</t>
  </si>
  <si>
    <t>Le Cri de Nice et de la Riviera  [Texte imprimé]</t>
  </si>
  <si>
    <t>039234398</t>
  </si>
  <si>
    <t>Bibliografia Hydrologii i Oceanologii  [Texte imprimé]</t>
  </si>
  <si>
    <t>04018806X</t>
  </si>
  <si>
    <t>Océanographie, limnologie, hydrologie CH  [Texte imprimé]</t>
  </si>
  <si>
    <t>038773872</t>
  </si>
  <si>
    <t>Le Nicéen  [Texte imprimé]</t>
  </si>
  <si>
    <t>03902346X</t>
  </si>
  <si>
    <t>L'Agitateur  [Texte imprimé]</t>
  </si>
  <si>
    <t>039023478</t>
  </si>
  <si>
    <t>L'Arapède  [Texte imprimé]  : Journal critique, satirique et littéraire paraissant toutes les fois qu'il le pourra</t>
  </si>
  <si>
    <t>039066878</t>
  </si>
  <si>
    <t>La Feuille Pierrefeucaine  [Texte imprimé]</t>
  </si>
  <si>
    <t>039065847</t>
  </si>
  <si>
    <t>Revue maritime  [Texte imprimé]</t>
  </si>
  <si>
    <t>039076105</t>
  </si>
  <si>
    <t>Succulent Plant Trust newsletter  [Texte imprimé]</t>
  </si>
  <si>
    <t>039095584</t>
  </si>
  <si>
    <t>Le Palmier  [Texte imprimé]  : Journal d'Hyères</t>
  </si>
  <si>
    <t>039140954</t>
  </si>
  <si>
    <t>Extrait des procès-verbaux des séances  [Texte imprimé]  / Société d'études scientifiques &amp; archéologiques de Draguignan</t>
  </si>
  <si>
    <t>036268690</t>
  </si>
  <si>
    <t>La Gazzetta del popolo [Nuova]  [Texte imprimé]</t>
  </si>
  <si>
    <t>038574462</t>
  </si>
  <si>
    <t>Revista del instituto nacional de investigacion de las ciencias naturales... Ciencias geologicas</t>
  </si>
  <si>
    <t>036250945</t>
  </si>
  <si>
    <t>The Environment this month  [Texte imprimé]</t>
  </si>
  <si>
    <t>036390976</t>
  </si>
  <si>
    <t>Publicaciones técnicas de la Dirección general de pesca marítima  [Texte imprimé]</t>
  </si>
  <si>
    <t>037201360</t>
  </si>
  <si>
    <t>Universum  [Texte imprimé]</t>
  </si>
  <si>
    <t>150157924</t>
  </si>
  <si>
    <t>Bulletin de la société des beaux-arts de Nice  [Texte imprimé]</t>
  </si>
  <si>
    <t>037235893</t>
  </si>
  <si>
    <t>Transactions of the I.R.E. Professional Group on Ultrasonics Engineering  [Texte imprimé]</t>
  </si>
  <si>
    <t>036366099</t>
  </si>
  <si>
    <t>Okayama-ken suisan shikensho. Jigyo hōkokusho  [Texte imprimé]</t>
  </si>
  <si>
    <t>036938343</t>
  </si>
  <si>
    <t>Microelectronic manufacturing and testing  [Texte imprimé]</t>
  </si>
  <si>
    <t>039198014</t>
  </si>
  <si>
    <t>Aquamar  [Texte imprimé]</t>
  </si>
  <si>
    <t>037815881</t>
  </si>
  <si>
    <t>Military fiber optics news  [Texte imprimé]</t>
  </si>
  <si>
    <t>03912827X</t>
  </si>
  <si>
    <t>Kakteen- und Orchideen-Rundschau  [Texte imprimé]</t>
  </si>
  <si>
    <t>03914058X</t>
  </si>
  <si>
    <t>L'Occitan de Tarn et Garonne  [Texte imprimé]</t>
  </si>
  <si>
    <t>044820445</t>
  </si>
  <si>
    <t>Ceramics technical  [Texte imprimé]</t>
  </si>
  <si>
    <t>127822585</t>
  </si>
  <si>
    <t>The botanics  [Texte imprimé]</t>
  </si>
  <si>
    <t>036234702</t>
  </si>
  <si>
    <t>Data from deep moored instrument stations  [Texte imprimé]</t>
  </si>
  <si>
    <t>037156691</t>
  </si>
  <si>
    <t>Kakteen, Sukkulenten  [Texte imprimé]</t>
  </si>
  <si>
    <t>050926683</t>
  </si>
  <si>
    <t>Meteorological observations at stations of the second order for the year...  [Texte imprimé]</t>
  </si>
  <si>
    <t>038976439</t>
  </si>
  <si>
    <t>Arqueologia  [Texte imprimé]  / Centro de Estudos e Pesquisas Arqueológicas, Universidade Federal do Paraná</t>
  </si>
  <si>
    <t>040062619</t>
  </si>
  <si>
    <t>Bulletin d'information  [Texte imprimé]  / Conseil général des Alpes-Maritimes</t>
  </si>
  <si>
    <t>03659945X</t>
  </si>
  <si>
    <t>036607975</t>
  </si>
  <si>
    <t>Fishery and oceanography translations  [Texte imprimé]</t>
  </si>
  <si>
    <t>037676318</t>
  </si>
  <si>
    <t>Maandblad voor liefhebbers van cactussen, vetplanten en kamerplanten  [Texte imprimé]</t>
  </si>
  <si>
    <t>039140504</t>
  </si>
  <si>
    <t>L'Écho du Vidourle  [Texte imprimé]  : Politique, commercial, artistique, théâtral, sportif</t>
  </si>
  <si>
    <t>039734447</t>
  </si>
  <si>
    <t>Artemia newsletter  [Texte imprimé]</t>
  </si>
  <si>
    <t>040320626</t>
  </si>
  <si>
    <t>Saveur  [Texte imprimé]</t>
  </si>
  <si>
    <t>055384641</t>
  </si>
  <si>
    <t>Riviera  [Texte imprimé]</t>
  </si>
  <si>
    <t>150553560</t>
  </si>
  <si>
    <t>Côte d'Azur des peintres  [Texte imprimé]</t>
  </si>
  <si>
    <t>039401375</t>
  </si>
  <si>
    <t>Natural history book reviews  [Texte imprimé]</t>
  </si>
  <si>
    <t>039347303</t>
  </si>
  <si>
    <t>The Planthunter  [Texte imprimé]</t>
  </si>
  <si>
    <t>110988841</t>
  </si>
  <si>
    <t>Allo !... Allo !...ici l'Institut Fénelon à Grasse  [Texte imprimé]</t>
  </si>
  <si>
    <t>135939860</t>
  </si>
  <si>
    <t>Terre des Alpes  [Texte imprimé]</t>
  </si>
  <si>
    <t>195273044</t>
  </si>
  <si>
    <t>Bollettino della F.E.S.P.E.M</t>
  </si>
  <si>
    <t>040091627</t>
  </si>
  <si>
    <t>Ocean challenge  [Texte imprimé]</t>
  </si>
  <si>
    <t>140301372</t>
  </si>
  <si>
    <t>039951057</t>
  </si>
  <si>
    <t>Die anderen Sukkulenten  [Texte imprimé]</t>
  </si>
  <si>
    <t>076004864</t>
  </si>
  <si>
    <t>Suculentas desde Argentina  [Texte imprimé]</t>
  </si>
  <si>
    <t>036908983</t>
  </si>
  <si>
    <t>Sempervivum Society journal  [Texte imprimé]</t>
  </si>
  <si>
    <t>040079015</t>
  </si>
  <si>
    <t>The Chileans  [Texte imprimé]</t>
  </si>
  <si>
    <t>036355607</t>
  </si>
  <si>
    <t>Naval oceanographic office. Technical report</t>
  </si>
  <si>
    <t>039315347</t>
  </si>
  <si>
    <t>Defence helicopter world  [Texte imprimé]</t>
  </si>
  <si>
    <t>122402073</t>
  </si>
  <si>
    <t>L'Écho magazine  [Texte imprimé]</t>
  </si>
  <si>
    <t>03674722X</t>
  </si>
  <si>
    <t>Impact  [Texte imprimé]</t>
  </si>
  <si>
    <t>040002659</t>
  </si>
  <si>
    <t>The Ecdysiast  [Texte imprimé]</t>
  </si>
  <si>
    <t>040198588</t>
  </si>
  <si>
    <t>Les Cahiers du Rode  [Texte imprimé]</t>
  </si>
  <si>
    <t>040198510</t>
  </si>
  <si>
    <t>L'Espigau  [Texte imprimé]</t>
  </si>
  <si>
    <t>03858834X</t>
  </si>
  <si>
    <t>Fraternité de Nice et de la Côte d'Azur  [Texte imprimé]</t>
  </si>
  <si>
    <t>039113302</t>
  </si>
  <si>
    <t>Bulletin administratif de la Ville de Toulon  [Texte imprimé]</t>
  </si>
  <si>
    <t>037824864</t>
  </si>
  <si>
    <t>Euphorbia review  [Texte imprimé]</t>
  </si>
  <si>
    <t>039034097</t>
  </si>
  <si>
    <t>L'Écho paroissial de Tavernes  [Texte imprimé]</t>
  </si>
  <si>
    <t>039051501</t>
  </si>
  <si>
    <t>Le Poilu varois  [Texte imprimé]</t>
  </si>
  <si>
    <t>03622863X</t>
  </si>
  <si>
    <t>Contributions from the Mote marine laboratory  [Texte imprimé]</t>
  </si>
  <si>
    <t>03849146X</t>
  </si>
  <si>
    <t>Journal du theatre de nice  [Texte imprimé]</t>
  </si>
  <si>
    <t>058260846</t>
  </si>
  <si>
    <t>Computer &amp; communications security abstracts  [Texte imprimé]</t>
  </si>
  <si>
    <t>037432788</t>
  </si>
  <si>
    <t>Nedbøriakttagelser i Norge  [Texte imprimé]</t>
  </si>
  <si>
    <t>036341622</t>
  </si>
  <si>
    <t>Mission zoologique belge aux îles Galapagos et en Ecuador. Résultats scientifiques.</t>
  </si>
  <si>
    <t>036463353</t>
  </si>
  <si>
    <t>U[nited] S[tates]. Coast guard. Oceanographic cruise announcement.</t>
  </si>
  <si>
    <t>037194771</t>
  </si>
  <si>
    <t>Bulletin officiel d'informations de la Principauté de Monaco  [Texte imprimé]</t>
  </si>
  <si>
    <t>037950975</t>
  </si>
  <si>
    <t>Al-difāʿ wa-al-amn  [Texte imprimé]</t>
  </si>
  <si>
    <t>039765954</t>
  </si>
  <si>
    <t>Dehors  [Texte imprimé]</t>
  </si>
  <si>
    <t>037947001</t>
  </si>
  <si>
    <t>Geofísica panamericana  [Texte imprimé]</t>
  </si>
  <si>
    <t>039034887</t>
  </si>
  <si>
    <t>L'Avenir du Var  [Texte imprimé]</t>
  </si>
  <si>
    <t>039685144</t>
  </si>
  <si>
    <t>INTERNOTO  [Texte imprimé]</t>
  </si>
  <si>
    <t>039930920</t>
  </si>
  <si>
    <t>Bulletin mensuel du service municipal d'hygiène  [Texte imprimé]</t>
  </si>
  <si>
    <t>039983226</t>
  </si>
  <si>
    <t>090231112</t>
  </si>
  <si>
    <t>Imperial Bureau of Agricultural Parasitology  [Texte imprimé]  : notes and memoranda</t>
  </si>
  <si>
    <t>04030423X</t>
  </si>
  <si>
    <t>Seawords  [Texte imprimé]</t>
  </si>
  <si>
    <t>156137666</t>
  </si>
  <si>
    <t>Lou Pajoun  [Texte imprimé]</t>
  </si>
  <si>
    <t>036445347</t>
  </si>
  <si>
    <t>Tavole di marea  [Texte imprimé]</t>
  </si>
  <si>
    <t>056522819</t>
  </si>
  <si>
    <t>Bulletin officiel municipal  [Texte imprimé]  / Mairie de la Trinité</t>
  </si>
  <si>
    <t>037868748</t>
  </si>
  <si>
    <t>039096025</t>
  </si>
  <si>
    <t>Le Papillon  [Texte imprimé]  : Journal hebdomadaire critique, satirique et humoristique</t>
  </si>
  <si>
    <t>040288439</t>
  </si>
  <si>
    <t>174283520</t>
  </si>
  <si>
    <t>CLA rev  [Texte imprimé]</t>
  </si>
  <si>
    <t>04008146X</t>
  </si>
  <si>
    <t>Aerospace design &amp; components  [Texte imprimé]</t>
  </si>
  <si>
    <t>038764229</t>
  </si>
  <si>
    <t>Orchis  [Texte imprimé]</t>
  </si>
  <si>
    <t>040112357</t>
  </si>
  <si>
    <t>Redai haiyang  [Texte imprimé]</t>
  </si>
  <si>
    <t>06778495X</t>
  </si>
  <si>
    <t>036365246</t>
  </si>
  <si>
    <t>Oceanographical cruise report  [Texte imprimé]</t>
  </si>
  <si>
    <t>036394246</t>
  </si>
  <si>
    <t>Quarterly review and forecast on oceanography  [Texte imprimé]</t>
  </si>
  <si>
    <t>036702358</t>
  </si>
  <si>
    <t>Annaes meteorologicos do Rio de Janeiro  [Texte imprimé]</t>
  </si>
  <si>
    <t>039125904</t>
  </si>
  <si>
    <t>AFM  [Texte imprimé]</t>
  </si>
  <si>
    <t>095194436</t>
  </si>
  <si>
    <t>Oùquiquand  [Texte imprimé]  : Vos sorties ont du sens  / Éd. par Communauté d'agglomération Toulon Provence Méditerranée  ; Dir. publ. Valérie Paecht-Luccioni</t>
  </si>
  <si>
    <t>039096173</t>
  </si>
  <si>
    <t>Le Cran  [Texte imprimé]</t>
  </si>
  <si>
    <t>140587810</t>
  </si>
  <si>
    <t>L'Union artistique et littéraire  [Texte imprimé]</t>
  </si>
  <si>
    <t>038684039</t>
  </si>
  <si>
    <t>Dati e notizie  [Texte imprimé]</t>
  </si>
  <si>
    <t>036319023</t>
  </si>
  <si>
    <t>Lerner marine laboratory. Newsletter</t>
  </si>
  <si>
    <t>137908121</t>
  </si>
  <si>
    <t>Nice mondain  [Texte imprimé]</t>
  </si>
  <si>
    <t>040179788</t>
  </si>
  <si>
    <t>Marine mammal technical report  [Texte imprimé]</t>
  </si>
  <si>
    <t>039052109</t>
  </si>
  <si>
    <t>La Revue de Toulon et du Var  [Texte imprimé]</t>
  </si>
  <si>
    <t>03905229X</t>
  </si>
  <si>
    <t>La Dépêche radicale  [Texte imprimé]</t>
  </si>
  <si>
    <t>036162612</t>
  </si>
  <si>
    <t>Annual report from Chemico-technical research institute of the Directorate of fisheries, Norway.</t>
  </si>
  <si>
    <t>039307638</t>
  </si>
  <si>
    <t>Kakti u Sukkulenti ohra  [Texte imprimé]</t>
  </si>
  <si>
    <t>187258112</t>
  </si>
  <si>
    <t>La Lanterne grassoise  [Ressource électronique]</t>
  </si>
  <si>
    <t>037483412</t>
  </si>
  <si>
    <t>Calendario d'oro  [Texte imprimé]</t>
  </si>
  <si>
    <t>039052168</t>
  </si>
  <si>
    <t>Le Russophile  [Texte imprimé]</t>
  </si>
  <si>
    <t>039052087</t>
  </si>
  <si>
    <t>Revue de l'Exposition et du concours régional  [Texte imprimé]</t>
  </si>
  <si>
    <t>137908091</t>
  </si>
  <si>
    <t>Nice illustré, la Côte d'Azur et la Provence  [Texte imprimé]</t>
  </si>
  <si>
    <t>036361291</t>
  </si>
  <si>
    <t>North Pacific fur seal commission. Report on investigations  [Texte imprimé]</t>
  </si>
  <si>
    <t>036333379</t>
  </si>
  <si>
    <t>Materialy rybokhozjajstvennykh issledovanij Severnogo bassejna  [Texte imprimé]</t>
  </si>
  <si>
    <t>039141268</t>
  </si>
  <si>
    <t>Annuaire des administrateurs civils, des agents supérieurs, des attachés d'administration centrale et des conservateurs d'archives  [Texte imprimé]</t>
  </si>
  <si>
    <t>039287351</t>
  </si>
  <si>
    <t>Revue littéraire  [Texte imprimé]  / P.E.N. club de Monaco</t>
  </si>
  <si>
    <t>045047073</t>
  </si>
  <si>
    <t>Mitteilungen aus der Städtischen Sukkulenten-Sammlung Zürich  [Texte imprimé]</t>
  </si>
  <si>
    <t>048886963</t>
  </si>
  <si>
    <t>Matériel  [Texte imprimé]  : bulletin d'information  / Ministère des armées. Marine</t>
  </si>
  <si>
    <t>13790813X</t>
  </si>
  <si>
    <t>140666850</t>
  </si>
  <si>
    <t>Die Riviera Wochenschau  [Texte imprimé]</t>
  </si>
  <si>
    <t>137894236</t>
  </si>
  <si>
    <t>Le Ligueur  [Texte imprimé]</t>
  </si>
  <si>
    <t>037979833</t>
  </si>
  <si>
    <t>Le Petit messager  [Texte imprimé]</t>
  </si>
  <si>
    <t>038427184</t>
  </si>
  <si>
    <t>Informationsbrief  [Texte imprimé]  / Kulturbund der DDR. Zentrale Arbeitsgemeinschaft Mammillarien</t>
  </si>
  <si>
    <t>040017079</t>
  </si>
  <si>
    <t>Beretning for året  [Texte imprimé]  / Danmarks Akvarium, Charlottenlund</t>
  </si>
  <si>
    <t>089710835</t>
  </si>
  <si>
    <t>[Profil poétique de la France]  [Texte imprimé]</t>
  </si>
  <si>
    <t>039051633</t>
  </si>
  <si>
    <t>Le Socialiste du Var  [Texte imprimé]</t>
  </si>
  <si>
    <t>040130703</t>
  </si>
  <si>
    <t>Revue annuelle  [Texte imprimé]  / Association sportive de Monaco</t>
  </si>
  <si>
    <t>045116091</t>
  </si>
  <si>
    <t>Nice matin. Var, Côte d'Azur  [Texte imprimé]</t>
  </si>
  <si>
    <t>050926918</t>
  </si>
  <si>
    <t>Résumé des affaires examinées par le conseil des travaux...  [Texte imprimé]  / Ministère de la Marine et des Colonies</t>
  </si>
  <si>
    <t>039140792</t>
  </si>
  <si>
    <t>Le Trait d'union agricole et touristique de Grasse et de Provence  [Texte imprimé]</t>
  </si>
  <si>
    <t>040079260</t>
  </si>
  <si>
    <t>Xerophyte  [Texte imprimé]</t>
  </si>
  <si>
    <t>124278264</t>
  </si>
  <si>
    <t>Les Alpes-Maritimes  [Texte imprimé]</t>
  </si>
  <si>
    <t>039034356</t>
  </si>
  <si>
    <t>Guide Exposition de Toulon  [Texte imprimé]</t>
  </si>
  <si>
    <t>040022641</t>
  </si>
  <si>
    <t>04019857X</t>
  </si>
  <si>
    <t>Nouvelles  [Texte imprimé]  / Centre international</t>
  </si>
  <si>
    <t>036403865</t>
  </si>
  <si>
    <t>Results of fisheries oceanographical observation  [Texte imprimé]</t>
  </si>
  <si>
    <t>039052133</t>
  </si>
  <si>
    <t>Revue du Cercle National-Artistique  [Texte imprimé]</t>
  </si>
  <si>
    <t>039307557</t>
  </si>
  <si>
    <t>Boletín bibliográfico  [Texte imprimé]  / Centro de investigaciones pesqueras</t>
  </si>
  <si>
    <t>040175081</t>
  </si>
  <si>
    <t>Yacht club de Monaco  [Texte imprimé]</t>
  </si>
  <si>
    <t>135954207</t>
  </si>
  <si>
    <t>L'Âne  [Texte imprimé]</t>
  </si>
  <si>
    <t>156132168</t>
  </si>
  <si>
    <t>Lou Nissart  [Texte imprimé]</t>
  </si>
  <si>
    <t>039354482</t>
  </si>
  <si>
    <t>Calanus  [Texte imprimé]</t>
  </si>
  <si>
    <t>05093211X</t>
  </si>
  <si>
    <t>L'Interprète  [Texte imprimé]</t>
  </si>
  <si>
    <t>036455504</t>
  </si>
  <si>
    <t>Panorama  [Texte imprimé]  / Ligue des sociétés de la Croix-Rouge</t>
  </si>
  <si>
    <t>036784575</t>
  </si>
  <si>
    <t>Cactus and succulent journal  [Texte imprimé]</t>
  </si>
  <si>
    <t>039096645</t>
  </si>
  <si>
    <t>Bulletin hebdomadaire du Bureau municipal d'hygiène  [Texte imprimé]</t>
  </si>
  <si>
    <t>040131254</t>
  </si>
  <si>
    <t>Revue annuelle  [Texte imprimé]  / Croix-Rouge Monégasque</t>
  </si>
  <si>
    <t>076005461</t>
  </si>
  <si>
    <t>Revista del Circulo de coleccionistas de cactus y crasas de la Republica Argentina  [Texte imprimé]</t>
  </si>
  <si>
    <t>13602372X</t>
  </si>
  <si>
    <t>Bulletin du Comité de défense des intérêts économiques des Alpes-Maritimes  [Texte imprimé]</t>
  </si>
  <si>
    <t>039034925</t>
  </si>
  <si>
    <t>Bulletin municipal  [Texte imprimé]  / Commune de Toulon</t>
  </si>
  <si>
    <t>039035441</t>
  </si>
  <si>
    <t>Pâques fleuries  [Texte imprimé]</t>
  </si>
  <si>
    <t>050926438</t>
  </si>
  <si>
    <t>État-major de la marine  [Texte imprimé]</t>
  </si>
  <si>
    <t>136621309</t>
  </si>
  <si>
    <t>L'Eglantine  : organe bimensuel de la Fédération des Alpes-Maritimes du Parti socialiste (SFIO)</t>
  </si>
  <si>
    <t>037207490</t>
  </si>
  <si>
    <t>Arts, sports, tourisme de la Principauté de Monaco  [Texte imprimé]</t>
  </si>
  <si>
    <t>05092317X</t>
  </si>
  <si>
    <t>038963507</t>
  </si>
  <si>
    <t>Official gazette of the United States Patent and Trademark Office. Patents  [Texte imprimé]</t>
  </si>
  <si>
    <t>039023346</t>
  </si>
  <si>
    <t>La Semaine toulonnaise  [Texte imprimé]</t>
  </si>
  <si>
    <t>136048080</t>
  </si>
  <si>
    <t>Lou Campanie  [Texte imprimé]</t>
  </si>
  <si>
    <t>037207709</t>
  </si>
  <si>
    <t>Contact  [Texte imprimé]</t>
  </si>
  <si>
    <t>055373801</t>
  </si>
  <si>
    <t>Riviera sun  [Texte imprimé]</t>
  </si>
  <si>
    <t>036176540</t>
  </si>
  <si>
    <t>Atlantic oceanographic and meteorological laboratories. Collected reprints.</t>
  </si>
  <si>
    <t>037123203</t>
  </si>
  <si>
    <t>la Tribune de monaco  [Texte imprimé]</t>
  </si>
  <si>
    <t>039113221</t>
  </si>
  <si>
    <t>Le Courrier de Paris  [Texte imprimé]</t>
  </si>
  <si>
    <t>039113272</t>
  </si>
  <si>
    <t>L'Indicateur toulonnais  [Texte imprimé]</t>
  </si>
  <si>
    <t>039051668</t>
  </si>
  <si>
    <t>Toulon artiste  [Texte imprimé]  : Journal hebdomadaire, musique, théâtres, beaux-arts</t>
  </si>
  <si>
    <t>038785366</t>
  </si>
  <si>
    <t>Revista de Telecomunicacion  [Texte imprimé]</t>
  </si>
  <si>
    <t>039066193</t>
  </si>
  <si>
    <t>Toulon Mondain &amp; Pittoresque  [Texte imprimé]  : Guide local et régional  : Publication trimestrielle</t>
  </si>
  <si>
    <t>04888698X</t>
  </si>
  <si>
    <t>Bulletin 3e région  [Texte imprimé]</t>
  </si>
  <si>
    <t>036419311</t>
  </si>
  <si>
    <t>Sea grant [Seventies] 70's.  [Texte imprimé]  = 19??-? :</t>
  </si>
  <si>
    <t>040264459</t>
  </si>
  <si>
    <t>Marine fish monthly  [Texte imprimé]</t>
  </si>
  <si>
    <t>124278329</t>
  </si>
  <si>
    <t>Le Bavard  [Texte imprimé]</t>
  </si>
  <si>
    <t>036317160</t>
  </si>
  <si>
    <t>Lake Chad research station, Malamfatori. Annual report.</t>
  </si>
  <si>
    <t>037950568</t>
  </si>
  <si>
    <t>Bulletin des employés de la Société anonyme des bains de mer et du Cercle des étrangers à Monaco  [Texte imprimé]</t>
  </si>
  <si>
    <t>038415984</t>
  </si>
  <si>
    <t>Suisanbutsu ryūtsū tōkei nenpō  [Texte imprimé]</t>
  </si>
  <si>
    <t>050926640</t>
  </si>
  <si>
    <t>Mémorial de canonnage du vaisseau-école le Louis XIV  [Texte imprimé]</t>
  </si>
  <si>
    <t>187139547</t>
  </si>
  <si>
    <t>L'Autre monde  [Texte imprimé]</t>
  </si>
  <si>
    <t>039051463</t>
  </si>
  <si>
    <t>Le Peuple français  [Texte imprimé]  : Journal républicain de réalisations sociales</t>
  </si>
  <si>
    <t>04028395X</t>
  </si>
  <si>
    <t>048886793</t>
  </si>
  <si>
    <t>Bollettino riguardante gli Ufficiali della Regia Marina  [Texte imprimé]</t>
  </si>
  <si>
    <t>048884324</t>
  </si>
  <si>
    <t>Annuaire  [Texte imprimé]  / Cercle militaire. Armées de terre et de mer</t>
  </si>
  <si>
    <t>048886823</t>
  </si>
  <si>
    <t>Bilan de l'action sociale  [Texte imprimé]  / Ministère de la défense, Service de l'action sociale des armées</t>
  </si>
  <si>
    <t>055778437</t>
  </si>
  <si>
    <t>Statistique mensuelle des pêches maritimes  [Texte imprimé]</t>
  </si>
  <si>
    <t>036365122</t>
  </si>
  <si>
    <t>Oceanic instrumentation reporter  [Texte imprimé]</t>
  </si>
  <si>
    <t>039051528</t>
  </si>
  <si>
    <t>Le Propriétaire  [Texte imprimé]</t>
  </si>
  <si>
    <t>039065707</t>
  </si>
  <si>
    <t>La Tribune libre du Midi  [Texte imprimé]  : Organe républicain socialiste des travailleurs</t>
  </si>
  <si>
    <t>15681093X</t>
  </si>
  <si>
    <t>The cactus explorer  [Ressource électronique]</t>
  </si>
  <si>
    <t>03625620X</t>
  </si>
  <si>
    <t>The Faceplate  [Texte imprimé]</t>
  </si>
  <si>
    <t>039023001</t>
  </si>
  <si>
    <t>La Mode  [Texte imprimé]</t>
  </si>
  <si>
    <t>136049206</t>
  </si>
  <si>
    <t>Le Carillon  [Texte imprimé]</t>
  </si>
  <si>
    <t>036309591</t>
  </si>
  <si>
    <t>Kasetsart university. Notes from Faculty of fisheries</t>
  </si>
  <si>
    <t>137869800</t>
  </si>
  <si>
    <t>Le Grelot niçois  [Texte imprimé]</t>
  </si>
  <si>
    <t>037946501</t>
  </si>
  <si>
    <t>Union des commerçants de Monaco  [Texte imprimé]</t>
  </si>
  <si>
    <t>036419419</t>
  </si>
  <si>
    <t>Seaquarium science series  [Texte imprimé]</t>
  </si>
  <si>
    <t>039096513</t>
  </si>
  <si>
    <t>La Revue sportive  [Texte imprimé]  : Bulletin officiel de l'Amicale départementale des sociétés d'I.P. du Var</t>
  </si>
  <si>
    <t>110624718</t>
  </si>
  <si>
    <t>Bulletin  [Texte imprimé]  / Pacific Tropical Botanical Garden</t>
  </si>
  <si>
    <t>037950444</t>
  </si>
  <si>
    <t>Middle East economy  [Texte imprimé]</t>
  </si>
  <si>
    <t>037950614</t>
  </si>
  <si>
    <t>Revue de l'Automobile club de Monaco  [Texte imprimé]</t>
  </si>
  <si>
    <t>038881837</t>
  </si>
  <si>
    <t>Annual report  [Texte imprimé]  / Great Lakes Institute. University of Toronto</t>
  </si>
  <si>
    <t>039023443</t>
  </si>
  <si>
    <t>L'Action syndicaliste  [Texte imprimé]</t>
  </si>
  <si>
    <t>18543214X</t>
  </si>
  <si>
    <t>Bulletin de la Société scientifique et littéraire des Basses-Alpes  : . 1950 (XXXII, n°  185)-</t>
  </si>
  <si>
    <t>039949001</t>
  </si>
  <si>
    <t>Kaktusy  [Texte imprimé]</t>
  </si>
  <si>
    <t>040133214</t>
  </si>
  <si>
    <t>Les Echos de l'A.P.E.E.M.  [Texte imprimé]</t>
  </si>
  <si>
    <t>050936824</t>
  </si>
  <si>
    <t>L'Écho du Var  [Texte imprimé]  : Organe de défense sociale paraissant le samedi</t>
  </si>
  <si>
    <t>055055826</t>
  </si>
  <si>
    <t>Caméléon du soir  [Texte imprimé]</t>
  </si>
  <si>
    <t>039282163</t>
  </si>
  <si>
    <t>S.B.M. en direct  [Texte imprimé]</t>
  </si>
  <si>
    <t>036288500</t>
  </si>
  <si>
    <t>Informations du Conseil national  [Texte imprimé]</t>
  </si>
  <si>
    <t>036291358</t>
  </si>
  <si>
    <t>Instituto antártico argentino. Divulgación.</t>
  </si>
  <si>
    <t>036327611</t>
  </si>
  <si>
    <t>Marine resources of the Atlantic coast. Leaflet.</t>
  </si>
  <si>
    <t>11335066X</t>
  </si>
  <si>
    <t>128377224</t>
  </si>
  <si>
    <t>Terre de Bretagne  [Texte imprimé]</t>
  </si>
  <si>
    <t>037215442</t>
  </si>
  <si>
    <t>European semiconductor design &amp; production  [Texte imprimé]</t>
  </si>
  <si>
    <t>036945501</t>
  </si>
  <si>
    <t>Hydrobiological bulletin  [Texte imprimé]</t>
  </si>
  <si>
    <t>03912794X</t>
  </si>
  <si>
    <t>Bongo  [Texte imprimé]</t>
  </si>
  <si>
    <t>036424404</t>
  </si>
  <si>
    <t>Shellfish market review and outlook  [Texte imprimé]</t>
  </si>
  <si>
    <t>059140739</t>
  </si>
  <si>
    <t>Enterprise Europe  [Texte imprimé]</t>
  </si>
  <si>
    <t>039034313</t>
  </si>
  <si>
    <t>Le Grand indicateur commercial et immobilier de Toulon et de sa région  [Texte imprimé]</t>
  </si>
  <si>
    <t>039371352</t>
  </si>
  <si>
    <t>040046567</t>
  </si>
  <si>
    <t>Notocactus  [Texte imprimé]</t>
  </si>
  <si>
    <t>168229536</t>
  </si>
  <si>
    <t>Parenthèse  [Texte imprimé]</t>
  </si>
  <si>
    <t>039095266</t>
  </si>
  <si>
    <t>Notre montagne  [Texte imprimé]</t>
  </si>
  <si>
    <t>039311708</t>
  </si>
  <si>
    <t>Defense Latin America  [Texte imprimé]</t>
  </si>
  <si>
    <t>050937456</t>
  </si>
  <si>
    <t>Le Furet  [Texte imprimé]</t>
  </si>
  <si>
    <t>037396080</t>
  </si>
  <si>
    <t>Umi game nyūsuretā  [Texte imprimé]</t>
  </si>
  <si>
    <t>038713292</t>
  </si>
  <si>
    <t>Geraniums around the world  [Texte imprimé]</t>
  </si>
  <si>
    <t>076006751</t>
  </si>
  <si>
    <t>Peyote  [Texte imprimé]</t>
  </si>
  <si>
    <t>076006085</t>
  </si>
  <si>
    <t>Piquant  [Texte imprimé]  : revue mensuelle de l'amateur de cactus et de plantes grasses du club de cactus peyote</t>
  </si>
  <si>
    <t>037135945</t>
  </si>
  <si>
    <t>Inmersión  [Texte imprimé]</t>
  </si>
  <si>
    <t>037815083</t>
  </si>
  <si>
    <t>OTAN newsletter  [Texte imprimé]</t>
  </si>
  <si>
    <t>03828037X</t>
  </si>
  <si>
    <t>Netherlands journal of aquatic ecology  [Texte imprimé]</t>
  </si>
  <si>
    <t>040113086</t>
  </si>
  <si>
    <t>Nanhai haiyang kexue jikan  [Texte imprimé]</t>
  </si>
  <si>
    <t>12427823X</t>
  </si>
  <si>
    <t>L'Ae  [Texte imprimé]</t>
  </si>
  <si>
    <t>038378191</t>
  </si>
  <si>
    <t>The Journal of the Cactus and succulent society of Japan  [Texte imprimé]</t>
  </si>
  <si>
    <t>040137449</t>
  </si>
  <si>
    <t>Ichthos newsletter  [Texte imprimé]</t>
  </si>
  <si>
    <t>05829516X</t>
  </si>
  <si>
    <t>Jeune afrique  [Texte imprimé]</t>
  </si>
  <si>
    <t>038605899</t>
  </si>
  <si>
    <t>B.I.P. : bulletin informatique production  [Texte imprimé]</t>
  </si>
  <si>
    <t>038792117</t>
  </si>
  <si>
    <t>Lou Darnagas d'Eoures  [Texte imprimé]</t>
  </si>
  <si>
    <t>152096477</t>
  </si>
  <si>
    <t>Ernstia  [Texte imprimé]</t>
  </si>
  <si>
    <t>03725748X</t>
  </si>
  <si>
    <t>BLL announcement bulletin  [Texte imprimé]</t>
  </si>
  <si>
    <t>040004031</t>
  </si>
  <si>
    <t>The Marine connection  [Texte imprimé]</t>
  </si>
  <si>
    <t>040401359</t>
  </si>
  <si>
    <t>048880604</t>
  </si>
  <si>
    <t>Brassey's naval  [Texte imprimé]</t>
  </si>
  <si>
    <t>038466406</t>
  </si>
  <si>
    <t>Connection technology  [Texte imprimé]</t>
  </si>
  <si>
    <t>039096335</t>
  </si>
  <si>
    <t>La Feniera  [Texte imprimé]</t>
  </si>
  <si>
    <t>161407757</t>
  </si>
  <si>
    <t>Revue Lou can  [Texte imprimé]</t>
  </si>
  <si>
    <t>036215988</t>
  </si>
  <si>
    <t>Chart. Lake series.</t>
  </si>
  <si>
    <t>039403971</t>
  </si>
  <si>
    <t>Ashingtonia  [Texte imprimé]</t>
  </si>
  <si>
    <t>039410080</t>
  </si>
  <si>
    <t>CIPS computer magazine  [Texte imprimé]</t>
  </si>
  <si>
    <t>039805417</t>
  </si>
  <si>
    <t>Out of the shell  [Texte imprimé]</t>
  </si>
  <si>
    <t>103174354</t>
  </si>
  <si>
    <t>Plaisirs Gastronomie  [Texte imprimé]</t>
  </si>
  <si>
    <t>037836498</t>
  </si>
  <si>
    <t>Survey of foreign fisheries, translated tables of contents, and new translations  [Texte imprimé]</t>
  </si>
  <si>
    <t>039023311</t>
  </si>
  <si>
    <t>Toulon Charité  [Texte imprimé]</t>
  </si>
  <si>
    <t>036287148</t>
  </si>
  <si>
    <t>Industrial fishery products situation and outlook  [Texte imprimé]</t>
  </si>
  <si>
    <t>037778188</t>
  </si>
  <si>
    <t>Crustacean nutrition news  [Texte imprimé]</t>
  </si>
  <si>
    <t>037797271</t>
  </si>
  <si>
    <t>Literaturschau Kakteen  [Texte imprimé]</t>
  </si>
  <si>
    <t>038689421</t>
  </si>
  <si>
    <t>Actualités de la quinzaine  [Texte imprimé]  / Chambre de commerce et d'industrie de Nice et des Alpes-Maritimes</t>
  </si>
  <si>
    <t>03848482X</t>
  </si>
  <si>
    <t>Psammonalia  [Texte imprimé]  : newsletter of the international association of meiobenthologists</t>
  </si>
  <si>
    <t>075997630</t>
  </si>
  <si>
    <t>Csili  [Texte imprimé]  / Kaktuszkedvelö szakkör tàjèkoztatòja</t>
  </si>
  <si>
    <t>036424412</t>
  </si>
  <si>
    <t>Shellfish situation and outlook  [Texte imprimé]</t>
  </si>
  <si>
    <t>036642037</t>
  </si>
  <si>
    <t>Food fish market review and outlook  [Texte imprimé]</t>
  </si>
  <si>
    <t>037127721</t>
  </si>
  <si>
    <t>Journal des 12 de la cote d'azur  [Texte imprimé]</t>
  </si>
  <si>
    <t>038712482</t>
  </si>
  <si>
    <t>Sortie libre  [Texte imprimé]</t>
  </si>
  <si>
    <t>040080463</t>
  </si>
  <si>
    <t>Countertrade &amp; barter  [Texte imprimé]</t>
  </si>
  <si>
    <t>039313794</t>
  </si>
  <si>
    <t>Practical fishkeeping  [Texte imprimé]</t>
  </si>
  <si>
    <t>039567834</t>
  </si>
  <si>
    <t>Livre canadien  [Texte imprimé]</t>
  </si>
  <si>
    <t>040236234</t>
  </si>
  <si>
    <t>Ballya  [Texte imprimé]</t>
  </si>
  <si>
    <t>040277860</t>
  </si>
  <si>
    <t>040277739</t>
  </si>
  <si>
    <t>037459155</t>
  </si>
  <si>
    <t>CSIE. Cactus and succulent information exchange  [Texte imprimé]</t>
  </si>
  <si>
    <t>039698475</t>
  </si>
  <si>
    <t>Agave  [Texte imprimé]</t>
  </si>
  <si>
    <t>040086593</t>
  </si>
  <si>
    <t>Mesemb Study Group bulletin  [Texte imprimé]</t>
  </si>
  <si>
    <t>136210732</t>
  </si>
  <si>
    <t>L'Aurore  : journal littéraire bi-mensuel</t>
  </si>
  <si>
    <t>187259399</t>
  </si>
  <si>
    <t>Le Réveil de Grasse  [Ressource électronique]</t>
  </si>
  <si>
    <t>040319563</t>
  </si>
  <si>
    <t>The Sonoran quarterly  [Texte imprimé]</t>
  </si>
  <si>
    <t>038255049</t>
  </si>
  <si>
    <t>Calandrinia  [Texte imprimé]</t>
  </si>
  <si>
    <t>040262618</t>
  </si>
  <si>
    <t>Defense marketing international  [Texte imprimé]</t>
  </si>
  <si>
    <t>055787738</t>
  </si>
  <si>
    <t>Le Var libre  [Texte imprimé]  : Organe des mouvements et partis de la Résistance</t>
  </si>
  <si>
    <t>036316962</t>
  </si>
  <si>
    <t>Laboratorio per lo studio della dinamica delle grandi masse. Rapporto tecnico.</t>
  </si>
  <si>
    <t>037948814</t>
  </si>
  <si>
    <t>L'Essor monégasque  [Texte imprimé]</t>
  </si>
  <si>
    <t>039757099</t>
  </si>
  <si>
    <t>Revista uruguaya de cardiología  [Texte imprimé]</t>
  </si>
  <si>
    <t>03641929X</t>
  </si>
  <si>
    <t>Sea grant information leaflet  [Texte imprimé]</t>
  </si>
  <si>
    <t>038049562</t>
  </si>
  <si>
    <t>039065790</t>
  </si>
  <si>
    <t>La Tribune Toulonnaise  [Texte imprimé]</t>
  </si>
  <si>
    <t>113613350</t>
  </si>
  <si>
    <t>Entomologisches Nachrichtenblatt  [Texte imprimé]</t>
  </si>
  <si>
    <t>036610445</t>
  </si>
  <si>
    <t>036917850</t>
  </si>
  <si>
    <t>Jane's defence review  [Texte imprimé]</t>
  </si>
  <si>
    <t>038137607</t>
  </si>
  <si>
    <t>Subacmas  [Texte imprimé]</t>
  </si>
  <si>
    <t>187480834</t>
  </si>
  <si>
    <t>L'Arte Muta  : rassegna della vita cinematografica</t>
  </si>
  <si>
    <t>044693257</t>
  </si>
  <si>
    <t>Australasian beekeeper  [Texte imprimé]</t>
  </si>
  <si>
    <t>192976095</t>
  </si>
  <si>
    <t>Kaléidoscope Asia</t>
  </si>
  <si>
    <t>036352764</t>
  </si>
  <si>
    <t>National academy of sciences. Membership</t>
  </si>
  <si>
    <t>036420212</t>
  </si>
  <si>
    <t>Selected United States Government publications  [Texte imprimé]</t>
  </si>
  <si>
    <t>037215663</t>
  </si>
  <si>
    <t>Defence attachĐe  [Texte imprimé]</t>
  </si>
  <si>
    <t>03898895X</t>
  </si>
  <si>
    <t>Bulletin trimestriel  [Texte imprimé]  / Collectionneurs d'emballages  cigarettes, cigares et tabacs</t>
  </si>
  <si>
    <t>038988976</t>
  </si>
  <si>
    <t>Bulletin de St Jacques et St Antoine  [Texte imprimé]</t>
  </si>
  <si>
    <t>036471232</t>
  </si>
  <si>
    <t>University of Kentucky library  [Texte imprimé]  : Bulletin</t>
  </si>
  <si>
    <t>038888440</t>
  </si>
  <si>
    <t>Bromeliads  [Texte imprimé]</t>
  </si>
  <si>
    <t>050932926</t>
  </si>
  <si>
    <t>03761634X</t>
  </si>
  <si>
    <t>Auszüge aus den europäischen Patentschriften  [Texte imprimé]</t>
  </si>
  <si>
    <t>038792729</t>
  </si>
  <si>
    <t>Bulletin de la Société scientifique et littéraire de Cannes et de l'arrondissement de Grasse  [Texte imprimé]</t>
  </si>
  <si>
    <t>04002055X</t>
  </si>
  <si>
    <t>Kaichū kōen jōhō  [Texte imprimé]</t>
  </si>
  <si>
    <t>037388487</t>
  </si>
  <si>
    <t>Rapporti e studi  [Texte imprimé]  / Commissione di studio dei provvedimenti per la conservazione e difesa della laguna e della città di Venezia</t>
  </si>
  <si>
    <t>037388452</t>
  </si>
  <si>
    <t>Hydrozoan Zoologist Association Newsletter  [Texte imprimé]</t>
  </si>
  <si>
    <t>037393561</t>
  </si>
  <si>
    <t>Documenta  [Texte imprimé]  / Servicio de bibliotecas y medios audiovisuales, Universidad de Antofagasta</t>
  </si>
  <si>
    <t>038597632</t>
  </si>
  <si>
    <t>Les Chiffres clés de l'économie varoise  [Texte imprimé]</t>
  </si>
  <si>
    <t>039052400</t>
  </si>
  <si>
    <t>La Voix du peuple du midi  [Texte imprimé]</t>
  </si>
  <si>
    <t>036926779</t>
  </si>
  <si>
    <t>Electronic, electro-optic and infrared countermeasures  [Texte imprimé]</t>
  </si>
  <si>
    <t>03721263X</t>
  </si>
  <si>
    <t>BBC English  [Texte imprimé]</t>
  </si>
  <si>
    <t>039406415</t>
  </si>
  <si>
    <t>Report  [Texte imprimé]  / Horace Lamb Institute of Oceanography</t>
  </si>
  <si>
    <t>037482947</t>
  </si>
  <si>
    <t>Il mondo illustrato  [Texte imprimé]</t>
  </si>
  <si>
    <t>037900714</t>
  </si>
  <si>
    <t>830612301</t>
  </si>
  <si>
    <t>ST AYGULF-Station amélior.plan</t>
  </si>
  <si>
    <t>Gartenbauliche Versuchsberichte ... der Versuchsanstalten für Gartenbau Auweiler-Friesdorf, Garten- und Landschaftsbau und Friedhofsgärtnerei Essen, Pilzanbau Krefeld, Gemüse- und Zierpflanzenbau Straelen  [Texte imprimé]</t>
  </si>
  <si>
    <t>039591441</t>
  </si>
  <si>
    <t>Aviazione e marina internazionale  [Texte imprimé]</t>
  </si>
  <si>
    <t>038813270</t>
  </si>
  <si>
    <t>Vancouver Public Aquarium newsletter  [Texte imprimé]</t>
  </si>
  <si>
    <t>039699161</t>
  </si>
  <si>
    <t>Cetus  [Texte imprimé]</t>
  </si>
  <si>
    <t>040537641</t>
  </si>
  <si>
    <t>Réseau cétacés  [Texte imprimé]</t>
  </si>
  <si>
    <t>190990813</t>
  </si>
  <si>
    <t>L'Elan Montfleuri, Grasse  : journal de liaison</t>
  </si>
  <si>
    <t>036210943</t>
  </si>
  <si>
    <t>N.L.L. announcement bulletin  [Texte imprimé]</t>
  </si>
  <si>
    <t>036603309</t>
  </si>
  <si>
    <t>039035239</t>
  </si>
  <si>
    <t>L'Éveil  [Texte imprimé]  : organe des intérêts monégasques</t>
  </si>
  <si>
    <t>039051935</t>
  </si>
  <si>
    <t>Nos lectures  [Texte imprimé]  : Revue nationale illustrée</t>
  </si>
  <si>
    <t>040152553</t>
  </si>
  <si>
    <t>Newsletter  [Texte imprimé]  / COMARAF</t>
  </si>
  <si>
    <t>140302395</t>
  </si>
  <si>
    <t>La Vous de Nissa  [Texte imprimé]</t>
  </si>
  <si>
    <t>036735582</t>
  </si>
  <si>
    <t>La Gazette de Monaco  [Texte imprimé]</t>
  </si>
  <si>
    <t>039103269</t>
  </si>
  <si>
    <t>The Marine newsletter  [Texte imprimé]</t>
  </si>
  <si>
    <t>040035514</t>
  </si>
  <si>
    <t>Archange  [Texte imprimé]</t>
  </si>
  <si>
    <t>037921029</t>
  </si>
  <si>
    <t>Newsletter  [Texte imprimé]  / British Library. Science Reference and Information Service</t>
  </si>
  <si>
    <t>05092687X</t>
  </si>
  <si>
    <t>Relations postales de la France avec les colonies françaises et les pays étrangers d'outre-mer y compris la Corse et l'Algérie  [Texte imprimé]</t>
  </si>
  <si>
    <t>15207306X</t>
  </si>
  <si>
    <t>Amigos newsletter  [Texte imprimé]  / Organization for Tropical Studies  ; Wilson bontanical Garden  ; Las Cruces Biological Station</t>
  </si>
  <si>
    <t>037948911</t>
  </si>
  <si>
    <t>Les Cahiers de l'APEM  [Texte imprimé]</t>
  </si>
  <si>
    <t>03635371X</t>
  </si>
  <si>
    <t>National oceanographic instrumentation center. Technical bulletin</t>
  </si>
  <si>
    <t>039051692</t>
  </si>
  <si>
    <t>Le Toulonnais  [Texte imprimé]  : Journal maritime, politique, commercial, administratif, littéraire</t>
  </si>
  <si>
    <t>039051730</t>
  </si>
  <si>
    <t>Le Var automobile  [Texte imprimé]  : Bulletin mensuel officiel de l'Automobile-club du Var</t>
  </si>
  <si>
    <t>039095320</t>
  </si>
  <si>
    <t>L'Ombre  [Texte imprimé]  : Journal politique, littéraire, illustré</t>
  </si>
  <si>
    <t>040615952</t>
  </si>
  <si>
    <t>Tableau de bord  [Texte imprimé]  / Comité interministériel de la sécurité routière</t>
  </si>
  <si>
    <t>039141373</t>
  </si>
  <si>
    <t>Annonces hydrographiques  [Texte imprimé]</t>
  </si>
  <si>
    <t>04504712X</t>
  </si>
  <si>
    <t>Gymnocalycium  [Texte imprimé]</t>
  </si>
  <si>
    <t>036454966</t>
  </si>
  <si>
    <t>Tropical Atlantic biological laboratory. Translation.</t>
  </si>
  <si>
    <t>13788074X</t>
  </si>
  <si>
    <t>La Jeune république  [Texte imprimé]</t>
  </si>
  <si>
    <t>13790228X</t>
  </si>
  <si>
    <t>Le Midi hivernal  [Texte imprimé]</t>
  </si>
  <si>
    <t>037946307</t>
  </si>
  <si>
    <t>Journal des français à l'étranger  [Texte imprimé]</t>
  </si>
  <si>
    <t>039034623</t>
  </si>
  <si>
    <t>L'Incroyable  [Texte imprimé]  : Journal littéraire et humoristique</t>
  </si>
  <si>
    <t>140665811</t>
  </si>
  <si>
    <t>La Revue niçoise  [Texte imprimé]</t>
  </si>
  <si>
    <t>037979817</t>
  </si>
  <si>
    <t>Le Reveil monégasque  [Texte imprimé]</t>
  </si>
  <si>
    <t>039644413</t>
  </si>
  <si>
    <t>Nagasaki Daigaku Suisangakubu Kenkyu Hokoku  [Texte imprimé]</t>
  </si>
  <si>
    <t>050927159</t>
  </si>
  <si>
    <t>Statistique des naufrages et évènements de mer survenus sur les côtes de France pendant l'année...  [Texte imprimé]</t>
  </si>
  <si>
    <t>036389560</t>
  </si>
  <si>
    <t>Proyecto para el desarrollo de la pesca marítima en Colombia. Comunicaciones.</t>
  </si>
  <si>
    <t>039034739</t>
  </si>
  <si>
    <t>L'Illustré de Toulon  [Texte imprimé]</t>
  </si>
  <si>
    <t>039095606</t>
  </si>
  <si>
    <t>Revue de la jeunesse  [Texte imprimé]  : journal des familles</t>
  </si>
  <si>
    <t>187259852</t>
  </si>
  <si>
    <t>La Voix du peuple  [Ressource électronique]</t>
  </si>
  <si>
    <t>040277755</t>
  </si>
  <si>
    <t>Technical reports accessions list  [Texte imprimé]</t>
  </si>
  <si>
    <t>040291367</t>
  </si>
  <si>
    <t>U.S. JGOFS news  [Texte imprimé]</t>
  </si>
  <si>
    <t>040304205</t>
  </si>
  <si>
    <t>Pacific basin marine education newsletter  [Texte imprimé]</t>
  </si>
  <si>
    <t>050926810</t>
  </si>
  <si>
    <t>Raccolta di R. determinazioni, regolamenti, decisioni, ed altri provvedimenti relativi all'amministrazione ed al servizio militare di terra e di mare  [Texte imprimé]</t>
  </si>
  <si>
    <t>036428736</t>
  </si>
  <si>
    <t>Southeast Asian fisheries development center. Marine fisheries research department. Annual report</t>
  </si>
  <si>
    <t>037950509</t>
  </si>
  <si>
    <t>Annuaire du sport automobile et vélocipédique de Monaco  [Texte imprimé]</t>
  </si>
  <si>
    <t>039807568</t>
  </si>
  <si>
    <t>136589987</t>
  </si>
  <si>
    <t>036746185</t>
  </si>
  <si>
    <t>Haworthiad  [Texte imprimé]</t>
  </si>
  <si>
    <t>039066894</t>
  </si>
  <si>
    <t>La Feuille toulonnaise  [Texte imprimé]</t>
  </si>
  <si>
    <t>039095959</t>
  </si>
  <si>
    <t>Eldorado-programme  [Texte imprimé]</t>
  </si>
  <si>
    <t>048886955</t>
  </si>
  <si>
    <t>Bulletin d'informations  [Texte imprimé]  / Association amicale des officiers et anciens officiers du Commissariat de la marine et des anciens élèves de l'école du Commissariat de la Marine</t>
  </si>
  <si>
    <t>137907990</t>
  </si>
  <si>
    <t>Le Niçard  [Texte imprimé]</t>
  </si>
  <si>
    <t>172104734</t>
  </si>
  <si>
    <t>039034380</t>
  </si>
  <si>
    <t>Le Carnaval de Toulon  [Texte imprimé]</t>
  </si>
  <si>
    <t>036177490</t>
  </si>
  <si>
    <t>Australian fisheries paper  [Texte imprimé]</t>
  </si>
  <si>
    <t>036240745</t>
  </si>
  <si>
    <t>Division of biological research. Collected reprints.</t>
  </si>
  <si>
    <t>040148424</t>
  </si>
  <si>
    <t>Feuille de liaison et d'information  [Texte imprimé]  / Société centrale d'agriculture</t>
  </si>
  <si>
    <t>156153858</t>
  </si>
  <si>
    <t>Le Progrès de Grasse  [Texte imprimé]</t>
  </si>
  <si>
    <t>036228575</t>
  </si>
  <si>
    <t>Contributions from the Lamont-Doherty geological observatory, Columbia university</t>
  </si>
  <si>
    <t>04017543X</t>
  </si>
  <si>
    <t>L'Echo de la sûreté publique  [Texte imprimé]</t>
  </si>
  <si>
    <t>050926780</t>
  </si>
  <si>
    <t>Ordnance. Land, sea, air, space  [Texte imprimé]</t>
  </si>
  <si>
    <t>137875649</t>
  </si>
  <si>
    <t>L'Indépendant des Alpes-Maritimes  [Texte imprimé]</t>
  </si>
  <si>
    <t>140657452</t>
  </si>
  <si>
    <t>La République sociale  [Texte imprimé]</t>
  </si>
  <si>
    <t>037979795</t>
  </si>
  <si>
    <t>La Vérité  [Texte imprimé]</t>
  </si>
  <si>
    <t>038416069</t>
  </si>
  <si>
    <t>Succulent scene  [Texte imprimé]</t>
  </si>
  <si>
    <t>038427338</t>
  </si>
  <si>
    <t>Quaderni del Museo di paleontologia e scienze naturali di Voghera  [Texte imprimé]</t>
  </si>
  <si>
    <t>039096394</t>
  </si>
  <si>
    <t>Almanach de la ville de Toulon et de son arrondissement  [Texte imprimé]</t>
  </si>
  <si>
    <t>039096416</t>
  </si>
  <si>
    <t>L'Argus toulonnais  [Texte imprimé]</t>
  </si>
  <si>
    <t>140656138</t>
  </si>
  <si>
    <t>Le Républicain niçois  [Texte imprimé]</t>
  </si>
  <si>
    <t>039096041</t>
  </si>
  <si>
    <t>Le Contentieux administratif  [Texte imprimé]</t>
  </si>
  <si>
    <t>039113469</t>
  </si>
  <si>
    <t>Les Soirées de la Société de Saint-François-Xavier  [Texte imprimé]</t>
  </si>
  <si>
    <t>039141292</t>
  </si>
  <si>
    <t>Annuaire des conservateurs d'archives  [Texte imprimé]</t>
  </si>
  <si>
    <t>037388479</t>
  </si>
  <si>
    <t>Acquisitions List  [Texte imprimé]  / RSMAS Library</t>
  </si>
  <si>
    <t>04504709X</t>
  </si>
  <si>
    <t>Amateurs' digest  [Texte imprimé]</t>
  </si>
  <si>
    <t>037202332</t>
  </si>
  <si>
    <t>Serie arqueológica  [Texte imprimé]</t>
  </si>
  <si>
    <t>050926454</t>
  </si>
  <si>
    <t>État-major de la marine. Liste navale française  [Texte imprimé]</t>
  </si>
  <si>
    <t>103174192</t>
  </si>
  <si>
    <t>Plaisirs  [Texte imprimé]</t>
  </si>
  <si>
    <t>136023762</t>
  </si>
  <si>
    <t>Le Forum des Alpes-Maritimes et de la Principauté de Monaco  [Texte imprimé]</t>
  </si>
  <si>
    <t>039035093</t>
  </si>
  <si>
    <t>La Lorgnette toulonnaise  [Texte imprimé]</t>
  </si>
  <si>
    <t>038427206</t>
  </si>
  <si>
    <t>Blühende Kakteen und andere sukkulente Pflanzen  [Texte imprimé]</t>
  </si>
  <si>
    <t>050923307</t>
  </si>
  <si>
    <t>Revue bretonne et étrangère  [Texte imprimé]</t>
  </si>
  <si>
    <t>039066134</t>
  </si>
  <si>
    <t>036279838</t>
  </si>
  <si>
    <t>Horace Lamb centre for oceanographical research. Research paper  [Texte imprimé]</t>
  </si>
  <si>
    <t>037778196</t>
  </si>
  <si>
    <t>Crustacean reference diet newsletter  [Texte imprimé]</t>
  </si>
  <si>
    <t>03778398X</t>
  </si>
  <si>
    <t>Bulletin mensuel  [Texte imprimé]  / Groupement français des vieux marocains</t>
  </si>
  <si>
    <t>038378280</t>
  </si>
  <si>
    <t>Pereskia  [Texte imprimé]</t>
  </si>
  <si>
    <t>036360171</t>
  </si>
  <si>
    <t>Nihon shinshu kenkyūsho hōkoku shu.</t>
  </si>
  <si>
    <t>036245798</t>
  </si>
  <si>
    <t>Edward Percival marine laboratory  : Collected marine reprints.</t>
  </si>
  <si>
    <t>039034674</t>
  </si>
  <si>
    <t>Le Jardin du Roi  [Texte imprimé]</t>
  </si>
  <si>
    <t>039268950</t>
  </si>
  <si>
    <t>050926403</t>
  </si>
  <si>
    <t>List of merchant vessels of the United States...  [Texte imprimé]</t>
  </si>
  <si>
    <t>039051552</t>
  </si>
  <si>
    <t>Quinzaine gastronomique toulonnaise et journée du tourisme  [Texte imprimé]</t>
  </si>
  <si>
    <t>048886815</t>
  </si>
  <si>
    <t>Comité social  [Texte imprimé]  / Région maritime Méditerranée. Direction locale de l'action sociale des armées</t>
  </si>
  <si>
    <t>140311955</t>
  </si>
  <si>
    <t>La Semaine de Jan  [Texte imprimé]</t>
  </si>
  <si>
    <t>036353698</t>
  </si>
  <si>
    <t>National oceanographic instrumentation center. Instrument fact sheet</t>
  </si>
  <si>
    <t>039065634</t>
  </si>
  <si>
    <t>L'Antibois  [Texte imprimé]</t>
  </si>
  <si>
    <t>140581812</t>
  </si>
  <si>
    <t>Lu Tirignon  [Texte imprimé]</t>
  </si>
  <si>
    <t>036345482</t>
  </si>
  <si>
    <t>Mote marine laboratory. Newsletter</t>
  </si>
  <si>
    <t>050926799</t>
  </si>
  <si>
    <t>Petite revue maritime  [Texte imprimé]</t>
  </si>
  <si>
    <t>036158240</t>
  </si>
  <si>
    <t>Almanacco letterario Bompiani  [Texte imprimé]</t>
  </si>
  <si>
    <t>036385522</t>
  </si>
  <si>
    <t>Proceedings of the Society for underwater technology  [Texte imprimé]</t>
  </si>
  <si>
    <t>038902672</t>
  </si>
  <si>
    <t>039035077</t>
  </si>
  <si>
    <t>Littoral sténographe  [Texte imprimé]</t>
  </si>
  <si>
    <t>140298428</t>
  </si>
  <si>
    <t>La Vie élégante  [Texte imprimé]</t>
  </si>
  <si>
    <t>036419338</t>
  </si>
  <si>
    <t>Sea grant special bulletin  [Texte imprimé]</t>
  </si>
  <si>
    <t>03909619X</t>
  </si>
  <si>
    <t>Bulletin des communes  [Texte imprimé]</t>
  </si>
  <si>
    <t>040198553</t>
  </si>
  <si>
    <t>Mentan ù pai͏̈s ch'es ù men  [Texte imprimé]</t>
  </si>
  <si>
    <t>118155997</t>
  </si>
  <si>
    <t>Area domeniu  [Texte imprimé]</t>
  </si>
  <si>
    <t>037207598</t>
  </si>
  <si>
    <t>Bulletin de l'Association amicale des anciens élèves des frères des écoles chrétiennes, Monaco  [Texte imprimé]</t>
  </si>
  <si>
    <t>128371153</t>
  </si>
  <si>
    <t>Lou Fica-nas  [Texte imprimé]</t>
  </si>
  <si>
    <t>055793274</t>
  </si>
  <si>
    <t>USAMagazine  [Texte imprimé]</t>
  </si>
  <si>
    <t>037979779</t>
  </si>
  <si>
    <t>Le Socialiste  [Texte imprimé]</t>
  </si>
  <si>
    <t>03636519X</t>
  </si>
  <si>
    <t>Oceanographic data report of C.S.K.  [Texte imprimé]</t>
  </si>
  <si>
    <t>040030709</t>
  </si>
  <si>
    <t>Hoya nieuwsbrief  [Texte imprimé]</t>
  </si>
  <si>
    <t>040614239</t>
  </si>
  <si>
    <t>830505201</t>
  </si>
  <si>
    <t>DRAGUIGNAN-Ecole Artillerie</t>
  </si>
  <si>
    <t>43.5377269</t>
  </si>
  <si>
    <t>6.464993</t>
  </si>
  <si>
    <t>Bulletin de documentation  [Texte imprimé]  / Centre d'enseignement supérieur aérien</t>
  </si>
  <si>
    <t>038597675</t>
  </si>
  <si>
    <t>La Dépêche  [Texte imprimé]</t>
  </si>
  <si>
    <t>039583112</t>
  </si>
  <si>
    <t>Nuova rivista europea  [Texte imprimé]</t>
  </si>
  <si>
    <t>039066312</t>
  </si>
  <si>
    <t>Annuaire administratif du département du Var  [Texte imprimé]</t>
  </si>
  <si>
    <t>039412296</t>
  </si>
  <si>
    <t>04044547X</t>
  </si>
  <si>
    <t>Nice entreprendre  [Texte imprimé]</t>
  </si>
  <si>
    <t>156131994</t>
  </si>
  <si>
    <t>Le Niçois  [Texte imprimé]</t>
  </si>
  <si>
    <t>037889966</t>
  </si>
  <si>
    <t>Stachelpost  [Texte imprimé]</t>
  </si>
  <si>
    <t>038758954</t>
  </si>
  <si>
    <t>Naval record  [Texte imprimé]</t>
  </si>
  <si>
    <t>039933555</t>
  </si>
  <si>
    <t>BIP. Bulletin d'information pour le personnel  [Texte imprimé]</t>
  </si>
  <si>
    <t>058184937</t>
  </si>
  <si>
    <t>167963791</t>
  </si>
  <si>
    <t>060885211</t>
  </si>
  <si>
    <t>NICE-Musée Terra Amata</t>
  </si>
  <si>
    <t>43.697557</t>
  </si>
  <si>
    <t>7.289042</t>
  </si>
  <si>
    <t>Racines  [Texte imprimé]</t>
  </si>
  <si>
    <t>036484628</t>
  </si>
  <si>
    <t>Woods Hole oceanographic institution. Document library. Accession list</t>
  </si>
  <si>
    <t>03795279X</t>
  </si>
  <si>
    <t>Notre cité  [Texte imprimé]</t>
  </si>
  <si>
    <t>039387305</t>
  </si>
  <si>
    <t>075970627</t>
  </si>
  <si>
    <t>Cactus &amp; exotica  [Texte imprimé]</t>
  </si>
  <si>
    <t>137908393</t>
  </si>
  <si>
    <t>137908113</t>
  </si>
  <si>
    <t>Nice littéraire  [Texte imprimé]</t>
  </si>
  <si>
    <t>037349988</t>
  </si>
  <si>
    <t>Vjesnik  [Texte imprimé]  / Društvo prijatelja cvijeća i zelenila Zagreb</t>
  </si>
  <si>
    <t>037931903</t>
  </si>
  <si>
    <t>03848806X</t>
  </si>
  <si>
    <t>Nouvelles acquisitions de la bibliothèque  [Texte imprimé]</t>
  </si>
  <si>
    <t>03973658X</t>
  </si>
  <si>
    <t>060042304</t>
  </si>
  <si>
    <t>ANTIBES-INRA-IPMSV</t>
  </si>
  <si>
    <t>43.5654347</t>
  </si>
  <si>
    <t>7.124600999999999</t>
  </si>
  <si>
    <t>Recorder  [Texte imprimé]</t>
  </si>
  <si>
    <t>036883360</t>
  </si>
  <si>
    <t>Data book - Diode  [Texte imprimé]</t>
  </si>
  <si>
    <t>156154404</t>
  </si>
  <si>
    <t>Le Progrès des Alpes-Maritimes et des Basses-Alpes  [Texte imprimé]</t>
  </si>
  <si>
    <t>037955527</t>
  </si>
  <si>
    <t>Bulletin de l'A.E.S.T.M.  [Texte imprimé]</t>
  </si>
  <si>
    <t>039609855</t>
  </si>
  <si>
    <t>038739976</t>
  </si>
  <si>
    <t>Bulletin municipal  [Texte imprimé]  / Cannes</t>
  </si>
  <si>
    <t>137875436</t>
  </si>
  <si>
    <t>L'Indépendant de Nice et des Alpes-Maritimes  [Texte imprimé]</t>
  </si>
  <si>
    <t>039206912</t>
  </si>
  <si>
    <t>Oseana  [Texte imprimé]</t>
  </si>
  <si>
    <t>037271296</t>
  </si>
  <si>
    <t>BBC modern English  [Texte imprimé]</t>
  </si>
  <si>
    <t>038378302</t>
  </si>
  <si>
    <t>Shaboten  [Texte imprimé]</t>
  </si>
  <si>
    <t>036974595</t>
  </si>
  <si>
    <t>Gartenbauliche Versuchsberichte ... der Versuchsanstalten Obst- und Gemüsebau Auweiler, Garten- und Landschaftsbau und Friedhofsgärtnerei Essen, Zierpflanzenbau, Baumschulen und Floristik Friesdorf, Pilzanbau Krefeld, Gemüse- und Zierpflanzenbau Straelen  [Texte imprimé]</t>
  </si>
  <si>
    <t>039286932</t>
  </si>
  <si>
    <t>Annuaire  [Texte imprimé]  / Fédération monégasque de lawn tennis</t>
  </si>
  <si>
    <t>036266566</t>
  </si>
  <si>
    <t>Electronic progress  [Texte imprimé]</t>
  </si>
  <si>
    <t>089987284</t>
  </si>
  <si>
    <t>Athene  [Texte imprimé]</t>
  </si>
  <si>
    <t>136595286</t>
  </si>
  <si>
    <t>Côte d'Azur-hygiène  [Texte imprimé]</t>
  </si>
  <si>
    <t>036402451</t>
  </si>
  <si>
    <t>Report of the Bureau of commercial fisheries for the calendar year...  [Texte imprimé]</t>
  </si>
  <si>
    <t>040135063</t>
  </si>
  <si>
    <t>Perspectives monégasques  [Texte imprimé]</t>
  </si>
  <si>
    <t>038261804</t>
  </si>
  <si>
    <t>140305343</t>
  </si>
  <si>
    <t>Victor  [Texte imprimé]</t>
  </si>
  <si>
    <t>14011761X</t>
  </si>
  <si>
    <t>Joypad  [Texte imprimé]</t>
  </si>
  <si>
    <t>036285684</t>
  </si>
  <si>
    <t>Food fish situation &amp; outlook  [Texte imprimé]</t>
  </si>
  <si>
    <t>036293679</t>
  </si>
  <si>
    <t>International decade of ocean exploration. Progress report.</t>
  </si>
  <si>
    <t>040090515</t>
  </si>
  <si>
    <t>Nouvelles acquisitions  [Texte imprimé]  / Service historique de la marine à Brest, Bibliothèque</t>
  </si>
  <si>
    <t>037222066</t>
  </si>
  <si>
    <t>Pauline  [Texte imprimé]</t>
  </si>
  <si>
    <t>037790315</t>
  </si>
  <si>
    <t>Kaktusářské listy  [Texte imprimé]</t>
  </si>
  <si>
    <t>039066436</t>
  </si>
  <si>
    <t>Le Spectateur  [Texte imprimé]  : Journal des théâtres de Toulon  : Satirique, littéraire et mondain</t>
  </si>
  <si>
    <t>054445426</t>
  </si>
  <si>
    <t>Gazzetta ufficiale del Regno  [Texte imprimé]</t>
  </si>
  <si>
    <t>03846019X</t>
  </si>
  <si>
    <t>Droit et clair  [Texte imprimé]</t>
  </si>
  <si>
    <t>037947435</t>
  </si>
  <si>
    <t>Lettre pastorale et mandement de Monseigneur l'Evêque de Monaco  [Texte imprimé]</t>
  </si>
  <si>
    <t>040045366</t>
  </si>
  <si>
    <t>Der Frankfurter Kakteen-Freund  [Texte imprimé]</t>
  </si>
  <si>
    <t>037601709</t>
  </si>
  <si>
    <t>Son hi-fi magazine  [Texte imprimé]</t>
  </si>
  <si>
    <t>036682888</t>
  </si>
  <si>
    <t>Amphipod newsletter  [Texte imprimé]</t>
  </si>
  <si>
    <t>036266558</t>
  </si>
  <si>
    <t>Electronic news  [Texte imprimé]</t>
  </si>
  <si>
    <t>045043396</t>
  </si>
  <si>
    <t>Life  [Texte imprimé]</t>
  </si>
  <si>
    <t>038665980</t>
  </si>
  <si>
    <t>L'Apicoltore d'Italia  [Texte imprimé]</t>
  </si>
  <si>
    <t>03727418X</t>
  </si>
  <si>
    <t>Succulent Plant Institute newsletter  [Texte imprimé]</t>
  </si>
  <si>
    <t>037970321</t>
  </si>
  <si>
    <t>Newsletter  [Texte imprimé]  / International Tsunami Information Center</t>
  </si>
  <si>
    <t>039478602</t>
  </si>
  <si>
    <t>039574598</t>
  </si>
  <si>
    <t>Kaiyō Kagaku Gijutsu Sentā shiken kenkyū hōkoku  [Texte imprimé]</t>
  </si>
  <si>
    <t>036935336</t>
  </si>
  <si>
    <t>039786846</t>
  </si>
  <si>
    <t>Reef current awareness bulletin.  [Texte imprimé]</t>
  </si>
  <si>
    <t>075839490</t>
  </si>
  <si>
    <t>Bees for Development Journal  [Texte imprimé]</t>
  </si>
  <si>
    <t>037571761</t>
  </si>
  <si>
    <t>Approach  [Texte imprimé]</t>
  </si>
  <si>
    <t>038041359</t>
  </si>
  <si>
    <t>Reports on research  [Texte imprimé]  / Woods Hole Oceanographic Institution</t>
  </si>
  <si>
    <t>036942332</t>
  </si>
  <si>
    <t>040156818</t>
  </si>
  <si>
    <t>Cardioscience  [Texte imprimé]</t>
  </si>
  <si>
    <t>036783250</t>
  </si>
  <si>
    <t>M.H.Monuments historiques  [Texte imprimé]  / Caisse nationale des monuments historiques et des sites</t>
  </si>
  <si>
    <t>037277596</t>
  </si>
  <si>
    <t>Pacific defence reporter  [Texte imprimé]</t>
  </si>
  <si>
    <t>037444050</t>
  </si>
  <si>
    <t>Bulletin  [Texte imprimé]  / South African National Committee for Oceanographic Research, Marine Geology Programme</t>
  </si>
  <si>
    <t>038767449</t>
  </si>
  <si>
    <t>Lou Timbalié nissart  [Texte imprimé]</t>
  </si>
  <si>
    <t>124278612</t>
  </si>
  <si>
    <t>013538039</t>
  </si>
  <si>
    <t>La Longue-vue  [Texte imprimé]</t>
  </si>
  <si>
    <t>039034569</t>
  </si>
  <si>
    <t>Gazette judiciaire commerciale-industrielle de Toulon et du Var  [Texte imprimé]</t>
  </si>
  <si>
    <t>039354237</t>
  </si>
  <si>
    <t>Dōbutsu to dōbutsuen  [Texte imprimé]</t>
  </si>
  <si>
    <t>040096386</t>
  </si>
  <si>
    <t>The Cactus file  [Texte imprimé]</t>
  </si>
  <si>
    <t>124278698</t>
  </si>
  <si>
    <t>Le Rapide  [Texte imprimé]</t>
  </si>
  <si>
    <t>037952781</t>
  </si>
  <si>
    <t>Monte-Carlo ... Tout va ...  [Texte imprimé]</t>
  </si>
  <si>
    <t>039035522</t>
  </si>
  <si>
    <t>Le Patriote de l'Ardèche  [Texte imprimé]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</si>
</sst>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48"/>
  <sheetViews>
    <sheetView topLeftCell="A1129" workbookViewId="0">
      <selection activeCell="D1159" sqref="D1159"/>
    </sheetView>
  </sheetViews>
  <sheetFormatPr baseColWidth="10" defaultRowHeight="15" x14ac:dyDescent="0.25"/>
  <cols>
    <col min="3" max="3" width="18.5703125" customWidth="1"/>
    <col min="4" max="4" width="15.42578125" customWidth="1"/>
    <col min="5" max="6" width="20.7109375" customWidth="1"/>
    <col min="7" max="7" width="23.85546875" customWidth="1"/>
    <col min="9" max="9" width="22.5703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6</v>
      </c>
      <c r="H1" t="s">
        <v>5</v>
      </c>
      <c r="I1" t="s">
        <v>8</v>
      </c>
    </row>
    <row r="2" spans="1:9" x14ac:dyDescent="0.25">
      <c r="A2" t="str">
        <f>"040002845"</f>
        <v>040002845</v>
      </c>
      <c r="B2" t="str">
        <f>TEXT(_xlfn.FILTERXML(_xlfn.WEBSERVICE("http://www.sudoc.fr/services/multiwhere/"&amp;A2),"//query/result/library/rcr"),"000000000")</f>
        <v>061525404</v>
      </c>
      <c r="C2" t="str">
        <f>_xlfn.FILTERXML(_xlfn.WEBSERVICE("http://www.sudoc.fr/services/multiwhere/"&amp;A2),"//query/result/library/shortname")</f>
        <v>SOPHIA/ANT.-Thales Und. Systems</v>
      </c>
      <c r="D2" t="e">
        <f>_xlfn.FILTERXML(_xlfn.WEBSERVICE("http://www.sudoc.fr/services/multiwhere/"&amp;A2),"//query/result/library/latitude")</f>
        <v>#VALUE!</v>
      </c>
      <c r="E2" t="e">
        <f>_xlfn.FILTERXML(_xlfn.WEBSERVICE("http://www.sudoc.fr/services/multiwhere/"&amp;A2),"//query/result/library/longitude")</f>
        <v>#VALUE!</v>
      </c>
      <c r="F2" t="str">
        <f>_xlfn.FILTERXML(_xlfn.WEBSERVICE("http://www.sudoc.fr/"&amp;A2&amp;".rdf"),"//bibo:Periodical/dc:title")</f>
        <v>Transfer  [Texte imprimé]</v>
      </c>
      <c r="G2" t="str">
        <f>_xlfn.FILTERXML(_xlfn.WEBSERVICE("http://www.sudoc.fr/"&amp;A2&amp;".abes"),"//datafield[@tag='200']/subfield[@code='a']")</f>
        <v>Transfer</v>
      </c>
      <c r="H2" t="str">
        <f>_xlfn.FILTERXML(_xlfn.WEBSERVICE("http://www.sudoc.fr/"&amp;A2&amp;".abes"),"//datafield[@tag='011']/subfield[@code='a']")</f>
        <v>0898-2333</v>
      </c>
      <c r="I2" t="str">
        <f>_xlfn.FILTERXML(_xlfn.WEBSERVICE("http://www.sudoc.fr/"&amp;A2&amp;".abes"),"//datafield[@tag='955']/subfield[@code='r']")</f>
        <v>(1990)-....</v>
      </c>
    </row>
    <row r="3" spans="1:9" x14ac:dyDescent="0.25">
      <c r="A3" t="str">
        <f>"093354320"</f>
        <v>093354320</v>
      </c>
      <c r="B3" t="str">
        <f t="shared" ref="B3:B66" si="0">TEXT(_xlfn.FILTERXML(_xlfn.WEBSERVICE("http://www.sudoc.fr/services/multiwhere/"&amp;A3),"//query/result/library/rcr"),"000000000")</f>
        <v>830505302</v>
      </c>
      <c r="C3" t="str">
        <f t="shared" ref="C3:C31" si="1">_xlfn.FILTERXML(_xlfn.WEBSERVICE("http://www.sudoc.fr/services/multiwhere/"&amp;A3),"//query/result/library/shortname")</f>
        <v>DRAGUIGNAN-SESA</v>
      </c>
      <c r="D3" t="str">
        <f t="shared" ref="D3:D31" si="2">_xlfn.FILTERXML(_xlfn.WEBSERVICE("http://www.sudoc.fr/services/multiwhere/"&amp;A3),"//query/result/library/latitude")</f>
        <v>43.5366856</v>
      </c>
      <c r="E3" t="str">
        <f t="shared" ref="E3:E31" si="3">_xlfn.FILTERXML(_xlfn.WEBSERVICE("http://www.sudoc.fr/services/multiwhere/"&amp;A3),"//query/result/library/longitude")</f>
        <v>6.461841499999999</v>
      </c>
      <c r="F3" t="str">
        <f t="shared" ref="F3:F31" si="4">_xlfn.FILTERXML(_xlfn.WEBSERVICE("http://www.sudoc.fr/"&amp;A3&amp;".rdf"),"//bibo:Periodical/dc:title")</f>
        <v>REPECO  [Texte imprimé]</v>
      </c>
      <c r="G3" t="str">
        <f t="shared" ref="G3:G31" si="5">_xlfn.FILTERXML(_xlfn.WEBSERVICE("http://www.sudoc.fr/"&amp;A3&amp;".abes"),"//datafield[@tag='200']/subfield[@code='a']")</f>
        <v>REPECO</v>
      </c>
      <c r="H3" t="str">
        <f t="shared" ref="H3:H31" si="6">_xlfn.FILTERXML(_xlfn.WEBSERVICE("http://www.sudoc.fr/"&amp;A3&amp;".abes"),"//datafield[@tag='011']/subfield[@code='a']")</f>
        <v>0716-9000</v>
      </c>
      <c r="I3" t="str">
        <f t="shared" ref="I3:I31" si="7">_xlfn.FILTERXML(_xlfn.WEBSERVICE("http://www.sudoc.fr/"&amp;A3&amp;".abes"),"//datafield[@tag='955']/subfield[@code='r']")</f>
        <v>no. 87 (2001) - no. 89  (2001)</v>
      </c>
    </row>
    <row r="4" spans="1:9" x14ac:dyDescent="0.25">
      <c r="A4" t="str">
        <f>"156154919"</f>
        <v>156154919</v>
      </c>
      <c r="B4" t="str">
        <f t="shared" si="0"/>
        <v>060696201</v>
      </c>
      <c r="C4" t="str">
        <f t="shared" si="1"/>
        <v>GRASSE-Villa St Hilaire</v>
      </c>
      <c r="D4" t="str">
        <f t="shared" si="2"/>
        <v>43.65711599999999</v>
      </c>
      <c r="E4" t="str">
        <f t="shared" si="3"/>
        <v>6.9183745</v>
      </c>
      <c r="F4" t="e">
        <f t="shared" si="4"/>
        <v>#VALUE!</v>
      </c>
      <c r="G4" t="e">
        <f t="shared" si="5"/>
        <v>#VALUE!</v>
      </c>
      <c r="H4" t="e">
        <f t="shared" si="6"/>
        <v>#VALUE!</v>
      </c>
      <c r="I4" t="e">
        <f t="shared" si="7"/>
        <v>#VALUE!</v>
      </c>
    </row>
    <row r="5" spans="1:9" x14ac:dyDescent="0.25">
      <c r="A5" t="str">
        <f>"03794651X"</f>
        <v>03794651X</v>
      </c>
      <c r="B5" t="str">
        <f t="shared" si="0"/>
        <v>991386201</v>
      </c>
      <c r="C5" t="str">
        <f t="shared" si="1"/>
        <v>MONACO-Bibl.Louis Notari</v>
      </c>
      <c r="D5" t="str">
        <f t="shared" si="2"/>
        <v>43.7351319</v>
      </c>
      <c r="E5" t="str">
        <f t="shared" si="3"/>
        <v>7.420563100000001</v>
      </c>
      <c r="F5" t="str">
        <f t="shared" si="4"/>
        <v>Üntra nui  [Texte imprimé]</v>
      </c>
      <c r="G5" t="str">
        <f t="shared" si="5"/>
        <v>Üntra nui</v>
      </c>
      <c r="H5" t="str">
        <f t="shared" si="6"/>
        <v>1010-4763</v>
      </c>
      <c r="I5" t="str">
        <f t="shared" si="7"/>
        <v>(1957) - (1963) [lac]</v>
      </c>
    </row>
    <row r="6" spans="1:9" x14ac:dyDescent="0.25">
      <c r="A6" t="str">
        <f>"039113264"</f>
        <v>039113264</v>
      </c>
      <c r="B6" t="str">
        <f t="shared" si="0"/>
        <v>831376201</v>
      </c>
      <c r="C6" t="str">
        <f t="shared" si="1"/>
        <v>TOULON-BM</v>
      </c>
      <c r="D6" t="str">
        <f t="shared" si="2"/>
        <v>43.0823215</v>
      </c>
      <c r="E6" t="str">
        <f t="shared" si="3"/>
        <v>5.920052699999999</v>
      </c>
      <c r="F6" t="str">
        <f t="shared" si="4"/>
        <v>Annuaire toulonnais  [Texte imprimé]</v>
      </c>
      <c r="G6" t="str">
        <f t="shared" si="5"/>
        <v>Annuaire toulonnais</v>
      </c>
      <c r="H6" t="str">
        <f t="shared" si="6"/>
        <v>2015-9714</v>
      </c>
      <c r="I6">
        <f t="shared" si="7"/>
        <v>-1864</v>
      </c>
    </row>
    <row r="7" spans="1:9" x14ac:dyDescent="0.25">
      <c r="A7" t="str">
        <f>"050926470"</f>
        <v>050926470</v>
      </c>
      <c r="B7" t="str">
        <f t="shared" si="0"/>
        <v>831375101</v>
      </c>
      <c r="C7" t="str">
        <f t="shared" si="1"/>
        <v>TOULON-Serv.Historique Marine</v>
      </c>
      <c r="D7" t="str">
        <f t="shared" si="2"/>
        <v>43.124228</v>
      </c>
      <c r="E7" t="str">
        <f t="shared" si="3"/>
        <v>5.928</v>
      </c>
      <c r="F7" t="str">
        <f t="shared" si="4"/>
        <v>Guide officiel des voyageurs sur tous les chemins de fer de l'Europe et des principaux paquebots de la Méditerranée et de l'Océan  [Texte imprimé]</v>
      </c>
      <c r="G7" t="str">
        <f t="shared" si="5"/>
        <v>Guide officiel des voyageurs sur tous les chemins de fer de l'Europe et des principaux paquebots de la Méditerranée et de l'Océan</v>
      </c>
      <c r="H7" t="str">
        <f t="shared" si="6"/>
        <v>2020-9800</v>
      </c>
      <c r="I7" t="str">
        <f t="shared" si="7"/>
        <v>no. 2 (1868) ; no. 3 (1869)</v>
      </c>
    </row>
    <row r="8" spans="1:9" x14ac:dyDescent="0.25">
      <c r="A8" t="str">
        <f>"190961791"</f>
        <v>190961791</v>
      </c>
      <c r="B8" t="str">
        <f t="shared" si="0"/>
        <v>060696201</v>
      </c>
      <c r="C8" t="str">
        <f t="shared" si="1"/>
        <v>GRASSE-Villa St Hilaire</v>
      </c>
      <c r="D8" t="str">
        <f t="shared" si="2"/>
        <v>43.65711599999999</v>
      </c>
      <c r="E8" t="str">
        <f t="shared" si="3"/>
        <v>6.9183745</v>
      </c>
      <c r="F8" t="str">
        <f t="shared" si="4"/>
        <v>Cosmobiologie  : revue internationale</v>
      </c>
      <c r="G8" t="str">
        <f t="shared" si="5"/>
        <v>Cosmobiologie</v>
      </c>
      <c r="H8" t="str">
        <f t="shared" si="6"/>
        <v>2555-235X</v>
      </c>
      <c r="I8" t="str">
        <f t="shared" si="7"/>
        <v>(1936) - (1940) [Lacunaire]</v>
      </c>
    </row>
    <row r="9" spans="1:9" x14ac:dyDescent="0.25">
      <c r="A9" t="str">
        <f>"040000257"</f>
        <v>040000257</v>
      </c>
      <c r="B9" t="str">
        <f t="shared" si="0"/>
        <v>060885101</v>
      </c>
      <c r="C9" t="str">
        <f t="shared" si="1"/>
        <v>NICE-Archives Municipales</v>
      </c>
      <c r="D9" t="str">
        <f t="shared" si="2"/>
        <v>43.68774699999999</v>
      </c>
      <c r="E9" t="str">
        <f t="shared" si="3"/>
        <v>7.235200000000001</v>
      </c>
      <c r="F9" t="str">
        <f t="shared" si="4"/>
        <v>Mumacote infos  [Texte imprimé]</v>
      </c>
      <c r="G9" t="str">
        <f t="shared" si="5"/>
        <v>Mumacote infos</v>
      </c>
      <c r="H9" t="str">
        <f t="shared" si="6"/>
        <v>1166-7141</v>
      </c>
      <c r="I9" t="str">
        <f t="shared" si="7"/>
        <v>no. 1 (1988)-....</v>
      </c>
    </row>
    <row r="10" spans="1:9" x14ac:dyDescent="0.25">
      <c r="A10" t="str">
        <f>"068786603"</f>
        <v>068786603</v>
      </c>
      <c r="B10" t="str">
        <f t="shared" si="0"/>
        <v>060696201</v>
      </c>
      <c r="C10" t="str">
        <f t="shared" si="1"/>
        <v>GRASSE-Villa St Hilaire</v>
      </c>
      <c r="D10" t="str">
        <f t="shared" si="2"/>
        <v>43.65711599999999</v>
      </c>
      <c r="E10" t="str">
        <f t="shared" si="3"/>
        <v>6.9183745</v>
      </c>
      <c r="F10" t="str">
        <f t="shared" si="4"/>
        <v>Alchimist  [Texte imprimé]</v>
      </c>
      <c r="G10" t="str">
        <f t="shared" si="5"/>
        <v>Alchimist</v>
      </c>
      <c r="H10" t="str">
        <f t="shared" si="6"/>
        <v>0770-1403</v>
      </c>
      <c r="I10" t="str">
        <f t="shared" si="7"/>
        <v>no. 6 (fev-1947) - no. 11  (aou-1947) [Lacunaire]</v>
      </c>
    </row>
    <row r="11" spans="1:9" x14ac:dyDescent="0.25">
      <c r="A11" t="str">
        <f>"12427854X"</f>
        <v>12427854X</v>
      </c>
      <c r="B11" t="str">
        <f t="shared" si="0"/>
        <v>060885105</v>
      </c>
      <c r="C11" t="str">
        <f t="shared" si="1"/>
        <v>NICE-Bibl.Chevalier de Cessole</v>
      </c>
      <c r="D11" t="str">
        <f t="shared" si="2"/>
        <v>43.6956246</v>
      </c>
      <c r="E11" t="str">
        <f t="shared" si="3"/>
        <v>7.259380900000001</v>
      </c>
      <c r="F11" t="str">
        <f t="shared" si="4"/>
        <v>La Lanterne illustrée  [Texte imprimé]</v>
      </c>
      <c r="G11" t="str">
        <f t="shared" si="5"/>
        <v>La Lanterne illustrée</v>
      </c>
      <c r="H11" t="str">
        <f t="shared" si="6"/>
        <v>1963-8744</v>
      </c>
      <c r="I11" t="str">
        <f t="shared" si="7"/>
        <v>no. 1 (28-mai-1871) - no. 11  (11-dec-1882) [lacunes]</v>
      </c>
    </row>
    <row r="12" spans="1:9" x14ac:dyDescent="0.25">
      <c r="A12" t="str">
        <f>"137899319"</f>
        <v>137899319</v>
      </c>
      <c r="B12" t="str">
        <f t="shared" si="0"/>
        <v>060885105</v>
      </c>
      <c r="C12" t="str">
        <f t="shared" si="1"/>
        <v>NICE-Bibl.Chevalier de Cessole</v>
      </c>
      <c r="D12" t="str">
        <f t="shared" si="2"/>
        <v>43.6956246</v>
      </c>
      <c r="E12" t="str">
        <f t="shared" si="3"/>
        <v>7.259380900000001</v>
      </c>
      <c r="F12" t="str">
        <f t="shared" si="4"/>
        <v>Le Masque  [Texte imprimé]</v>
      </c>
      <c r="G12" t="str">
        <f t="shared" si="5"/>
        <v>Le Masque</v>
      </c>
      <c r="H12" t="str">
        <f t="shared" si="6"/>
        <v>2131-9294</v>
      </c>
      <c r="I12" t="str">
        <f t="shared" si="7"/>
        <v>no. 7 (1892)</v>
      </c>
    </row>
    <row r="13" spans="1:9" x14ac:dyDescent="0.25">
      <c r="A13" t="str">
        <f>"137908385"</f>
        <v>137908385</v>
      </c>
      <c r="B13" t="str">
        <f t="shared" si="0"/>
        <v>060885105</v>
      </c>
      <c r="C13" t="str">
        <f t="shared" si="1"/>
        <v>NICE-Bibl.Chevalier de Cessole</v>
      </c>
      <c r="D13" t="str">
        <f t="shared" si="2"/>
        <v>43.6956246</v>
      </c>
      <c r="E13" t="str">
        <f t="shared" si="3"/>
        <v>7.259380900000001</v>
      </c>
      <c r="F13" t="str">
        <f t="shared" si="4"/>
        <v>Nice-journal  [Texte imprimé]</v>
      </c>
      <c r="G13" t="str">
        <f t="shared" si="5"/>
        <v>Nice-journal</v>
      </c>
      <c r="H13" t="str">
        <f t="shared" si="6"/>
        <v>2132-8277</v>
      </c>
      <c r="I13" t="str">
        <f t="shared" si="7"/>
        <v>no. 1 (12-nov-1893) - no. 9  (7-jan-1894)</v>
      </c>
    </row>
    <row r="14" spans="1:9" x14ac:dyDescent="0.25">
      <c r="A14" t="str">
        <f>"137900902"</f>
        <v>137900902</v>
      </c>
      <c r="B14" t="str">
        <f t="shared" si="0"/>
        <v>060885105</v>
      </c>
      <c r="C14" t="str">
        <f t="shared" si="1"/>
        <v>NICE-Bibl.Chevalier de Cessole</v>
      </c>
      <c r="D14" t="str">
        <f t="shared" si="2"/>
        <v>43.6956246</v>
      </c>
      <c r="E14" t="str">
        <f t="shared" si="3"/>
        <v>7.259380900000001</v>
      </c>
      <c r="F14" t="str">
        <f t="shared" si="4"/>
        <v>Le Messager d'Antibes, Grasse, Cannes  [Texte imprimé]</v>
      </c>
      <c r="G14" t="str">
        <f t="shared" si="5"/>
        <v>Le Messager d'Antibes, Grasse, Cannes</v>
      </c>
      <c r="H14" t="str">
        <f t="shared" si="6"/>
        <v>2132-0861</v>
      </c>
      <c r="I14" t="str">
        <f t="shared" si="7"/>
        <v>no. 105 (19-nov-1936)</v>
      </c>
    </row>
    <row r="15" spans="1:9" x14ac:dyDescent="0.25">
      <c r="A15" t="str">
        <f>"037547852"</f>
        <v>037547852</v>
      </c>
      <c r="B15" t="str">
        <f t="shared" si="0"/>
        <v>991385301</v>
      </c>
      <c r="C15" t="str">
        <f t="shared" si="1"/>
        <v>MONACO-Musée Océanographique</v>
      </c>
      <c r="D15" t="str">
        <f t="shared" si="2"/>
        <v>43.7310033</v>
      </c>
      <c r="E15" t="str">
        <f t="shared" si="3"/>
        <v>7.425491600000001</v>
      </c>
      <c r="F15" t="str">
        <f t="shared" si="4"/>
        <v>World record marine fishes  [Texte imprimé]</v>
      </c>
      <c r="G15" t="str">
        <f t="shared" si="5"/>
        <v>World record marine fishes</v>
      </c>
      <c r="H15" t="str">
        <f t="shared" si="6"/>
        <v>0535-059X</v>
      </c>
      <c r="I15" t="str">
        <f t="shared" si="7"/>
        <v>(1964) - (1972) ; (1974)</v>
      </c>
    </row>
    <row r="16" spans="1:9" x14ac:dyDescent="0.25">
      <c r="A16" t="str">
        <f>"109285441"</f>
        <v>109285441</v>
      </c>
      <c r="B16" t="str">
        <f t="shared" si="0"/>
        <v>060296201</v>
      </c>
      <c r="C16" t="str">
        <f t="shared" si="1"/>
        <v>CANNES-Médiathèque municipal</v>
      </c>
      <c r="D16" t="str">
        <f t="shared" si="2"/>
        <v>43.5508621</v>
      </c>
      <c r="E16" t="str">
        <f t="shared" si="3"/>
        <v>7.0033444</v>
      </c>
      <c r="F16" t="str">
        <f t="shared" si="4"/>
        <v>Annuaire des stations hivernales  [Texte imprimé]  : Hyères - Saint-Raphaël - Cannes - Nice - Monaco et Monte-Carlo [...]</v>
      </c>
      <c r="G16" t="str">
        <f t="shared" si="5"/>
        <v>Annuaire des stations hivernales</v>
      </c>
      <c r="H16" t="str">
        <f t="shared" si="6"/>
        <v>1995-2384</v>
      </c>
      <c r="I16" t="str">
        <f t="shared" si="7"/>
        <v>(1889) - (1890)</v>
      </c>
    </row>
    <row r="17" spans="1:9" x14ac:dyDescent="0.25">
      <c r="A17" t="str">
        <f>"140651047"</f>
        <v>140651047</v>
      </c>
      <c r="B17" t="str">
        <f t="shared" si="0"/>
        <v>060885105</v>
      </c>
      <c r="C17" t="str">
        <f t="shared" si="1"/>
        <v>NICE-Bibl.Chevalier de Cessole</v>
      </c>
      <c r="D17" t="str">
        <f t="shared" si="2"/>
        <v>43.6956246</v>
      </c>
      <c r="E17" t="str">
        <f t="shared" si="3"/>
        <v>7.259380900000001</v>
      </c>
      <c r="F17" t="str">
        <f t="shared" si="4"/>
        <v>La Ramassa  [Texte imprimé]</v>
      </c>
      <c r="G17" t="str">
        <f t="shared" si="5"/>
        <v>La Ramassa</v>
      </c>
      <c r="H17" t="str">
        <f t="shared" si="6"/>
        <v>2135-9237</v>
      </c>
      <c r="I17" t="str">
        <f t="shared" si="7"/>
        <v>no. 1 (29-mar-1896) - no. 40  (31-jul-1898)</v>
      </c>
    </row>
    <row r="18" spans="1:9" x14ac:dyDescent="0.25">
      <c r="A18" t="str">
        <f>"140206922"</f>
        <v>140206922</v>
      </c>
      <c r="B18" t="str">
        <f t="shared" si="0"/>
        <v>060885105</v>
      </c>
      <c r="C18" t="str">
        <f t="shared" si="1"/>
        <v>NICE-Bibl.Chevalier de Cessole</v>
      </c>
      <c r="D18" t="str">
        <f t="shared" si="2"/>
        <v>43.6956246</v>
      </c>
      <c r="E18" t="str">
        <f t="shared" si="3"/>
        <v>7.259380900000001</v>
      </c>
      <c r="F18" t="str">
        <f t="shared" si="4"/>
        <v>Le Patriote des Alpes-Maritimes  [Texte imprimé]</v>
      </c>
      <c r="G18" t="str">
        <f t="shared" si="5"/>
        <v>Le Patriote des Alpes-Maritimes</v>
      </c>
      <c r="H18" t="str">
        <f t="shared" si="6"/>
        <v>2133-7152</v>
      </c>
      <c r="I18" t="str">
        <f t="shared" si="7"/>
        <v>no. 273 (30-sep-1909)</v>
      </c>
    </row>
    <row r="19" spans="1:9" x14ac:dyDescent="0.25">
      <c r="A19" t="str">
        <f>"038024713"</f>
        <v>038024713</v>
      </c>
      <c r="B19" t="str">
        <f t="shared" si="0"/>
        <v>991385203</v>
      </c>
      <c r="C19" t="str">
        <f t="shared" si="1"/>
        <v>MONACO-ES d'Arts Plastiques</v>
      </c>
      <c r="D19" t="str">
        <f t="shared" si="2"/>
        <v>43.7320022</v>
      </c>
      <c r="E19" t="str">
        <f t="shared" si="3"/>
        <v>7.426917999999999</v>
      </c>
      <c r="F19" t="str">
        <f t="shared" si="4"/>
        <v>San Francisco oracle  [Texte imprimé]</v>
      </c>
      <c r="G19" t="str">
        <f t="shared" si="5"/>
        <v>San Francisco oracle</v>
      </c>
      <c r="H19" t="str">
        <f t="shared" si="6"/>
        <v>1050-5997</v>
      </c>
      <c r="I19" t="str">
        <f t="shared" si="7"/>
        <v>no. 8 (1967) - no. 9  (1967)</v>
      </c>
    </row>
    <row r="20" spans="1:9" x14ac:dyDescent="0.25">
      <c r="A20" t="str">
        <f>"159879477"</f>
        <v>159879477</v>
      </c>
      <c r="B20" t="str">
        <f t="shared" si="0"/>
        <v>060885105</v>
      </c>
      <c r="C20" t="str">
        <f t="shared" si="1"/>
        <v>NICE-Bibl.Chevalier de Cessole</v>
      </c>
      <c r="D20" t="str">
        <f t="shared" si="2"/>
        <v>43.6956246</v>
      </c>
      <c r="E20" t="str">
        <f t="shared" si="3"/>
        <v>7.259380900000001</v>
      </c>
      <c r="F20" t="str">
        <f t="shared" si="4"/>
        <v>Le Grand journal  [Texte imprimé]</v>
      </c>
      <c r="G20" t="str">
        <f t="shared" si="5"/>
        <v>Le Grand journal</v>
      </c>
      <c r="H20" t="str">
        <f t="shared" si="6"/>
        <v>2257-8552</v>
      </c>
      <c r="I20" t="str">
        <f t="shared" si="7"/>
        <v>no. 50 (12-mar-1865)</v>
      </c>
    </row>
    <row r="21" spans="1:9" x14ac:dyDescent="0.25">
      <c r="A21" t="str">
        <f>"13603960X"</f>
        <v>13603960X</v>
      </c>
      <c r="B21" t="str">
        <f t="shared" si="0"/>
        <v>060885105</v>
      </c>
      <c r="C21" t="str">
        <f t="shared" si="1"/>
        <v>NICE-Bibl.Chevalier de Cessole</v>
      </c>
      <c r="D21" t="str">
        <f t="shared" si="2"/>
        <v>43.6956246</v>
      </c>
      <c r="E21" t="str">
        <f t="shared" si="3"/>
        <v>7.259380900000001</v>
      </c>
      <c r="F21" t="str">
        <f t="shared" si="4"/>
        <v>Bulletin de l'Église réformée de France, Nice  [Texte imprimé]</v>
      </c>
      <c r="G21" t="str">
        <f t="shared" si="5"/>
        <v>Bulletin de l'Église réformée de France, Nice</v>
      </c>
      <c r="H21" t="str">
        <f t="shared" si="6"/>
        <v>2122-501X</v>
      </c>
      <c r="I21" t="str">
        <f t="shared" si="7"/>
        <v>no. 4 (1-jul-1942) - no. 2  (1-mar-1944) [lacunes]</v>
      </c>
    </row>
    <row r="22" spans="1:9" x14ac:dyDescent="0.25">
      <c r="A22" t="str">
        <f>"136034489"</f>
        <v>136034489</v>
      </c>
      <c r="B22" t="str">
        <f t="shared" si="0"/>
        <v>060885105</v>
      </c>
      <c r="C22" t="str">
        <f t="shared" si="1"/>
        <v>NICE-Bibl.Chevalier de Cessole</v>
      </c>
      <c r="D22" t="str">
        <f t="shared" si="2"/>
        <v>43.6956246</v>
      </c>
      <c r="E22" t="str">
        <f t="shared" si="3"/>
        <v>7.259380900000001</v>
      </c>
      <c r="F22" t="str">
        <f t="shared" si="4"/>
        <v>La Bienvenue aux étrangers  [Texte imprimé]</v>
      </c>
      <c r="G22" t="str">
        <f t="shared" si="5"/>
        <v>La Bienvenue aux étrangers</v>
      </c>
      <c r="H22" t="str">
        <f t="shared" si="6"/>
        <v>2121-9826</v>
      </c>
      <c r="I22" t="str">
        <f t="shared" si="7"/>
        <v>(aou-1866)</v>
      </c>
    </row>
    <row r="23" spans="1:9" x14ac:dyDescent="0.25">
      <c r="A23" t="str">
        <f>"040079007"</f>
        <v>040079007</v>
      </c>
      <c r="B23" t="str">
        <f t="shared" si="0"/>
        <v>991385201</v>
      </c>
      <c r="C23" t="str">
        <f t="shared" si="1"/>
        <v>MONACO-Jardin exotique</v>
      </c>
      <c r="D23" t="str">
        <f t="shared" si="2"/>
        <v>43.7310908</v>
      </c>
      <c r="E23" t="str">
        <f t="shared" si="3"/>
        <v>7.410747499999999</v>
      </c>
      <c r="F23" t="str">
        <f t="shared" si="4"/>
        <v>Epiphytes  [Texte imprimé]</v>
      </c>
      <c r="G23" t="str">
        <f t="shared" si="5"/>
        <v>Epiphytes</v>
      </c>
      <c r="H23" t="str">
        <f t="shared" si="6"/>
        <v>0950-7930</v>
      </c>
      <c r="I23" t="str">
        <f t="shared" si="7"/>
        <v>vol. 1 no. 1 (1968) - vol. 25  no. 100  (2001)</v>
      </c>
    </row>
    <row r="24" spans="1:9" x14ac:dyDescent="0.25">
      <c r="A24" t="str">
        <f>"037396250"</f>
        <v>037396250</v>
      </c>
      <c r="B24" t="str">
        <f t="shared" si="0"/>
        <v>991385301</v>
      </c>
      <c r="C24" t="str">
        <f t="shared" si="1"/>
        <v>MONACO-Musée Océanographique</v>
      </c>
      <c r="D24" t="str">
        <f t="shared" si="2"/>
        <v>43.7310033</v>
      </c>
      <c r="E24" t="str">
        <f t="shared" si="3"/>
        <v>7.425491600000001</v>
      </c>
      <c r="F24" t="str">
        <f t="shared" si="4"/>
        <v>Shinjyû nenkan  [Texte imprimé]</v>
      </c>
      <c r="G24" t="str">
        <f t="shared" si="5"/>
        <v>Shinjyû nenkan</v>
      </c>
      <c r="H24" t="e">
        <f t="shared" si="6"/>
        <v>#VALUE!</v>
      </c>
      <c r="I24" t="str">
        <f t="shared" si="7"/>
        <v>(1986)-....</v>
      </c>
    </row>
    <row r="25" spans="1:9" x14ac:dyDescent="0.25">
      <c r="A25" t="str">
        <f>"037988131"</f>
        <v>037988131</v>
      </c>
      <c r="B25" t="str">
        <f t="shared" si="0"/>
        <v>991385201</v>
      </c>
      <c r="C25" t="str">
        <f t="shared" si="1"/>
        <v>MONACO-Jardin exotique</v>
      </c>
      <c r="D25" t="str">
        <f t="shared" si="2"/>
        <v>43.7310908</v>
      </c>
      <c r="E25" t="str">
        <f t="shared" si="3"/>
        <v>7.410747499999999</v>
      </c>
      <c r="F25" t="str">
        <f t="shared" si="4"/>
        <v>Mitteilungen der Schweizerischen Kakteen-Gesellschaft  [Texte imprimé]</v>
      </c>
      <c r="G25" t="str">
        <f t="shared" si="5"/>
        <v>Mitteilungen der Schweizerischen Kakteen-Gesellschaft</v>
      </c>
      <c r="H25" t="str">
        <f t="shared" si="6"/>
        <v>1023-3148</v>
      </c>
      <c r="I25" t="str">
        <f t="shared" si="7"/>
        <v>no. 6 (1944) - no. 1  (1946) ; no. 3 (1946) ; no. 5 (1946) - vol. 15  no. 12  (1956)</v>
      </c>
    </row>
    <row r="26" spans="1:9" x14ac:dyDescent="0.25">
      <c r="A26" t="str">
        <f>"038427249"</f>
        <v>038427249</v>
      </c>
      <c r="B26" t="str">
        <f t="shared" si="0"/>
        <v>991385201</v>
      </c>
      <c r="C26" t="str">
        <f t="shared" si="1"/>
        <v>MONACO-Jardin exotique</v>
      </c>
      <c r="D26" t="str">
        <f t="shared" si="2"/>
        <v>43.7310908</v>
      </c>
      <c r="E26" t="str">
        <f t="shared" si="3"/>
        <v>7.410747499999999</v>
      </c>
      <c r="F26" t="str">
        <f t="shared" si="4"/>
        <v>Cactaceae  [Texte imprimé]</v>
      </c>
      <c r="G26" t="str">
        <f t="shared" si="5"/>
        <v>Cactaceae</v>
      </c>
      <c r="H26" t="e">
        <f t="shared" si="6"/>
        <v>#VALUE!</v>
      </c>
      <c r="I26" t="str">
        <f t="shared" si="7"/>
        <v>(1937) ; (1942) - (1944)</v>
      </c>
    </row>
    <row r="27" spans="1:9" x14ac:dyDescent="0.25">
      <c r="A27" t="str">
        <f>"03877528X"</f>
        <v>03877528X</v>
      </c>
      <c r="B27" t="str">
        <f t="shared" si="0"/>
        <v>060885101</v>
      </c>
      <c r="C27" t="str">
        <f t="shared" si="1"/>
        <v>NICE-Archives Municipales</v>
      </c>
      <c r="D27" t="str">
        <f t="shared" si="2"/>
        <v>43.68774699999999</v>
      </c>
      <c r="E27" t="str">
        <f t="shared" si="3"/>
        <v>7.235200000000001</v>
      </c>
      <c r="F27" t="str">
        <f t="shared" si="4"/>
        <v>Le Messager des Alpes  [Texte imprimé]</v>
      </c>
      <c r="G27" t="str">
        <f t="shared" si="5"/>
        <v>Le Messager des Alpes</v>
      </c>
      <c r="H27" t="str">
        <f t="shared" si="6"/>
        <v>1248-4482</v>
      </c>
      <c r="I27" t="str">
        <f t="shared" si="7"/>
        <v>no. 73 (1806) ; no. 280 (1808) - no. 286  (1808) ; no. 315 (1809) - no. 880  (1814)</v>
      </c>
    </row>
    <row r="28" spans="1:9" x14ac:dyDescent="0.25">
      <c r="A28" t="str">
        <f>"038792826"</f>
        <v>038792826</v>
      </c>
      <c r="B28" t="str">
        <f t="shared" si="0"/>
        <v>060692301</v>
      </c>
      <c r="C28" t="str">
        <f t="shared" si="1"/>
        <v>GRASSE-Musée Art/Hist Provence</v>
      </c>
      <c r="D28" t="str">
        <f t="shared" si="2"/>
        <v>43.65761759999999</v>
      </c>
      <c r="E28" t="str">
        <f t="shared" si="3"/>
        <v>6.9224541</v>
      </c>
      <c r="F28" t="str">
        <f t="shared" si="4"/>
        <v>Bulletin d'information de la Société scientifique &amp; littéraire de Cannes &amp; de l'arrondissement de Grasse  [Texte imprimé]</v>
      </c>
      <c r="G28" t="str">
        <f t="shared" si="5"/>
        <v>Bulletin d'information de la Société scientifique &amp; littéraire de Cannes &amp; de l'arrondissement de Grasse</v>
      </c>
      <c r="H28" t="str">
        <f t="shared" si="6"/>
        <v>1250-7148</v>
      </c>
      <c r="I28" t="str">
        <f t="shared" si="7"/>
        <v>no. 6 (1963) - no. 80  (1990) [lac]</v>
      </c>
    </row>
    <row r="29" spans="1:9" x14ac:dyDescent="0.25">
      <c r="A29" t="str">
        <f>"040269302"</f>
        <v>040269302</v>
      </c>
      <c r="B29" t="str">
        <f t="shared" si="0"/>
        <v>991385301</v>
      </c>
      <c r="C29" t="str">
        <f t="shared" si="1"/>
        <v>MONACO-Musée Océanographique</v>
      </c>
      <c r="D29" t="str">
        <f t="shared" si="2"/>
        <v>43.7310033</v>
      </c>
      <c r="E29" t="str">
        <f t="shared" si="3"/>
        <v>7.425491600000001</v>
      </c>
      <c r="F29" t="str">
        <f t="shared" si="4"/>
        <v>The Quarterly report of the Inter-American Tropical Tuna Commission  [Texte imprimé]</v>
      </c>
      <c r="G29" t="str">
        <f t="shared" si="5"/>
        <v>The Quarterly report of the Inter-American Tropical Tuna Commission</v>
      </c>
      <c r="H29" t="str">
        <f t="shared" si="6"/>
        <v>1048-6259</v>
      </c>
      <c r="I29" t="str">
        <f t="shared" si="7"/>
        <v>(1986) ; no. 2 (1987)-....</v>
      </c>
    </row>
    <row r="30" spans="1:9" x14ac:dyDescent="0.25">
      <c r="A30" t="str">
        <f>"036883409"</f>
        <v>036883409</v>
      </c>
      <c r="B30" t="str">
        <f t="shared" si="0"/>
        <v>061525404</v>
      </c>
      <c r="C30" t="str">
        <f t="shared" si="1"/>
        <v>SOPHIA/ANT.-Thales Und. Systems</v>
      </c>
      <c r="D30" t="e">
        <f t="shared" si="2"/>
        <v>#VALUE!</v>
      </c>
      <c r="E30" t="e">
        <f t="shared" si="3"/>
        <v>#VALUE!</v>
      </c>
      <c r="F30" t="str">
        <f t="shared" si="4"/>
        <v>Data book - Memory integrated circuit  [Texte imprimé]</v>
      </c>
      <c r="G30" t="str">
        <f t="shared" si="5"/>
        <v>Data book - Memory integrated circuit</v>
      </c>
      <c r="H30" t="e">
        <f t="shared" si="6"/>
        <v>#VALUE!</v>
      </c>
      <c r="I30" t="str">
        <f t="shared" si="7"/>
        <v>(1982) - (1990)</v>
      </c>
    </row>
    <row r="31" spans="1:9" x14ac:dyDescent="0.25">
      <c r="A31" t="str">
        <f>"036176567"</f>
        <v>036176567</v>
      </c>
      <c r="B31" t="str">
        <f t="shared" si="0"/>
        <v>991385301</v>
      </c>
      <c r="C31" t="str">
        <f t="shared" si="1"/>
        <v>MONACO-Musée Océanographique</v>
      </c>
      <c r="D31" t="str">
        <f t="shared" si="2"/>
        <v>43.7310033</v>
      </c>
      <c r="E31" t="str">
        <f t="shared" si="3"/>
        <v>7.425491600000001</v>
      </c>
      <c r="F31" t="str">
        <f t="shared" si="4"/>
        <v>Atlantic oceanographic and meteorological laboratories. Pacific oceanographic laboratories. Collected reprints.</v>
      </c>
      <c r="G31" t="str">
        <f t="shared" si="5"/>
        <v>Atlantic oceanographic and meteorological laboratories. Pacific oceanographic laboratories. Collected reprints.</v>
      </c>
      <c r="H31" t="e">
        <f t="shared" si="6"/>
        <v>#VALUE!</v>
      </c>
      <c r="I31">
        <f t="shared" si="7"/>
        <v>-1970</v>
      </c>
    </row>
    <row r="32" spans="1:9" x14ac:dyDescent="0.25">
      <c r="A32" t="str">
        <f>"036987980"</f>
        <v>036987980</v>
      </c>
      <c r="B32" t="str">
        <f t="shared" si="0"/>
        <v>991385201</v>
      </c>
      <c r="C32" t="str">
        <f t="shared" ref="C32:C95" si="8">_xlfn.FILTERXML(_xlfn.WEBSERVICE("http://www.sudoc.fr/services/multiwhere/"&amp;A32),"//query/result/library/shortname")</f>
        <v>MONACO-Jardin exotique</v>
      </c>
      <c r="D32" t="str">
        <f t="shared" ref="D32:D95" si="9">_xlfn.FILTERXML(_xlfn.WEBSERVICE("http://www.sudoc.fr/services/multiwhere/"&amp;A32),"//query/result/library/latitude")</f>
        <v>43.7310908</v>
      </c>
      <c r="E32" t="str">
        <f t="shared" ref="E32:E95" si="10">_xlfn.FILTERXML(_xlfn.WEBSERVICE("http://www.sudoc.fr/services/multiwhere/"&amp;A32),"//query/result/library/longitude")</f>
        <v>7.410747499999999</v>
      </c>
      <c r="F32" t="str">
        <f t="shared" ref="F32:F95" si="11">_xlfn.FILTERXML(_xlfn.WEBSERVICE("http://www.sudoc.fr/"&amp;A32&amp;".rdf"),"//bibo:Periodical/dc:title")</f>
        <v>Kaktus  [Texte imprimé]</v>
      </c>
      <c r="G32" t="str">
        <f t="shared" ref="G32:G95" si="12">_xlfn.FILTERXML(_xlfn.WEBSERVICE("http://www.sudoc.fr/"&amp;A32&amp;".abes"),"//datafield[@tag='200']/subfield[@code='a']")</f>
        <v>Kaktus</v>
      </c>
      <c r="H32" t="str">
        <f t="shared" ref="H32:H95" si="13">_xlfn.FILTERXML(_xlfn.WEBSERVICE("http://www.sudoc.fr/"&amp;A32&amp;".abes"),"//datafield[@tag='011']/subfield[@code='a']")</f>
        <v>0179-7476</v>
      </c>
      <c r="I32" t="str">
        <f t="shared" ref="I32:I95" si="14">_xlfn.FILTERXML(_xlfn.WEBSERVICE("http://www.sudoc.fr/"&amp;A32&amp;".abes"),"//datafield[@tag='955']/subfield[@code='r']")</f>
        <v>no. 2 (1984) - no. 3  (1984) ; no. 1 (1985) ; no. 1 (1988) - no. 4  (1988)</v>
      </c>
    </row>
    <row r="33" spans="1:9" x14ac:dyDescent="0.25">
      <c r="A33" t="str">
        <f>"037127594"</f>
        <v>037127594</v>
      </c>
      <c r="B33" t="str">
        <f t="shared" si="0"/>
        <v>831375302</v>
      </c>
      <c r="C33" t="str">
        <f t="shared" si="8"/>
        <v>TOULON-MEDEF Var</v>
      </c>
      <c r="D33" t="str">
        <f t="shared" si="9"/>
        <v>43.1260535</v>
      </c>
      <c r="E33" t="str">
        <f t="shared" si="10"/>
        <v>5.9314786</v>
      </c>
      <c r="F33" t="e">
        <f t="shared" si="11"/>
        <v>#VALUE!</v>
      </c>
      <c r="G33" t="str">
        <f t="shared" si="12"/>
        <v>Bulletin d'information bi-Mensuel union patronale du var</v>
      </c>
      <c r="H33" t="e">
        <f t="shared" si="13"/>
        <v>#VALUE!</v>
      </c>
      <c r="I33" t="str">
        <f t="shared" si="14"/>
        <v>(1950)-....</v>
      </c>
    </row>
    <row r="34" spans="1:9" x14ac:dyDescent="0.25">
      <c r="A34" t="str">
        <f>"037819550"</f>
        <v>037819550</v>
      </c>
      <c r="B34" t="str">
        <f t="shared" si="0"/>
        <v>061525404</v>
      </c>
      <c r="C34" t="str">
        <f t="shared" si="8"/>
        <v>SOPHIA/ANT.-Thales Und. Systems</v>
      </c>
      <c r="D34" t="e">
        <f t="shared" si="9"/>
        <v>#VALUE!</v>
      </c>
      <c r="E34" t="e">
        <f t="shared" si="10"/>
        <v>#VALUE!</v>
      </c>
      <c r="F34" t="str">
        <f t="shared" si="11"/>
        <v>Defense systems review and military communications  [Texte imprimé]</v>
      </c>
      <c r="G34" t="str">
        <f t="shared" si="12"/>
        <v>Defense systems review and military communications</v>
      </c>
      <c r="H34" t="str">
        <f t="shared" si="13"/>
        <v>0888-8361</v>
      </c>
      <c r="I34" t="str">
        <f t="shared" si="14"/>
        <v>vol. 1 (1983)-....</v>
      </c>
    </row>
    <row r="35" spans="1:9" x14ac:dyDescent="0.25">
      <c r="A35" t="str">
        <f>"044734115"</f>
        <v>044734115</v>
      </c>
      <c r="B35" t="str">
        <f t="shared" si="0"/>
        <v>060885111</v>
      </c>
      <c r="C35" t="str">
        <f t="shared" si="8"/>
        <v>NICE-Jardin botanique</v>
      </c>
      <c r="D35" t="str">
        <f t="shared" si="9"/>
        <v>43.6857624</v>
      </c>
      <c r="E35" t="str">
        <f t="shared" si="10"/>
        <v>7.210481499999998</v>
      </c>
      <c r="F35" t="str">
        <f t="shared" si="11"/>
        <v>Kanazawa Daigaku Rigakubu Fuzoku Shokubutsuen nenpō  [Texte imprimé]</v>
      </c>
      <c r="G35" t="str">
        <f t="shared" si="12"/>
        <v>Kanazawa Daigaku Rigakubu Fuzoku Shokubutsuen nenpō</v>
      </c>
      <c r="H35" t="str">
        <f t="shared" si="13"/>
        <v>0914-7888</v>
      </c>
      <c r="I35" t="str">
        <f t="shared" si="14"/>
        <v>vol. 1 no. 1 (1968) - no. 17  (1994)</v>
      </c>
    </row>
    <row r="36" spans="1:9" x14ac:dyDescent="0.25">
      <c r="A36" t="str">
        <f>"058364846"</f>
        <v>058364846</v>
      </c>
      <c r="B36" t="str">
        <f t="shared" si="0"/>
        <v>061522306</v>
      </c>
      <c r="C36" t="str">
        <f t="shared" si="8"/>
        <v>VALBONNE-Inst.Pharmacol.Mol.</v>
      </c>
      <c r="D36" t="e">
        <f t="shared" si="9"/>
        <v>#VALUE!</v>
      </c>
      <c r="E36" t="e">
        <f t="shared" si="10"/>
        <v>#VALUE!</v>
      </c>
      <c r="F36" t="str">
        <f t="shared" si="11"/>
        <v>American journal of Alzheimer's disease and other dementias  [Texte imprimé]</v>
      </c>
      <c r="G36" t="str">
        <f t="shared" si="12"/>
        <v>American journal of Alzheimer's disease and other dementias</v>
      </c>
      <c r="H36" t="str">
        <f t="shared" si="13"/>
        <v>1533-3175</v>
      </c>
      <c r="I36" t="str">
        <f t="shared" si="14"/>
        <v>(nov-2004) - (mar-2005)</v>
      </c>
    </row>
    <row r="37" spans="1:9" x14ac:dyDescent="0.25">
      <c r="A37" t="str">
        <f>"156143453"</f>
        <v>156143453</v>
      </c>
      <c r="B37" t="str">
        <f t="shared" si="0"/>
        <v>060696201</v>
      </c>
      <c r="C37" t="str">
        <f t="shared" si="8"/>
        <v>GRASSE-Villa St Hilaire</v>
      </c>
      <c r="D37" t="str">
        <f t="shared" si="9"/>
        <v>43.65711599999999</v>
      </c>
      <c r="E37" t="str">
        <f t="shared" si="10"/>
        <v>6.9183745</v>
      </c>
      <c r="F37" t="str">
        <f t="shared" si="11"/>
        <v>Le Petit Grassois  [Texte imprimé]</v>
      </c>
      <c r="G37" t="str">
        <f t="shared" si="12"/>
        <v>Le Petit Grassois</v>
      </c>
      <c r="H37" t="str">
        <f t="shared" si="13"/>
        <v>2134-1710</v>
      </c>
      <c r="I37" t="str">
        <f t="shared" si="14"/>
        <v>no. 2 (14-jan-1893) - no. 38  (2-sep-1893) [Lacunaire]</v>
      </c>
    </row>
    <row r="38" spans="1:9" x14ac:dyDescent="0.25">
      <c r="A38" t="str">
        <f>"146037138"</f>
        <v>146037138</v>
      </c>
      <c r="B38" t="str">
        <f t="shared" si="0"/>
        <v>060885105</v>
      </c>
      <c r="C38" t="str">
        <f t="shared" si="8"/>
        <v>NICE-Bibl.Chevalier de Cessole</v>
      </c>
      <c r="D38" t="str">
        <f t="shared" si="9"/>
        <v>43.6956246</v>
      </c>
      <c r="E38" t="str">
        <f t="shared" si="10"/>
        <v>7.259380900000001</v>
      </c>
      <c r="F38" t="str">
        <f t="shared" si="11"/>
        <v>Lou Sincaire  [Texte imprimé]</v>
      </c>
      <c r="G38" t="str">
        <f t="shared" si="12"/>
        <v>Lou Sincaire</v>
      </c>
      <c r="H38" t="str">
        <f t="shared" si="13"/>
        <v>2108-0178</v>
      </c>
      <c r="I38" t="str">
        <f t="shared" si="14"/>
        <v>no. 1 (4-mar-1855) - no. 31  (30-sep-1855)</v>
      </c>
    </row>
    <row r="39" spans="1:9" x14ac:dyDescent="0.25">
      <c r="A39" t="str">
        <f>"036254134"</f>
        <v>036254134</v>
      </c>
      <c r="B39" t="str">
        <f t="shared" si="0"/>
        <v>991385301</v>
      </c>
      <c r="C39" t="str">
        <f t="shared" si="8"/>
        <v>MONACO-Musée Océanographique</v>
      </c>
      <c r="D39" t="str">
        <f t="shared" si="9"/>
        <v>43.7310033</v>
      </c>
      <c r="E39" t="str">
        <f t="shared" si="10"/>
        <v>7.425491600000001</v>
      </c>
      <c r="F39" t="e">
        <f t="shared" si="11"/>
        <v>#VALUE!</v>
      </c>
      <c r="G39" t="str">
        <f t="shared" si="12"/>
        <v>Rapporti tecnici</v>
      </c>
      <c r="H39" t="str">
        <f t="shared" si="13"/>
        <v>1121-1164</v>
      </c>
      <c r="I39" t="str">
        <f t="shared" si="14"/>
        <v>no. 1 (1989)-....</v>
      </c>
    </row>
    <row r="40" spans="1:9" x14ac:dyDescent="0.25">
      <c r="A40" t="str">
        <f>"038378213"</f>
        <v>038378213</v>
      </c>
      <c r="B40" t="str">
        <f t="shared" si="0"/>
        <v>991385201</v>
      </c>
      <c r="C40" t="str">
        <f t="shared" si="8"/>
        <v>MONACO-Jardin exotique</v>
      </c>
      <c r="D40" t="str">
        <f t="shared" si="9"/>
        <v>43.7310908</v>
      </c>
      <c r="E40" t="str">
        <f t="shared" si="10"/>
        <v>7.410747499999999</v>
      </c>
      <c r="F40" t="str">
        <f t="shared" si="11"/>
        <v>The Fuaux Herbarium Bulletin  [Texte imprimé]</v>
      </c>
      <c r="G40" t="str">
        <f t="shared" si="12"/>
        <v>The Fuaux Herbarium Bulletin</v>
      </c>
      <c r="H40" t="str">
        <f t="shared" si="13"/>
        <v>0818-3295</v>
      </c>
      <c r="I40" t="str">
        <f t="shared" si="14"/>
        <v>vol. 1 no. 1 (1949) - vol. 1  no. 5  (1953)</v>
      </c>
    </row>
    <row r="41" spans="1:9" x14ac:dyDescent="0.25">
      <c r="A41" t="str">
        <f>"036798398"</f>
        <v>036798398</v>
      </c>
      <c r="B41" t="str">
        <f t="shared" si="0"/>
        <v>991385301</v>
      </c>
      <c r="C41" t="str">
        <f t="shared" si="8"/>
        <v>MONACO-Musée Océanographique</v>
      </c>
      <c r="D41" t="str">
        <f t="shared" si="9"/>
        <v>43.7310033</v>
      </c>
      <c r="E41" t="str">
        <f t="shared" si="10"/>
        <v>7.425491600000001</v>
      </c>
      <c r="F41" t="str">
        <f t="shared" si="11"/>
        <v>Fisheries newsletter  [Texte imprimé]</v>
      </c>
      <c r="G41" t="str">
        <f t="shared" si="12"/>
        <v>Fisheries newsletter</v>
      </c>
      <c r="H41" t="str">
        <f t="shared" si="13"/>
        <v>0115-2459</v>
      </c>
      <c r="I41" t="str">
        <f t="shared" si="14"/>
        <v>(1972)-....</v>
      </c>
    </row>
    <row r="42" spans="1:9" x14ac:dyDescent="0.25">
      <c r="A42" t="str">
        <f>"03804966X"</f>
        <v>03804966X</v>
      </c>
      <c r="B42" t="str">
        <f t="shared" si="0"/>
        <v>991385301</v>
      </c>
      <c r="C42" t="str">
        <f t="shared" si="8"/>
        <v>MONACO-Musée Océanographique</v>
      </c>
      <c r="D42" t="str">
        <f t="shared" si="9"/>
        <v>43.7310033</v>
      </c>
      <c r="E42" t="str">
        <f t="shared" si="10"/>
        <v>7.425491600000001</v>
      </c>
      <c r="F42" t="str">
        <f t="shared" si="11"/>
        <v>Bulletin of the International Oceanographic Foundation  [Texte imprimé]</v>
      </c>
      <c r="G42" t="str">
        <f t="shared" si="12"/>
        <v>Bulletin of the International Oceanographic Foundation</v>
      </c>
      <c r="H42" t="str">
        <f t="shared" si="13"/>
        <v>1068-3348</v>
      </c>
      <c r="I42" t="str">
        <f t="shared" si="14"/>
        <v>vol. 1 no. 1 (1954)</v>
      </c>
    </row>
    <row r="43" spans="1:9" x14ac:dyDescent="0.25">
      <c r="A43" t="str">
        <f>"038606704"</f>
        <v>038606704</v>
      </c>
      <c r="B43" t="str">
        <f t="shared" si="0"/>
        <v>831376201</v>
      </c>
      <c r="C43" t="str">
        <f t="shared" si="8"/>
        <v>TOULON-BM</v>
      </c>
      <c r="D43" t="str">
        <f t="shared" si="9"/>
        <v>43.0823215</v>
      </c>
      <c r="E43" t="str">
        <f t="shared" si="10"/>
        <v>5.920052699999999</v>
      </c>
      <c r="F43" t="str">
        <f t="shared" si="11"/>
        <v>Le Sabot de Noe͏̈l  [Texte imprimé]</v>
      </c>
      <c r="G43" t="str">
        <f t="shared" si="12"/>
        <v>Le Sabot de Noe͏̈l</v>
      </c>
      <c r="H43" t="str">
        <f t="shared" si="13"/>
        <v>1155-9519</v>
      </c>
      <c r="I43" t="str">
        <f t="shared" si="14"/>
        <v>(dec-1919) ; (dec-1921)</v>
      </c>
    </row>
    <row r="44" spans="1:9" x14ac:dyDescent="0.25">
      <c r="A44" t="str">
        <f>"039052206"</f>
        <v>039052206</v>
      </c>
      <c r="B44" t="str">
        <f t="shared" si="0"/>
        <v>831376201</v>
      </c>
      <c r="C44" t="str">
        <f t="shared" si="8"/>
        <v>TOULON-BM</v>
      </c>
      <c r="D44" t="str">
        <f t="shared" si="9"/>
        <v>43.0823215</v>
      </c>
      <c r="E44" t="str">
        <f t="shared" si="10"/>
        <v>5.920052699999999</v>
      </c>
      <c r="F44" t="str">
        <f t="shared" si="11"/>
        <v>Le Socialiste toulonnais  [Texte imprimé]</v>
      </c>
      <c r="G44" t="str">
        <f t="shared" si="12"/>
        <v>Le Socialiste toulonnais</v>
      </c>
      <c r="H44" t="str">
        <f t="shared" si="13"/>
        <v>2018-3550</v>
      </c>
      <c r="I44" t="str">
        <f t="shared" si="14"/>
        <v>no. 1 (1893)</v>
      </c>
    </row>
    <row r="45" spans="1:9" x14ac:dyDescent="0.25">
      <c r="A45" t="str">
        <f>"048884286"</f>
        <v>048884286</v>
      </c>
      <c r="B45" t="str">
        <f t="shared" si="0"/>
        <v>831375101</v>
      </c>
      <c r="C45" t="str">
        <f t="shared" si="8"/>
        <v>TOULON-Serv.Historique Marine</v>
      </c>
      <c r="D45" t="str">
        <f t="shared" si="9"/>
        <v>43.124228</v>
      </c>
      <c r="E45" t="str">
        <f t="shared" si="10"/>
        <v>5.928</v>
      </c>
      <c r="F45" t="str">
        <f t="shared" si="11"/>
        <v>L'Armée coloniale  [Texte imprimé]  : Revue indépendante</v>
      </c>
      <c r="G45" t="str">
        <f t="shared" si="12"/>
        <v>L'Armée coloniale</v>
      </c>
      <c r="H45" t="str">
        <f t="shared" si="13"/>
        <v>2020-5708</v>
      </c>
      <c r="I45" t="str">
        <f t="shared" si="14"/>
        <v>no. 9 (1891) - no. 31  [lac.]</v>
      </c>
    </row>
    <row r="46" spans="1:9" x14ac:dyDescent="0.25">
      <c r="A46" t="str">
        <f>"055392210"</f>
        <v>055392210</v>
      </c>
      <c r="B46" t="str">
        <f t="shared" si="0"/>
        <v>060885101</v>
      </c>
      <c r="C46" t="str">
        <f t="shared" si="8"/>
        <v>NICE-Archives Municipales</v>
      </c>
      <c r="D46" t="str">
        <f t="shared" si="9"/>
        <v>43.68774699999999</v>
      </c>
      <c r="E46" t="str">
        <f t="shared" si="10"/>
        <v>7.235200000000001</v>
      </c>
      <c r="F46" t="str">
        <f t="shared" si="11"/>
        <v>La Voce di S. Antonio Zaccaria  [Texte imprimé]</v>
      </c>
      <c r="G46" t="str">
        <f t="shared" si="12"/>
        <v>La Voce di S. Antonio Zaccaria</v>
      </c>
      <c r="H46" t="str">
        <f t="shared" si="13"/>
        <v>1593-0955</v>
      </c>
      <c r="I46" t="str">
        <f t="shared" si="14"/>
        <v>no. 11 (1958) - no. 12  (1958) ; no. 3 (1959) - no. 10  (1959)</v>
      </c>
    </row>
    <row r="47" spans="1:9" x14ac:dyDescent="0.25">
      <c r="A47" t="str">
        <f>"03647732X"</f>
        <v>03647732X</v>
      </c>
      <c r="B47" t="str">
        <f t="shared" si="0"/>
        <v>060886101</v>
      </c>
      <c r="C47" t="str">
        <f t="shared" si="8"/>
        <v>NICE- BMVR Louis Nucéra</v>
      </c>
      <c r="D47" t="str">
        <f t="shared" si="9"/>
        <v>43.7015650</v>
      </c>
      <c r="E47" t="str">
        <f t="shared" si="10"/>
        <v>7.2786247</v>
      </c>
      <c r="F47" t="str">
        <f t="shared" si="11"/>
        <v>Scena illustrata  [Texte imprimé]</v>
      </c>
      <c r="G47" t="str">
        <f t="shared" si="12"/>
        <v>Scena illustrata</v>
      </c>
      <c r="H47" t="str">
        <f t="shared" si="13"/>
        <v>0036-5742</v>
      </c>
      <c r="I47" t="str">
        <f t="shared" si="14"/>
        <v>(1893) ; (1895) - (1901) ; (1913) - (1925) ; (1927) [lac.]</v>
      </c>
    </row>
    <row r="48" spans="1:9" x14ac:dyDescent="0.25">
      <c r="A48" t="str">
        <f>"037774689"</f>
        <v>037774689</v>
      </c>
      <c r="B48" t="str">
        <f t="shared" si="0"/>
        <v>991385201</v>
      </c>
      <c r="C48" t="str">
        <f t="shared" si="8"/>
        <v>MONACO-Jardin exotique</v>
      </c>
      <c r="D48" t="str">
        <f t="shared" si="9"/>
        <v>43.7310908</v>
      </c>
      <c r="E48" t="str">
        <f t="shared" si="10"/>
        <v>7.410747499999999</v>
      </c>
      <c r="F48" t="str">
        <f t="shared" si="11"/>
        <v>Cacti &amp; other succulents  [Texte imprimé]</v>
      </c>
      <c r="G48" t="str">
        <f t="shared" si="12"/>
        <v>Cacti &amp; other succulents</v>
      </c>
      <c r="H48" t="str">
        <f t="shared" si="13"/>
        <v>0843-8234</v>
      </c>
      <c r="I48" t="str">
        <f t="shared" si="14"/>
        <v>vol. 1 no. 1 (1989) - vol. 4  no. 4  (1992)</v>
      </c>
    </row>
    <row r="49" spans="1:9" x14ac:dyDescent="0.25">
      <c r="A49" t="str">
        <f>"037964461"</f>
        <v>037964461</v>
      </c>
      <c r="B49" t="str">
        <f t="shared" si="0"/>
        <v>991385301</v>
      </c>
      <c r="C49" t="str">
        <f t="shared" si="8"/>
        <v>MONACO-Musée Océanographique</v>
      </c>
      <c r="D49" t="str">
        <f t="shared" si="9"/>
        <v>43.7310033</v>
      </c>
      <c r="E49" t="str">
        <f t="shared" si="10"/>
        <v>7.425491600000001</v>
      </c>
      <c r="F49" t="str">
        <f t="shared" si="11"/>
        <v>Regular information service bulletin on ocean data buoys and other ocean data acquisition systems, ODAS  [Texte imprimé]</v>
      </c>
      <c r="G49" t="str">
        <f t="shared" si="12"/>
        <v>Regular information service bulletin on ocean data buoys and other ocean data acquisition systems, ODAS</v>
      </c>
      <c r="H49" t="str">
        <f t="shared" si="13"/>
        <v>1014-7136</v>
      </c>
      <c r="I49" t="str">
        <f t="shared" si="14"/>
        <v>no. 5 (1981) - no. 11  (1988)</v>
      </c>
    </row>
    <row r="50" spans="1:9" x14ac:dyDescent="0.25">
      <c r="A50" t="str">
        <f>"039118576"</f>
        <v>039118576</v>
      </c>
      <c r="B50" t="str">
        <f t="shared" si="0"/>
        <v>831375101</v>
      </c>
      <c r="C50" t="str">
        <f t="shared" si="8"/>
        <v>TOULON-Serv.Historique Marine</v>
      </c>
      <c r="D50" t="str">
        <f t="shared" si="9"/>
        <v>43.124228</v>
      </c>
      <c r="E50" t="str">
        <f t="shared" si="10"/>
        <v>5.928</v>
      </c>
      <c r="F50" t="str">
        <f t="shared" si="11"/>
        <v>Annales universelles et méthodiques  [Texte imprimé]</v>
      </c>
      <c r="G50" t="str">
        <f t="shared" si="12"/>
        <v>Annales universelles et méthodiques</v>
      </c>
      <c r="H50" t="str">
        <f t="shared" si="13"/>
        <v>2022-9712</v>
      </c>
      <c r="I50">
        <f t="shared" si="14"/>
        <v>-1789</v>
      </c>
    </row>
    <row r="51" spans="1:9" x14ac:dyDescent="0.25">
      <c r="A51" t="str">
        <f>"039376907"</f>
        <v>039376907</v>
      </c>
      <c r="B51" t="str">
        <f t="shared" si="0"/>
        <v>060882306</v>
      </c>
      <c r="C51" t="str">
        <f t="shared" si="8"/>
        <v>NICE-CEPAM</v>
      </c>
      <c r="D51" t="str">
        <f t="shared" si="9"/>
        <v>43.7090597</v>
      </c>
      <c r="E51" t="str">
        <f t="shared" si="10"/>
        <v>7.288295</v>
      </c>
      <c r="F51" t="e">
        <f t="shared" si="11"/>
        <v>#VALUE!</v>
      </c>
      <c r="G51" t="str">
        <f t="shared" si="12"/>
        <v>Publications du C.R.A</v>
      </c>
      <c r="H51" t="str">
        <f t="shared" si="13"/>
        <v>0243-3044</v>
      </c>
      <c r="I51" t="str">
        <f t="shared" si="14"/>
        <v>vol. 1 (1978)</v>
      </c>
    </row>
    <row r="52" spans="1:9" x14ac:dyDescent="0.25">
      <c r="A52" t="str">
        <f>"040198596"</f>
        <v>040198596</v>
      </c>
      <c r="B52" t="str">
        <f t="shared" si="0"/>
        <v>060692301</v>
      </c>
      <c r="C52" t="str">
        <f t="shared" si="8"/>
        <v>GRASSE-Musée Art/Hist Provence</v>
      </c>
      <c r="D52" t="str">
        <f t="shared" si="9"/>
        <v>43.65761759999999</v>
      </c>
      <c r="E52" t="str">
        <f t="shared" si="10"/>
        <v>6.9224541</v>
      </c>
      <c r="F52" t="str">
        <f t="shared" si="11"/>
        <v>Grasse accueille  [Texte imprimé]</v>
      </c>
      <c r="G52" t="str">
        <f t="shared" si="12"/>
        <v>Grasse accueille</v>
      </c>
      <c r="H52" t="str">
        <f t="shared" si="13"/>
        <v>1250-7407</v>
      </c>
      <c r="I52" t="str">
        <f t="shared" si="14"/>
        <v>(1976) - (1983)</v>
      </c>
    </row>
    <row r="53" spans="1:9" x14ac:dyDescent="0.25">
      <c r="A53" t="str">
        <f>"036373427"</f>
        <v>036373427</v>
      </c>
      <c r="B53" t="str">
        <f t="shared" si="0"/>
        <v>991385301</v>
      </c>
      <c r="C53" t="str">
        <f t="shared" si="8"/>
        <v>MONACO-Musée Océanographique</v>
      </c>
      <c r="D53" t="str">
        <f t="shared" si="9"/>
        <v>43.7310033</v>
      </c>
      <c r="E53" t="str">
        <f t="shared" si="10"/>
        <v>7.425491600000001</v>
      </c>
      <c r="F53" t="str">
        <f t="shared" si="11"/>
        <v>Papers from the Dana oceanographical collections  [Texte imprimé]</v>
      </c>
      <c r="G53" t="str">
        <f t="shared" si="12"/>
        <v>Papers from the Dana oceanographical collections</v>
      </c>
      <c r="H53" t="e">
        <f t="shared" si="13"/>
        <v>#VALUE!</v>
      </c>
      <c r="I53" t="e">
        <f t="shared" si="14"/>
        <v>#VALUE!</v>
      </c>
    </row>
    <row r="54" spans="1:9" x14ac:dyDescent="0.25">
      <c r="A54" t="str">
        <f>"037258230"</f>
        <v>037258230</v>
      </c>
      <c r="B54" t="str">
        <f t="shared" si="0"/>
        <v>991385301</v>
      </c>
      <c r="C54" t="str">
        <f t="shared" si="8"/>
        <v>MONACO-Musée Océanographique</v>
      </c>
      <c r="D54" t="str">
        <f t="shared" si="9"/>
        <v>43.7310033</v>
      </c>
      <c r="E54" t="str">
        <f t="shared" si="10"/>
        <v>7.425491600000001</v>
      </c>
      <c r="F54" t="str">
        <f t="shared" si="11"/>
        <v>Environment &amp; change  [Texte imprimé]</v>
      </c>
      <c r="G54" t="str">
        <f t="shared" si="12"/>
        <v>Environment &amp; change</v>
      </c>
      <c r="H54" t="str">
        <f t="shared" si="13"/>
        <v>0301-3715</v>
      </c>
      <c r="I54" t="str">
        <f t="shared" si="14"/>
        <v>(1973) - (1974)</v>
      </c>
    </row>
    <row r="55" spans="1:9" x14ac:dyDescent="0.25">
      <c r="A55" t="str">
        <f>"040192733"</f>
        <v>040192733</v>
      </c>
      <c r="B55" t="str">
        <f t="shared" si="0"/>
        <v>991385201</v>
      </c>
      <c r="C55" t="str">
        <f t="shared" si="8"/>
        <v>MONACO-Jardin exotique</v>
      </c>
      <c r="D55" t="str">
        <f t="shared" si="9"/>
        <v>43.7310908</v>
      </c>
      <c r="E55" t="str">
        <f t="shared" si="10"/>
        <v>7.410747499999999</v>
      </c>
      <c r="F55" t="str">
        <f t="shared" si="11"/>
        <v>Excelsa. Taxonomic series  [Texte imprimé]</v>
      </c>
      <c r="G55" t="str">
        <f t="shared" si="12"/>
        <v>Excelsa. Taxonomic series</v>
      </c>
      <c r="H55" t="str">
        <f t="shared" si="13"/>
        <v>1022-5919</v>
      </c>
      <c r="I55" t="str">
        <f t="shared" si="14"/>
        <v>no. 1 (1978) - no. 4  (1988)</v>
      </c>
    </row>
    <row r="56" spans="1:9" x14ac:dyDescent="0.25">
      <c r="A56" t="str">
        <f>"050921894"</f>
        <v>050921894</v>
      </c>
      <c r="B56" t="str">
        <f t="shared" si="0"/>
        <v>831375101</v>
      </c>
      <c r="C56" t="str">
        <f t="shared" si="8"/>
        <v>TOULON-Serv.Historique Marine</v>
      </c>
      <c r="D56" t="str">
        <f t="shared" si="9"/>
        <v>43.124228</v>
      </c>
      <c r="E56" t="str">
        <f t="shared" si="10"/>
        <v>5.928</v>
      </c>
      <c r="F56" t="str">
        <f t="shared" si="11"/>
        <v>Le Journal d'Alger  [Texte imprimé]</v>
      </c>
      <c r="G56" t="str">
        <f t="shared" si="12"/>
        <v>Le Journal d'Alger</v>
      </c>
      <c r="H56" t="str">
        <f t="shared" si="13"/>
        <v>1112-1696</v>
      </c>
      <c r="I56" t="str">
        <f t="shared" si="14"/>
        <v>no. 3531 (1961) - no. 3825  (1962)</v>
      </c>
    </row>
    <row r="57" spans="1:9" x14ac:dyDescent="0.25">
      <c r="A57" t="str">
        <f>"055669786"</f>
        <v>055669786</v>
      </c>
      <c r="B57" t="str">
        <f t="shared" si="0"/>
        <v>060885101</v>
      </c>
      <c r="C57" t="str">
        <f t="shared" si="8"/>
        <v>NICE-Archives Municipales</v>
      </c>
      <c r="D57" t="str">
        <f t="shared" si="9"/>
        <v>43.68774699999999</v>
      </c>
      <c r="E57" t="str">
        <f t="shared" si="10"/>
        <v>7.235200000000001</v>
      </c>
      <c r="F57" t="str">
        <f t="shared" si="11"/>
        <v>Moun beu Cimié  [Texte imprimé]  : bulletin paroissial de Notre-Dame de Cimiez</v>
      </c>
      <c r="G57" t="str">
        <f t="shared" si="12"/>
        <v>Moun beu Cimié</v>
      </c>
      <c r="H57" t="str">
        <f t="shared" si="13"/>
        <v>2021-152X</v>
      </c>
      <c r="I57" t="str">
        <f t="shared" si="14"/>
        <v>no. 1 (1946) - vol. 13  (1949) [lac.n°2,4,7,8,10-12]</v>
      </c>
    </row>
    <row r="58" spans="1:9" x14ac:dyDescent="0.25">
      <c r="A58" t="str">
        <f>"059135093"</f>
        <v>059135093</v>
      </c>
      <c r="B58" t="str">
        <f t="shared" si="0"/>
        <v>831375101</v>
      </c>
      <c r="C58" t="str">
        <f t="shared" si="8"/>
        <v>TOULON-Serv.Historique Marine</v>
      </c>
      <c r="D58" t="str">
        <f t="shared" si="9"/>
        <v>43.124228</v>
      </c>
      <c r="E58" t="str">
        <f t="shared" si="10"/>
        <v>5.928</v>
      </c>
      <c r="F58" t="str">
        <f t="shared" si="11"/>
        <v>Vox  [Texte imprimé]</v>
      </c>
      <c r="G58" t="str">
        <f t="shared" si="12"/>
        <v>Vox</v>
      </c>
      <c r="H58" t="str">
        <f t="shared" si="13"/>
        <v>1629-0089</v>
      </c>
      <c r="I58" t="str">
        <f t="shared" si="14"/>
        <v>no. 9214 (1992) ; no. 9221 (1992)</v>
      </c>
    </row>
    <row r="59" spans="1:9" x14ac:dyDescent="0.25">
      <c r="A59" t="str">
        <f>"120632705"</f>
        <v>120632705</v>
      </c>
      <c r="B59" t="str">
        <f t="shared" si="0"/>
        <v>061522306</v>
      </c>
      <c r="C59" t="str">
        <f t="shared" si="8"/>
        <v>VALBONNE-Inst.Pharmacol.Mol.</v>
      </c>
      <c r="D59" t="e">
        <f t="shared" si="9"/>
        <v>#VALUE!</v>
      </c>
      <c r="E59" t="e">
        <f t="shared" si="10"/>
        <v>#VALUE!</v>
      </c>
      <c r="F59" t="str">
        <f t="shared" si="11"/>
        <v>Current Alzheimer research  [Texte imprimé]</v>
      </c>
      <c r="G59" t="str">
        <f t="shared" si="12"/>
        <v>Current Alzheimer research</v>
      </c>
      <c r="H59" t="str">
        <f t="shared" si="13"/>
        <v>1567-2050</v>
      </c>
      <c r="I59" t="str">
        <f t="shared" si="14"/>
        <v>(2004) - (jul-2005)</v>
      </c>
    </row>
    <row r="60" spans="1:9" x14ac:dyDescent="0.25">
      <c r="A60" t="str">
        <f>"201863790"</f>
        <v>201863790</v>
      </c>
      <c r="B60" t="str">
        <f t="shared" si="0"/>
        <v>060885105</v>
      </c>
      <c r="C60" t="str">
        <f t="shared" si="8"/>
        <v>NICE-Bibl.Chevalier de Cessole</v>
      </c>
      <c r="D60" t="str">
        <f t="shared" si="9"/>
        <v>43.6956246</v>
      </c>
      <c r="E60" t="str">
        <f t="shared" si="10"/>
        <v>7.259380900000001</v>
      </c>
      <c r="F60" t="str">
        <f t="shared" si="11"/>
        <v>Le Bon climat  : journal de Menton</v>
      </c>
      <c r="G60" t="str">
        <f t="shared" si="12"/>
        <v>Le Bon climat</v>
      </c>
      <c r="H60" t="str">
        <f t="shared" si="13"/>
        <v>2555-3836</v>
      </c>
      <c r="I60" t="str">
        <f t="shared" si="14"/>
        <v>no. 3 (11-dec-1859) - no. 18  (15-mar-1860)</v>
      </c>
    </row>
    <row r="61" spans="1:9" x14ac:dyDescent="0.25">
      <c r="A61" t="str">
        <f>"036261661"</f>
        <v>036261661</v>
      </c>
      <c r="B61" t="str">
        <f t="shared" si="0"/>
        <v>991385301</v>
      </c>
      <c r="C61" t="str">
        <f t="shared" si="8"/>
        <v>MONACO-Musée Océanographique</v>
      </c>
      <c r="D61" t="str">
        <f t="shared" si="9"/>
        <v>43.7310033</v>
      </c>
      <c r="E61" t="str">
        <f t="shared" si="10"/>
        <v>7.425491600000001</v>
      </c>
      <c r="F61" t="str">
        <f t="shared" si="11"/>
        <v>Fisheries research station. Contribution</v>
      </c>
      <c r="G61" t="str">
        <f t="shared" si="12"/>
        <v>Fisheries research station. Contribution</v>
      </c>
      <c r="H61" t="e">
        <f t="shared" si="13"/>
        <v>#VALUE!</v>
      </c>
      <c r="I61" t="e">
        <f t="shared" si="14"/>
        <v>#VALUE!</v>
      </c>
    </row>
    <row r="62" spans="1:9" x14ac:dyDescent="0.25">
      <c r="A62" t="str">
        <f>"040130770"</f>
        <v>040130770</v>
      </c>
      <c r="B62" t="str">
        <f t="shared" si="0"/>
        <v>991386201</v>
      </c>
      <c r="C62" t="str">
        <f t="shared" si="8"/>
        <v>MONACO-Bibl.Louis Notari</v>
      </c>
      <c r="D62" t="str">
        <f t="shared" si="9"/>
        <v>43.7351319</v>
      </c>
      <c r="E62" t="str">
        <f t="shared" si="10"/>
        <v>7.420563100000001</v>
      </c>
      <c r="F62" t="str">
        <f t="shared" si="11"/>
        <v>FMS. Fédération monégasque de ski  [Texte imprimé]</v>
      </c>
      <c r="G62" t="str">
        <f t="shared" si="12"/>
        <v>FMS. Fédération monégasque de ski</v>
      </c>
      <c r="H62" t="str">
        <f t="shared" si="13"/>
        <v>1010-4356</v>
      </c>
      <c r="I62" t="str">
        <f t="shared" si="14"/>
        <v>(1982)-....</v>
      </c>
    </row>
    <row r="63" spans="1:9" x14ac:dyDescent="0.25">
      <c r="A63" t="str">
        <f>"050926764"</f>
        <v>050926764</v>
      </c>
      <c r="B63" t="str">
        <f t="shared" si="0"/>
        <v>831375101</v>
      </c>
      <c r="C63" t="str">
        <f t="shared" si="8"/>
        <v>TOULON-Serv.Historique Marine</v>
      </c>
      <c r="D63" t="str">
        <f t="shared" si="9"/>
        <v>43.124228</v>
      </c>
      <c r="E63" t="str">
        <f t="shared" si="10"/>
        <v>5.928</v>
      </c>
      <c r="F63" t="str">
        <f t="shared" si="11"/>
        <v>Monthly newsletter  [Texte imprimé]  / Navy Department</v>
      </c>
      <c r="G63" t="str">
        <f t="shared" si="12"/>
        <v>Monthly newsletter</v>
      </c>
      <c r="H63" t="e">
        <f t="shared" si="13"/>
        <v>#VALUE!</v>
      </c>
      <c r="I63" t="str">
        <f t="shared" si="14"/>
        <v>vol. 16 no. 2 (fev-1952) - vol. 36  no. 5  (1973) [Lacunes : nombreuses]</v>
      </c>
    </row>
    <row r="64" spans="1:9" x14ac:dyDescent="0.25">
      <c r="A64" t="str">
        <f>"13662524X"</f>
        <v>13662524X</v>
      </c>
      <c r="B64" t="str">
        <f t="shared" si="0"/>
        <v>060885105</v>
      </c>
      <c r="C64" t="str">
        <f t="shared" si="8"/>
        <v>NICE-Bibl.Chevalier de Cessole</v>
      </c>
      <c r="D64" t="str">
        <f t="shared" si="9"/>
        <v>43.6956246</v>
      </c>
      <c r="E64" t="str">
        <f t="shared" si="10"/>
        <v>7.259380900000001</v>
      </c>
      <c r="F64" t="str">
        <f t="shared" si="11"/>
        <v>L'Étincelle de Nice et des Alpes-Maritimes  [Texte imprimé]</v>
      </c>
      <c r="G64" t="str">
        <f t="shared" si="12"/>
        <v>L'Étincelle de Nice et des Alpes-Maritimes</v>
      </c>
      <c r="H64" t="str">
        <f t="shared" si="13"/>
        <v>2127-5181</v>
      </c>
      <c r="I64" t="str">
        <f t="shared" si="14"/>
        <v>no. 1 (15-dec-1892) - no. 31  (23-jul-1893) [Lac.]</v>
      </c>
    </row>
    <row r="65" spans="1:9" x14ac:dyDescent="0.25">
      <c r="A65" t="str">
        <f>"036994723"</f>
        <v>036994723</v>
      </c>
      <c r="B65" t="str">
        <f t="shared" si="0"/>
        <v>991385201</v>
      </c>
      <c r="C65" t="str">
        <f t="shared" si="8"/>
        <v>MONACO-Jardin exotique</v>
      </c>
      <c r="D65" t="str">
        <f t="shared" si="9"/>
        <v>43.7310908</v>
      </c>
      <c r="E65" t="str">
        <f t="shared" si="10"/>
        <v>7.410747499999999</v>
      </c>
      <c r="F65" t="str">
        <f t="shared" si="11"/>
        <v>Journal of the Cactus and Succulent Society of America  [Texte imprimé]</v>
      </c>
      <c r="G65" t="str">
        <f t="shared" si="12"/>
        <v>Journal of the Cactus and Succulent Society of America</v>
      </c>
      <c r="H65" t="str">
        <f t="shared" si="13"/>
        <v>0190-468X</v>
      </c>
      <c r="I65" t="str">
        <f t="shared" si="14"/>
        <v>vol. 1 no. 1 (1929)</v>
      </c>
    </row>
    <row r="66" spans="1:9" x14ac:dyDescent="0.25">
      <c r="A66" t="str">
        <f>"037753738"</f>
        <v>037753738</v>
      </c>
      <c r="B66" t="str">
        <f t="shared" si="0"/>
        <v>991385301</v>
      </c>
      <c r="C66" t="str">
        <f t="shared" si="8"/>
        <v>MONACO-Musée Océanographique</v>
      </c>
      <c r="D66" t="str">
        <f t="shared" si="9"/>
        <v>43.7310033</v>
      </c>
      <c r="E66" t="str">
        <f t="shared" si="10"/>
        <v>7.425491600000001</v>
      </c>
      <c r="F66" t="str">
        <f t="shared" si="11"/>
        <v>Canadian aquaculture bulletin  [Texte imprimé]</v>
      </c>
      <c r="G66" t="str">
        <f t="shared" si="12"/>
        <v>Canadian aquaculture bulletin</v>
      </c>
      <c r="H66" t="str">
        <f t="shared" si="13"/>
        <v>0825-527X</v>
      </c>
      <c r="I66" t="str">
        <f t="shared" si="14"/>
        <v>vol. 1 no. 1 (1984) ; vol. 1 no. 3 (1985)</v>
      </c>
    </row>
    <row r="67" spans="1:9" x14ac:dyDescent="0.25">
      <c r="A67" t="str">
        <f>"039034658"</f>
        <v>039034658</v>
      </c>
      <c r="B67" t="str">
        <f t="shared" ref="B67:B130" si="15">TEXT(_xlfn.FILTERXML(_xlfn.WEBSERVICE("http://www.sudoc.fr/services/multiwhere/"&amp;A67),"//query/result/library/rcr"),"000000000")</f>
        <v>831376201</v>
      </c>
      <c r="C67" t="str">
        <f t="shared" si="8"/>
        <v>TOULON-BM</v>
      </c>
      <c r="D67" t="str">
        <f t="shared" si="9"/>
        <v>43.0823215</v>
      </c>
      <c r="E67" t="str">
        <f t="shared" si="10"/>
        <v>5.920052699999999</v>
      </c>
      <c r="F67" t="str">
        <f t="shared" si="11"/>
        <v>L'Information immobilière de Provence  [Texte imprimé]</v>
      </c>
      <c r="G67" t="str">
        <f t="shared" si="12"/>
        <v>L'Information immobilière de Provence</v>
      </c>
      <c r="H67" t="str">
        <f t="shared" si="13"/>
        <v>2017-0157</v>
      </c>
      <c r="I67" t="str">
        <f t="shared" si="14"/>
        <v>no. 2 (1923)</v>
      </c>
    </row>
    <row r="68" spans="1:9" x14ac:dyDescent="0.25">
      <c r="A68" t="str">
        <f>"039378209"</f>
        <v>039378209</v>
      </c>
      <c r="B68" t="str">
        <f t="shared" si="15"/>
        <v>060882306</v>
      </c>
      <c r="C68" t="str">
        <f t="shared" si="8"/>
        <v>NICE-CEPAM</v>
      </c>
      <c r="D68" t="str">
        <f t="shared" si="9"/>
        <v>43.7090597</v>
      </c>
      <c r="E68" t="str">
        <f t="shared" si="10"/>
        <v>7.288295</v>
      </c>
      <c r="F68" t="e">
        <f t="shared" si="11"/>
        <v>#VALUE!</v>
      </c>
      <c r="G68" t="str">
        <f t="shared" si="12"/>
        <v>Publications du C.R.A</v>
      </c>
      <c r="H68" t="str">
        <f t="shared" si="13"/>
        <v>0243-5144</v>
      </c>
      <c r="I68" t="str">
        <f t="shared" si="14"/>
        <v>vol. 1 (1980)</v>
      </c>
    </row>
    <row r="69" spans="1:9" x14ac:dyDescent="0.25">
      <c r="A69" t="str">
        <f>"039731480"</f>
        <v>039731480</v>
      </c>
      <c r="B69" t="str">
        <f t="shared" si="15"/>
        <v>991385201</v>
      </c>
      <c r="C69" t="str">
        <f t="shared" si="8"/>
        <v>MONACO-Jardin exotique</v>
      </c>
      <c r="D69" t="str">
        <f t="shared" si="9"/>
        <v>43.7310908</v>
      </c>
      <c r="E69" t="str">
        <f t="shared" si="10"/>
        <v>7.410747499999999</v>
      </c>
      <c r="F69" t="str">
        <f t="shared" si="11"/>
        <v>De Brugse cactuspost  [Texte imprimé]</v>
      </c>
      <c r="G69" t="str">
        <f t="shared" si="12"/>
        <v>De Brugse cactuspost</v>
      </c>
      <c r="H69" t="str">
        <f t="shared" si="13"/>
        <v>0774-4676</v>
      </c>
      <c r="I69" t="str">
        <f t="shared" si="14"/>
        <v>vol. 5 no. 3 (1983) ; vol. 5 no. 5 (1983) - vol. 9  no. 6  (1987) ; vol. 9 no. 8 (1987) - vol. 26  no. 11  (2004)</v>
      </c>
    </row>
    <row r="70" spans="1:9" x14ac:dyDescent="0.25">
      <c r="A70" t="str">
        <f>"055779093"</f>
        <v>055779093</v>
      </c>
      <c r="B70" t="str">
        <f t="shared" si="15"/>
        <v>831375101</v>
      </c>
      <c r="C70" t="str">
        <f t="shared" si="8"/>
        <v>TOULON-Serv.Historique Marine</v>
      </c>
      <c r="D70" t="str">
        <f t="shared" si="9"/>
        <v>43.124228</v>
      </c>
      <c r="E70" t="str">
        <f t="shared" si="10"/>
        <v>5.928</v>
      </c>
      <c r="F70" t="str">
        <f t="shared" si="11"/>
        <v>Statistique du bagne de Toulon  [Texte imprimé]</v>
      </c>
      <c r="G70" t="str">
        <f t="shared" si="12"/>
        <v>Statistique du bagne de Toulon</v>
      </c>
      <c r="H70" t="str">
        <f t="shared" si="13"/>
        <v>2021-0221</v>
      </c>
      <c r="I70" t="str">
        <f t="shared" si="14"/>
        <v>(1864) = (1863) ; (1866) = (1865)</v>
      </c>
    </row>
    <row r="71" spans="1:9" x14ac:dyDescent="0.25">
      <c r="A71" t="str">
        <f>"038799456"</f>
        <v>038799456</v>
      </c>
      <c r="B71" t="str">
        <f t="shared" si="15"/>
        <v>060885101</v>
      </c>
      <c r="C71" t="str">
        <f t="shared" si="8"/>
        <v>NICE-Archives Municipales</v>
      </c>
      <c r="D71" t="str">
        <f t="shared" si="9"/>
        <v>43.68774699999999</v>
      </c>
      <c r="E71" t="str">
        <f t="shared" si="10"/>
        <v>7.235200000000001</v>
      </c>
      <c r="F71" t="str">
        <f t="shared" si="11"/>
        <v>Bulletin  [Texte imprimé]  / Commissariat à la lutte contre le chômage</v>
      </c>
      <c r="G71" t="str">
        <f t="shared" si="12"/>
        <v>Bulletin</v>
      </c>
      <c r="H71" t="str">
        <f t="shared" si="13"/>
        <v>1252-3585</v>
      </c>
      <c r="I71" t="str">
        <f t="shared" si="14"/>
        <v>no. 1 (1941)</v>
      </c>
    </row>
    <row r="72" spans="1:9" x14ac:dyDescent="0.25">
      <c r="A72" t="str">
        <f>"036306649"</f>
        <v>036306649</v>
      </c>
      <c r="B72" t="str">
        <f t="shared" si="15"/>
        <v>991385301</v>
      </c>
      <c r="C72" t="str">
        <f t="shared" si="8"/>
        <v>MONACO-Musée Océanographique</v>
      </c>
      <c r="D72" t="str">
        <f t="shared" si="9"/>
        <v>43.7310033</v>
      </c>
      <c r="E72" t="str">
        <f t="shared" si="10"/>
        <v>7.425491600000001</v>
      </c>
      <c r="F72" t="str">
        <f t="shared" si="11"/>
        <v>Journal of marine science  [Texte imprimé]</v>
      </c>
      <c r="G72" t="str">
        <f t="shared" si="12"/>
        <v>Journal of marine science</v>
      </c>
      <c r="H72" t="str">
        <f t="shared" si="13"/>
        <v>0364-1988</v>
      </c>
      <c r="I72" t="str">
        <f t="shared" si="14"/>
        <v>(1970) - (1974)</v>
      </c>
    </row>
    <row r="73" spans="1:9" x14ac:dyDescent="0.25">
      <c r="A73" t="str">
        <f>"03691813X"</f>
        <v>03691813X</v>
      </c>
      <c r="B73" t="str">
        <f t="shared" si="15"/>
        <v>991385301</v>
      </c>
      <c r="C73" t="str">
        <f t="shared" si="8"/>
        <v>MONACO-Musée Océanographique</v>
      </c>
      <c r="D73" t="str">
        <f t="shared" si="9"/>
        <v>43.7310033</v>
      </c>
      <c r="E73" t="str">
        <f t="shared" si="10"/>
        <v>7.425491600000001</v>
      </c>
      <c r="F73" t="str">
        <f t="shared" si="11"/>
        <v>Proceedings of the Challenger Society  [Texte imprimé]</v>
      </c>
      <c r="G73" t="str">
        <f t="shared" si="12"/>
        <v>Proceedings of the Challenger Society</v>
      </c>
      <c r="H73" t="str">
        <f t="shared" si="13"/>
        <v>0144-1469</v>
      </c>
      <c r="I73" t="str">
        <f t="shared" si="14"/>
        <v>(1969) - (1975)</v>
      </c>
    </row>
    <row r="74" spans="1:9" x14ac:dyDescent="0.25">
      <c r="A74" t="str">
        <f>"036380814"</f>
        <v>036380814</v>
      </c>
      <c r="B74" t="str">
        <f t="shared" si="15"/>
        <v>991385301</v>
      </c>
      <c r="C74" t="str">
        <f t="shared" si="8"/>
        <v>MONACO-Musée Océanographique</v>
      </c>
      <c r="D74" t="str">
        <f t="shared" si="9"/>
        <v>43.7310033</v>
      </c>
      <c r="E74" t="str">
        <f t="shared" si="10"/>
        <v>7.425491600000001</v>
      </c>
      <c r="F74" t="str">
        <f t="shared" si="11"/>
        <v>Poissons du Québec  [Texte imprimé]</v>
      </c>
      <c r="G74" t="str">
        <f t="shared" si="12"/>
        <v>Poissons du Québec</v>
      </c>
      <c r="H74" t="e">
        <f t="shared" si="13"/>
        <v>#VALUE!</v>
      </c>
      <c r="I74" t="str">
        <f t="shared" si="14"/>
        <v>(1953) - (1973)</v>
      </c>
    </row>
    <row r="75" spans="1:9" x14ac:dyDescent="0.25">
      <c r="A75" t="str">
        <f>"03641025X"</f>
        <v>03641025X</v>
      </c>
      <c r="B75" t="str">
        <f t="shared" si="15"/>
        <v>991385301</v>
      </c>
      <c r="C75" t="str">
        <f t="shared" si="8"/>
        <v>MONACO-Musée Océanographique</v>
      </c>
      <c r="D75" t="str">
        <f t="shared" si="9"/>
        <v>43.7310033</v>
      </c>
      <c r="E75" t="str">
        <f t="shared" si="10"/>
        <v>7.425491600000001</v>
      </c>
      <c r="F75" t="str">
        <f t="shared" si="11"/>
        <v>Rijksinstituut voor visserij onderzoek. Reprints</v>
      </c>
      <c r="G75" t="str">
        <f t="shared" si="12"/>
        <v>Rijksinstituut voor visserij onderzoek. Reprints</v>
      </c>
      <c r="H75" t="e">
        <f t="shared" si="13"/>
        <v>#VALUE!</v>
      </c>
      <c r="I75" t="str">
        <f t="shared" si="14"/>
        <v>(1960)-....</v>
      </c>
    </row>
    <row r="76" spans="1:9" x14ac:dyDescent="0.25">
      <c r="A76" t="str">
        <f>"036470961"</f>
        <v>036470961</v>
      </c>
      <c r="B76" t="str">
        <f t="shared" si="15"/>
        <v>991385301</v>
      </c>
      <c r="C76" t="str">
        <f t="shared" si="8"/>
        <v>MONACO-Musée Océanographique</v>
      </c>
      <c r="D76" t="str">
        <f t="shared" si="9"/>
        <v>43.7310033</v>
      </c>
      <c r="E76" t="str">
        <f t="shared" si="10"/>
        <v>7.425491600000001</v>
      </c>
      <c r="F76" t="str">
        <f t="shared" si="11"/>
        <v>University of Delaware. Marine laboratories. Contributions</v>
      </c>
      <c r="G76" t="str">
        <f t="shared" si="12"/>
        <v>University of Delaware. Marine laboratories. Contributions</v>
      </c>
      <c r="H76" t="e">
        <f t="shared" si="13"/>
        <v>#VALUE!</v>
      </c>
      <c r="I76" t="e">
        <f t="shared" si="14"/>
        <v>#VALUE!</v>
      </c>
    </row>
    <row r="77" spans="1:9" x14ac:dyDescent="0.25">
      <c r="A77" t="str">
        <f>"036471046"</f>
        <v>036471046</v>
      </c>
      <c r="B77" t="str">
        <f t="shared" si="15"/>
        <v>991385301</v>
      </c>
      <c r="C77" t="str">
        <f t="shared" si="8"/>
        <v>MONACO-Musée Océanographique</v>
      </c>
      <c r="D77" t="str">
        <f t="shared" si="9"/>
        <v>43.7310033</v>
      </c>
      <c r="E77" t="str">
        <f t="shared" si="10"/>
        <v>7.425491600000001</v>
      </c>
      <c r="F77" t="str">
        <f t="shared" si="11"/>
        <v>University of Göteborg, Marine geological laboratory [Contributions]</v>
      </c>
      <c r="G77" t="str">
        <f t="shared" si="12"/>
        <v>University of Göteborg, Marine geological laboratory [Contributions]</v>
      </c>
      <c r="H77" t="e">
        <f t="shared" si="13"/>
        <v>#VALUE!</v>
      </c>
      <c r="I77" t="str">
        <f t="shared" si="14"/>
        <v>(1969) - (1982)</v>
      </c>
    </row>
    <row r="78" spans="1:9" x14ac:dyDescent="0.25">
      <c r="A78" t="str">
        <f>"036371084"</f>
        <v>036371084</v>
      </c>
      <c r="B78" t="str">
        <f t="shared" si="15"/>
        <v>991385301</v>
      </c>
      <c r="C78" t="str">
        <f t="shared" si="8"/>
        <v>MONACO-Musée Océanographique</v>
      </c>
      <c r="D78" t="str">
        <f t="shared" si="9"/>
        <v>43.7310033</v>
      </c>
      <c r="E78" t="str">
        <f t="shared" si="10"/>
        <v>7.425491600000001</v>
      </c>
      <c r="F78" t="str">
        <f t="shared" si="11"/>
        <v>Osservatorio geofisico sperimentale. Contributi</v>
      </c>
      <c r="G78" t="str">
        <f t="shared" si="12"/>
        <v>Osservatorio geofisico sperimentale. Contributi</v>
      </c>
      <c r="H78" t="e">
        <f t="shared" si="13"/>
        <v>#VALUE!</v>
      </c>
      <c r="I78" t="e">
        <f t="shared" si="14"/>
        <v>#VALUE!</v>
      </c>
    </row>
    <row r="79" spans="1:9" x14ac:dyDescent="0.25">
      <c r="A79" t="str">
        <f>"03636942X"</f>
        <v>03636942X</v>
      </c>
      <c r="B79" t="str">
        <f t="shared" si="15"/>
        <v>991385301</v>
      </c>
      <c r="C79" t="str">
        <f t="shared" si="8"/>
        <v>MONACO-Musée Océanographique</v>
      </c>
      <c r="D79" t="str">
        <f t="shared" si="9"/>
        <v>43.7310033</v>
      </c>
      <c r="E79" t="str">
        <f t="shared" si="10"/>
        <v>7.425491600000001</v>
      </c>
      <c r="F79" t="str">
        <f t="shared" si="11"/>
        <v>Oregon state university. Department of oceanography. Annual report</v>
      </c>
      <c r="G79" t="str">
        <f t="shared" si="12"/>
        <v>Oregon state university. Department of oceanography. Annual report</v>
      </c>
      <c r="H79" t="e">
        <f t="shared" si="13"/>
        <v>#VALUE!</v>
      </c>
      <c r="I79" t="str">
        <f t="shared" si="14"/>
        <v>(1973)-....</v>
      </c>
    </row>
    <row r="80" spans="1:9" x14ac:dyDescent="0.25">
      <c r="A80" t="str">
        <f>"040033031"</f>
        <v>040033031</v>
      </c>
      <c r="B80" t="str">
        <f t="shared" si="15"/>
        <v>060885102</v>
      </c>
      <c r="C80" t="str">
        <f t="shared" si="8"/>
        <v>NICE-Archives Départementales</v>
      </c>
      <c r="D80" t="str">
        <f t="shared" si="9"/>
        <v>43.6877482</v>
      </c>
      <c r="E80" t="str">
        <f t="shared" si="10"/>
        <v>7.2113605</v>
      </c>
      <c r="F80" t="str">
        <f t="shared" si="11"/>
        <v>Symival actualités  [Texte imprimé]</v>
      </c>
      <c r="G80" t="str">
        <f t="shared" si="12"/>
        <v>Symival actualités</v>
      </c>
      <c r="H80" t="str">
        <f t="shared" si="13"/>
        <v>1169-7636</v>
      </c>
      <c r="I80" t="str">
        <f t="shared" si="14"/>
        <v>no. 1 (1985) - no. 9  (1990)</v>
      </c>
    </row>
    <row r="81" spans="1:9" x14ac:dyDescent="0.25">
      <c r="A81" t="str">
        <f>"156155125"</f>
        <v>156155125</v>
      </c>
      <c r="B81" t="str">
        <f t="shared" si="15"/>
        <v>060885105</v>
      </c>
      <c r="C81" t="str">
        <f t="shared" si="8"/>
        <v>NICE-Bibl.Chevalier de Cessole</v>
      </c>
      <c r="D81" t="str">
        <f t="shared" si="9"/>
        <v>43.6956246</v>
      </c>
      <c r="E81" t="str">
        <f t="shared" si="10"/>
        <v>7.259380900000001</v>
      </c>
      <c r="F81" t="str">
        <f t="shared" si="11"/>
        <v>Le Progrès social des Alpes-Maritimes  [Texte imprimé]</v>
      </c>
      <c r="G81" t="str">
        <f t="shared" si="12"/>
        <v>Le Progrès social des Alpes-Maritimes</v>
      </c>
      <c r="H81" t="str">
        <f t="shared" si="13"/>
        <v>2135-5282</v>
      </c>
      <c r="I81" t="str">
        <f t="shared" si="14"/>
        <v>no. 1 (18-jun-1893) - no. 4  (9-jul-1893) [lacunes]</v>
      </c>
    </row>
    <row r="82" spans="1:9" x14ac:dyDescent="0.25">
      <c r="A82" t="str">
        <f>"114705321"</f>
        <v>114705321</v>
      </c>
      <c r="B82" t="str">
        <f t="shared" si="15"/>
        <v>060886101</v>
      </c>
      <c r="C82" t="str">
        <f t="shared" si="8"/>
        <v>NICE- BMVR Louis Nucéra</v>
      </c>
      <c r="D82" t="str">
        <f t="shared" si="9"/>
        <v>43.7015650</v>
      </c>
      <c r="E82" t="str">
        <f t="shared" si="10"/>
        <v>7.2786247</v>
      </c>
      <c r="F82" t="str">
        <f t="shared" si="11"/>
        <v>Azur informations  [Texte imprimé]</v>
      </c>
      <c r="G82" t="str">
        <f t="shared" si="12"/>
        <v>Azur informations</v>
      </c>
      <c r="H82" t="str">
        <f t="shared" si="13"/>
        <v>1956-7316</v>
      </c>
      <c r="I82" t="str">
        <f t="shared" si="14"/>
        <v>no. 1 (nov-2005)-....</v>
      </c>
    </row>
    <row r="83" spans="1:9" x14ac:dyDescent="0.25">
      <c r="A83" t="str">
        <f>"03636522X"</f>
        <v>03636522X</v>
      </c>
      <c r="B83" t="str">
        <f t="shared" si="15"/>
        <v>991385301</v>
      </c>
      <c r="C83" t="str">
        <f t="shared" si="8"/>
        <v>MONACO-Musée Océanographique</v>
      </c>
      <c r="D83" t="str">
        <f t="shared" si="9"/>
        <v>43.7310033</v>
      </c>
      <c r="E83" t="str">
        <f t="shared" si="10"/>
        <v>7.425491600000001</v>
      </c>
      <c r="F83" t="str">
        <f t="shared" si="11"/>
        <v>Oceanographic ship operating schedules  [Texte imprimé]</v>
      </c>
      <c r="G83" t="str">
        <f t="shared" si="12"/>
        <v>Oceanographic ship operating schedules</v>
      </c>
      <c r="H83" t="e">
        <f t="shared" si="13"/>
        <v>#VALUE!</v>
      </c>
      <c r="I83" t="str">
        <f t="shared" si="14"/>
        <v>(1968) - (1979) ; (1981) - (1982)</v>
      </c>
    </row>
    <row r="84" spans="1:9" x14ac:dyDescent="0.25">
      <c r="A84" t="str">
        <f>"036365300"</f>
        <v>036365300</v>
      </c>
      <c r="B84" t="str">
        <f t="shared" si="15"/>
        <v>991385301</v>
      </c>
      <c r="C84" t="str">
        <f t="shared" si="8"/>
        <v>MONACO-Musée Océanographique</v>
      </c>
      <c r="D84" t="str">
        <f t="shared" si="9"/>
        <v>43.7310033</v>
      </c>
      <c r="E84" t="str">
        <f t="shared" si="10"/>
        <v>7.425491600000001</v>
      </c>
      <c r="F84" t="str">
        <f t="shared" si="11"/>
        <v>Oceanography coordinating committee newsletter  [Texte imprimé]</v>
      </c>
      <c r="G84" t="str">
        <f t="shared" si="12"/>
        <v>Oceanography coordinating committee newsletter</v>
      </c>
      <c r="H84" t="e">
        <f t="shared" si="13"/>
        <v>#VALUE!</v>
      </c>
      <c r="I84" t="str">
        <f t="shared" si="14"/>
        <v>(1973)-....</v>
      </c>
    </row>
    <row r="85" spans="1:9" x14ac:dyDescent="0.25">
      <c r="A85" t="str">
        <f>"038024675"</f>
        <v>038024675</v>
      </c>
      <c r="B85" t="str">
        <f t="shared" si="15"/>
        <v>991385301</v>
      </c>
      <c r="C85" t="str">
        <f t="shared" si="8"/>
        <v>MONACO-Musée Océanographique</v>
      </c>
      <c r="D85" t="str">
        <f t="shared" si="9"/>
        <v>43.7310033</v>
      </c>
      <c r="E85" t="str">
        <f t="shared" si="10"/>
        <v>7.425491600000001</v>
      </c>
      <c r="F85" t="str">
        <f t="shared" si="11"/>
        <v>GOFS news  [Texte imprimé]</v>
      </c>
      <c r="G85" t="str">
        <f t="shared" si="12"/>
        <v>GOFS news</v>
      </c>
      <c r="H85" t="str">
        <f t="shared" si="13"/>
        <v>1050-5954</v>
      </c>
      <c r="I85" t="str">
        <f t="shared" si="14"/>
        <v>vol. 1 no. 1 (1989) - vol. 1  no. 2  (1989)</v>
      </c>
    </row>
    <row r="86" spans="1:9" x14ac:dyDescent="0.25">
      <c r="A86" t="str">
        <f>"038024683"</f>
        <v>038024683</v>
      </c>
      <c r="B86" t="str">
        <f t="shared" si="15"/>
        <v>991385301</v>
      </c>
      <c r="C86" t="str">
        <f t="shared" si="8"/>
        <v>MONACO-Musée Océanographique</v>
      </c>
      <c r="D86" t="str">
        <f t="shared" si="9"/>
        <v>43.7310033</v>
      </c>
      <c r="E86" t="str">
        <f t="shared" si="10"/>
        <v>7.425491600000001</v>
      </c>
      <c r="F86" t="str">
        <f t="shared" si="11"/>
        <v>WoceNotes  [Texte imprimé]</v>
      </c>
      <c r="G86" t="str">
        <f t="shared" si="12"/>
        <v>WoceNotes</v>
      </c>
      <c r="H86" t="str">
        <f t="shared" si="13"/>
        <v>1050-5962</v>
      </c>
      <c r="I86" t="str">
        <f t="shared" si="14"/>
        <v>vol. 1 no. 1 (1988)-....</v>
      </c>
    </row>
    <row r="87" spans="1:9" x14ac:dyDescent="0.25">
      <c r="A87" t="str">
        <f>"039034585"</f>
        <v>039034585</v>
      </c>
      <c r="B87" t="str">
        <f t="shared" si="15"/>
        <v>831376201</v>
      </c>
      <c r="C87" t="str">
        <f t="shared" si="8"/>
        <v>TOULON-BM</v>
      </c>
      <c r="D87" t="str">
        <f t="shared" si="9"/>
        <v>43.0823215</v>
      </c>
      <c r="E87" t="str">
        <f t="shared" si="10"/>
        <v>5.920052699999999</v>
      </c>
      <c r="F87" t="str">
        <f t="shared" si="11"/>
        <v>Les Grandes affiches du littoral  [Texte imprimé]</v>
      </c>
      <c r="G87" t="str">
        <f t="shared" si="12"/>
        <v>Les Grandes affiches du littoral</v>
      </c>
      <c r="H87" t="str">
        <f t="shared" si="13"/>
        <v>2017-0114</v>
      </c>
      <c r="I87" t="str">
        <f t="shared" si="14"/>
        <v>no. 78 (1909) - no. 164  (1914)</v>
      </c>
    </row>
    <row r="88" spans="1:9" x14ac:dyDescent="0.25">
      <c r="A88" t="str">
        <f>"039066614"</f>
        <v>039066614</v>
      </c>
      <c r="B88" t="str">
        <f t="shared" si="15"/>
        <v>831376201</v>
      </c>
      <c r="C88" t="str">
        <f t="shared" si="8"/>
        <v>TOULON-BM</v>
      </c>
      <c r="D88" t="str">
        <f t="shared" si="9"/>
        <v>43.0823215</v>
      </c>
      <c r="E88" t="str">
        <f t="shared" si="10"/>
        <v>5.920052699999999</v>
      </c>
      <c r="F88" t="str">
        <f t="shared" si="11"/>
        <v>Bulletin  [Texte imprimé]  / Syndicat des Communes du Littoral pour la protection, l'aménagement et la mise en valeur de la Côte d'Azur varoise</v>
      </c>
      <c r="G88" t="str">
        <f t="shared" si="12"/>
        <v>Bulletin</v>
      </c>
      <c r="H88" t="str">
        <f t="shared" si="13"/>
        <v>2016-1921</v>
      </c>
      <c r="I88" t="str">
        <f t="shared" si="14"/>
        <v>no. 1 (1923) - no. 6  (1930) ; no. 15 (1937)</v>
      </c>
    </row>
    <row r="89" spans="1:9" x14ac:dyDescent="0.25">
      <c r="A89" t="str">
        <f>"039095886"</f>
        <v>039095886</v>
      </c>
      <c r="B89" t="str">
        <f t="shared" si="15"/>
        <v>831376201</v>
      </c>
      <c r="C89" t="str">
        <f t="shared" si="8"/>
        <v>TOULON-BM</v>
      </c>
      <c r="D89" t="str">
        <f t="shared" si="9"/>
        <v>43.0823215</v>
      </c>
      <c r="E89" t="str">
        <f t="shared" si="10"/>
        <v>5.920052699999999</v>
      </c>
      <c r="F89" t="str">
        <f t="shared" si="11"/>
        <v>Almanach du philatéliste  [Texte imprimé]</v>
      </c>
      <c r="G89" t="str">
        <f t="shared" si="12"/>
        <v>Almanach du philatéliste</v>
      </c>
      <c r="H89" t="str">
        <f t="shared" si="13"/>
        <v>2015-6642</v>
      </c>
      <c r="I89">
        <f t="shared" si="14"/>
        <v>-1927</v>
      </c>
    </row>
    <row r="90" spans="1:9" x14ac:dyDescent="0.25">
      <c r="A90" t="str">
        <f>"039095908"</f>
        <v>039095908</v>
      </c>
      <c r="B90" t="str">
        <f t="shared" si="15"/>
        <v>831376201</v>
      </c>
      <c r="C90" t="str">
        <f t="shared" si="8"/>
        <v>TOULON-BM</v>
      </c>
      <c r="D90" t="str">
        <f t="shared" si="9"/>
        <v>43.0823215</v>
      </c>
      <c r="E90" t="str">
        <f t="shared" si="10"/>
        <v>5.920052699999999</v>
      </c>
      <c r="F90" t="str">
        <f t="shared" si="11"/>
        <v>Actualités de la quinzaine  [Texte imprimé]  / Chambre de commerce et d'industrie de Toulon et du Var</v>
      </c>
      <c r="G90" t="str">
        <f t="shared" si="12"/>
        <v>Actualités de la quinzaine</v>
      </c>
      <c r="H90" t="e">
        <f t="shared" si="13"/>
        <v>#VALUE!</v>
      </c>
      <c r="I90" t="str">
        <f t="shared" si="14"/>
        <v>no. 3 (nov-1973) - no. 16  (nov-1976)</v>
      </c>
    </row>
    <row r="91" spans="1:9" x14ac:dyDescent="0.25">
      <c r="A91" t="str">
        <f>"039113434"</f>
        <v>039113434</v>
      </c>
      <c r="B91" t="str">
        <f t="shared" si="15"/>
        <v>831376201</v>
      </c>
      <c r="C91" t="str">
        <f t="shared" si="8"/>
        <v>TOULON-BM</v>
      </c>
      <c r="D91" t="str">
        <f t="shared" si="9"/>
        <v>43.0823215</v>
      </c>
      <c r="E91" t="str">
        <f t="shared" si="10"/>
        <v>5.920052699999999</v>
      </c>
      <c r="F91" t="str">
        <f t="shared" si="11"/>
        <v>La Revue artistique, littéraire, commerciale et d'annonces  [Texte imprimé]</v>
      </c>
      <c r="G91" t="str">
        <f t="shared" si="12"/>
        <v>La Revue artistique, littéraire, commerciale et d'annonces</v>
      </c>
      <c r="H91" t="str">
        <f t="shared" si="13"/>
        <v>2017-6589</v>
      </c>
      <c r="I91" t="str">
        <f t="shared" si="14"/>
        <v>no. 116 (1873) - no. 117  (1873) ; no. 120 (1874) - no. 141  (1876)</v>
      </c>
    </row>
    <row r="92" spans="1:9" x14ac:dyDescent="0.25">
      <c r="A92" t="str">
        <f>"039113396"</f>
        <v>039113396</v>
      </c>
      <c r="B92" t="str">
        <f t="shared" si="15"/>
        <v>831376201</v>
      </c>
      <c r="C92" t="str">
        <f t="shared" si="8"/>
        <v>TOULON-BM</v>
      </c>
      <c r="D92" t="str">
        <f t="shared" si="9"/>
        <v>43.0823215</v>
      </c>
      <c r="E92" t="str">
        <f t="shared" si="10"/>
        <v>5.920052699999999</v>
      </c>
      <c r="F92" t="str">
        <f t="shared" si="11"/>
        <v>Le Tam-tam  [Texte imprimé]</v>
      </c>
      <c r="G92" t="str">
        <f t="shared" si="12"/>
        <v>Le Tam-tam</v>
      </c>
      <c r="H92" t="str">
        <f t="shared" si="13"/>
        <v>2018-5219</v>
      </c>
      <c r="I92" t="str">
        <f t="shared" si="14"/>
        <v>no. 333 (1876)</v>
      </c>
    </row>
    <row r="93" spans="1:9" x14ac:dyDescent="0.25">
      <c r="A93" t="str">
        <f>"039113531"</f>
        <v>039113531</v>
      </c>
      <c r="B93" t="str">
        <f t="shared" si="15"/>
        <v>831376201</v>
      </c>
      <c r="C93" t="str">
        <f t="shared" si="8"/>
        <v>TOULON-BM</v>
      </c>
      <c r="D93" t="str">
        <f t="shared" si="9"/>
        <v>43.0823215</v>
      </c>
      <c r="E93" t="str">
        <f t="shared" si="10"/>
        <v>5.920052699999999</v>
      </c>
      <c r="F93" t="str">
        <f t="shared" si="11"/>
        <v>La Provence héroïque et mutualiste  [Texte imprimé]</v>
      </c>
      <c r="G93" t="str">
        <f t="shared" si="12"/>
        <v>La Provence héroïque et mutualiste</v>
      </c>
      <c r="H93" t="str">
        <f t="shared" si="13"/>
        <v>2024-6463</v>
      </c>
      <c r="I93" t="str">
        <f t="shared" si="14"/>
        <v>no. 4 (jan-1916)</v>
      </c>
    </row>
    <row r="94" spans="1:9" x14ac:dyDescent="0.25">
      <c r="A94" t="str">
        <f>"039113477"</f>
        <v>039113477</v>
      </c>
      <c r="B94" t="str">
        <f t="shared" si="15"/>
        <v>831376201</v>
      </c>
      <c r="C94" t="str">
        <f t="shared" si="8"/>
        <v>TOULON-BM</v>
      </c>
      <c r="D94" t="str">
        <f t="shared" si="9"/>
        <v>43.0823215</v>
      </c>
      <c r="E94" t="str">
        <f t="shared" si="10"/>
        <v>5.920052699999999</v>
      </c>
      <c r="F94" t="str">
        <f t="shared" si="11"/>
        <v>Revue de Cannes  [Texte imprimé]  : Littéraire, scientifique, maritime, commerciale, agricole et d'annonces</v>
      </c>
      <c r="G94" t="str">
        <f t="shared" si="12"/>
        <v>Revue de Cannes</v>
      </c>
      <c r="H94" t="str">
        <f t="shared" si="13"/>
        <v>2017-6600</v>
      </c>
      <c r="I94" t="str">
        <f t="shared" si="14"/>
        <v>no. 586 (1875) ; no. 607 (1875) ; no. 608 (1875) ; no. 613 (1875)</v>
      </c>
    </row>
    <row r="95" spans="1:9" x14ac:dyDescent="0.25">
      <c r="A95" t="str">
        <f>"039127877"</f>
        <v>039127877</v>
      </c>
      <c r="B95" t="str">
        <f t="shared" si="15"/>
        <v>060695201</v>
      </c>
      <c r="C95" t="str">
        <f t="shared" si="8"/>
        <v>GRASSE-Musée Intern Parfumerie</v>
      </c>
      <c r="D95" t="str">
        <f t="shared" si="9"/>
        <v>43.6582879</v>
      </c>
      <c r="E95" t="str">
        <f t="shared" si="10"/>
        <v>6.9219354</v>
      </c>
      <c r="F95" t="str">
        <f t="shared" si="11"/>
        <v>Dragoco-Report  [Texte imprimé]</v>
      </c>
      <c r="G95" t="str">
        <f t="shared" si="12"/>
        <v>Dragoco-Report</v>
      </c>
      <c r="H95" t="str">
        <f t="shared" si="13"/>
        <v>0174-3236</v>
      </c>
      <c r="I95" t="str">
        <f t="shared" si="14"/>
        <v>no. 6 (1971) - no. 12  (1972)</v>
      </c>
    </row>
    <row r="96" spans="1:9" x14ac:dyDescent="0.25">
      <c r="A96" t="str">
        <f>"040132064"</f>
        <v>040132064</v>
      </c>
      <c r="B96" t="str">
        <f t="shared" si="15"/>
        <v>991386201</v>
      </c>
      <c r="C96" t="str">
        <f t="shared" ref="C96:C159" si="16">_xlfn.FILTERXML(_xlfn.WEBSERVICE("http://www.sudoc.fr/services/multiwhere/"&amp;A96),"//query/result/library/shortname")</f>
        <v>MONACO-Bibl.Louis Notari</v>
      </c>
      <c r="D96" t="str">
        <f t="shared" ref="D96:D159" si="17">_xlfn.FILTERXML(_xlfn.WEBSERVICE("http://www.sudoc.fr/services/multiwhere/"&amp;A96),"//query/result/library/latitude")</f>
        <v>43.7351319</v>
      </c>
      <c r="E96" t="str">
        <f t="shared" ref="E96:E159" si="18">_xlfn.FILTERXML(_xlfn.WEBSERVICE("http://www.sudoc.fr/services/multiwhere/"&amp;A96),"//query/result/library/longitude")</f>
        <v>7.420563100000001</v>
      </c>
      <c r="F96" t="str">
        <f t="shared" ref="F96:F159" si="19">_xlfn.FILTERXML(_xlfn.WEBSERVICE("http://www.sudoc.fr/"&amp;A96&amp;".rdf"),"//bibo:Periodical/dc:title")</f>
        <v>Bulletin d'information de l'Amicale des donneurs de sang  [Texte imprimé]</v>
      </c>
      <c r="G96" t="str">
        <f t="shared" ref="G96:G159" si="20">_xlfn.FILTERXML(_xlfn.WEBSERVICE("http://www.sudoc.fr/"&amp;A96&amp;".abes"),"//datafield[@tag='200']/subfield[@code='a']")</f>
        <v>Bulletin d'information de l'Amicale des donneurs de sang</v>
      </c>
      <c r="H96" t="str">
        <f t="shared" ref="H96:H159" si="21">_xlfn.FILTERXML(_xlfn.WEBSERVICE("http://www.sudoc.fr/"&amp;A96&amp;".abes"),"//datafield[@tag='011']/subfield[@code='a']")</f>
        <v>1010-6243</v>
      </c>
      <c r="I96" t="str">
        <f t="shared" ref="I96:I159" si="22">_xlfn.FILTERXML(_xlfn.WEBSERVICE("http://www.sudoc.fr/"&amp;A96&amp;".abes"),"//datafield[@tag='955']/subfield[@code='r']")</f>
        <v>no. 1 (1958) - (1995) [lac.36%]</v>
      </c>
    </row>
    <row r="97" spans="1:9" x14ac:dyDescent="0.25">
      <c r="A97" t="str">
        <f>"115206086"</f>
        <v>115206086</v>
      </c>
      <c r="B97" t="str">
        <f t="shared" si="15"/>
        <v>061522306</v>
      </c>
      <c r="C97" t="str">
        <f t="shared" si="16"/>
        <v>VALBONNE-Inst.Pharmacol.Mol.</v>
      </c>
      <c r="D97" t="e">
        <f t="shared" si="17"/>
        <v>#VALUE!</v>
      </c>
      <c r="E97" t="e">
        <f t="shared" si="18"/>
        <v>#VALUE!</v>
      </c>
      <c r="F97" t="str">
        <f t="shared" si="19"/>
        <v>Channels  [Texte imprimé]</v>
      </c>
      <c r="G97" t="str">
        <f t="shared" si="20"/>
        <v>Channels</v>
      </c>
      <c r="H97" t="str">
        <f t="shared" si="21"/>
        <v>1933-6950</v>
      </c>
      <c r="I97" t="str">
        <f t="shared" si="22"/>
        <v>(jul-2007)-....</v>
      </c>
    </row>
    <row r="98" spans="1:9" x14ac:dyDescent="0.25">
      <c r="A98" t="str">
        <f>"135949297"</f>
        <v>135949297</v>
      </c>
      <c r="B98" t="str">
        <f t="shared" si="15"/>
        <v>060885105</v>
      </c>
      <c r="C98" t="str">
        <f t="shared" si="16"/>
        <v>NICE-Bibl.Chevalier de Cessole</v>
      </c>
      <c r="D98" t="str">
        <f t="shared" si="17"/>
        <v>43.6956246</v>
      </c>
      <c r="E98" t="str">
        <f t="shared" si="18"/>
        <v>7.259380900000001</v>
      </c>
      <c r="F98" t="str">
        <f t="shared" si="19"/>
        <v>L'Actualité  [Texte imprimé]</v>
      </c>
      <c r="G98" t="str">
        <f t="shared" si="20"/>
        <v>L'Actualité</v>
      </c>
      <c r="H98" t="str">
        <f t="shared" si="21"/>
        <v>2120-2400</v>
      </c>
      <c r="I98" t="str">
        <f t="shared" si="22"/>
        <v>no. 5 (3-jan-1892) - no. 9  (31-jan-1892) [lacunes]</v>
      </c>
    </row>
    <row r="99" spans="1:9" x14ac:dyDescent="0.25">
      <c r="A99" t="str">
        <f>"037656058"</f>
        <v>037656058</v>
      </c>
      <c r="B99" t="str">
        <f t="shared" si="15"/>
        <v>061525404</v>
      </c>
      <c r="C99" t="str">
        <f t="shared" si="16"/>
        <v>SOPHIA/ANT.-Thales Und. Systems</v>
      </c>
      <c r="D99" t="e">
        <f t="shared" si="17"/>
        <v>#VALUE!</v>
      </c>
      <c r="E99" t="e">
        <f t="shared" si="18"/>
        <v>#VALUE!</v>
      </c>
      <c r="F99" t="str">
        <f t="shared" si="19"/>
        <v>Hybrid circuit technology  [Texte imprimé]</v>
      </c>
      <c r="G99" t="str">
        <f t="shared" si="20"/>
        <v>Hybrid circuit technology</v>
      </c>
      <c r="H99" t="str">
        <f t="shared" si="21"/>
        <v>0747-1599</v>
      </c>
      <c r="I99" t="str">
        <f t="shared" si="22"/>
        <v>(1985) - (1991)</v>
      </c>
    </row>
    <row r="100" spans="1:9" x14ac:dyDescent="0.25">
      <c r="A100" t="str">
        <f>"039034968"</f>
        <v>039034968</v>
      </c>
      <c r="B100" t="str">
        <f t="shared" si="15"/>
        <v>831376201</v>
      </c>
      <c r="C100" t="str">
        <f t="shared" si="16"/>
        <v>TOULON-BM</v>
      </c>
      <c r="D100" t="str">
        <f t="shared" si="17"/>
        <v>43.0823215</v>
      </c>
      <c r="E100" t="str">
        <f t="shared" si="18"/>
        <v>5.920052699999999</v>
      </c>
      <c r="F100" t="str">
        <f t="shared" si="19"/>
        <v>Bulletin trimestriel du Cyclo-Touring-Club-varois  [Texte imprimé]</v>
      </c>
      <c r="G100" t="str">
        <f t="shared" si="20"/>
        <v>Bulletin trimestriel du Cyclo-Touring-Club-varois</v>
      </c>
      <c r="H100" t="str">
        <f t="shared" si="21"/>
        <v>2016-5552</v>
      </c>
      <c r="I100" t="str">
        <f t="shared" si="22"/>
        <v>no. 1 (1928) - (1931)</v>
      </c>
    </row>
    <row r="101" spans="1:9" x14ac:dyDescent="0.25">
      <c r="A101" t="str">
        <f>"040090531"</f>
        <v>040090531</v>
      </c>
      <c r="B101" t="str">
        <f t="shared" si="15"/>
        <v>991385301</v>
      </c>
      <c r="C101" t="str">
        <f t="shared" si="16"/>
        <v>MONACO-Musée Océanographique</v>
      </c>
      <c r="D101" t="str">
        <f t="shared" si="17"/>
        <v>43.7310033</v>
      </c>
      <c r="E101" t="str">
        <f t="shared" si="18"/>
        <v>7.425491600000001</v>
      </c>
      <c r="F101" t="str">
        <f t="shared" si="19"/>
        <v>Liste des acquisitions  [Texte imprimé]  / Service historique de la marine, Centre de documentation et de recherche de la IIIème région maritime, Bibliothèque</v>
      </c>
      <c r="G101" t="str">
        <f t="shared" si="20"/>
        <v>Liste des acquisitions</v>
      </c>
      <c r="H101" t="str">
        <f t="shared" si="21"/>
        <v>1243-3799</v>
      </c>
      <c r="I101" t="str">
        <f t="shared" si="22"/>
        <v>(1983)-....</v>
      </c>
    </row>
    <row r="102" spans="1:9" x14ac:dyDescent="0.25">
      <c r="A102" t="str">
        <f>"137891482"</f>
        <v>137891482</v>
      </c>
      <c r="B102" t="str">
        <f t="shared" si="15"/>
        <v>060696201</v>
      </c>
      <c r="C102" t="str">
        <f t="shared" si="16"/>
        <v>GRASSE-Villa St Hilaire</v>
      </c>
      <c r="D102" t="str">
        <f t="shared" si="17"/>
        <v>43.65711599999999</v>
      </c>
      <c r="E102" t="str">
        <f t="shared" si="18"/>
        <v>6.9183745</v>
      </c>
      <c r="F102" t="str">
        <f t="shared" si="19"/>
        <v>La Lanterne grassoise  [Texte imprimé]</v>
      </c>
      <c r="G102" t="str">
        <f t="shared" si="20"/>
        <v>La Lanterne grassoise</v>
      </c>
      <c r="H102" t="str">
        <f t="shared" si="21"/>
        <v>2131-1579</v>
      </c>
      <c r="I102" t="str">
        <f t="shared" si="22"/>
        <v>(25-fev-1928) - (26-oct-1929) [La bibliothèque possède aussi les numéros des 3 et 24 décembre 1927] [Lacunaire]</v>
      </c>
    </row>
    <row r="103" spans="1:9" x14ac:dyDescent="0.25">
      <c r="A103" t="str">
        <f>"04487703X"</f>
        <v>04487703X</v>
      </c>
      <c r="B103" t="str">
        <f t="shared" si="15"/>
        <v>060886101</v>
      </c>
      <c r="C103" t="str">
        <f t="shared" si="16"/>
        <v>NICE- BMVR Louis Nucéra</v>
      </c>
      <c r="D103" t="str">
        <f t="shared" si="17"/>
        <v>43.7015650</v>
      </c>
      <c r="E103" t="str">
        <f t="shared" si="18"/>
        <v>7.2786247</v>
      </c>
      <c r="F103" t="str">
        <f t="shared" si="19"/>
        <v>Katalog der Automobil-Revue  [Texte imprimé]</v>
      </c>
      <c r="G103" t="str">
        <f t="shared" si="20"/>
        <v>Katalog der Automobil-Revue</v>
      </c>
      <c r="H103" t="str">
        <f t="shared" si="21"/>
        <v>1422-9730</v>
      </c>
      <c r="I103" t="str">
        <f t="shared" si="22"/>
        <v>(1969)-.... [lac1974,1975,1990,1991,1995,2000]</v>
      </c>
    </row>
    <row r="104" spans="1:9" x14ac:dyDescent="0.25">
      <c r="A104" t="str">
        <f>"037383930"</f>
        <v>037383930</v>
      </c>
      <c r="B104" t="str">
        <f t="shared" si="15"/>
        <v>991385301</v>
      </c>
      <c r="C104" t="str">
        <f t="shared" si="16"/>
        <v>MONACO-Musée Océanographique</v>
      </c>
      <c r="D104" t="str">
        <f t="shared" si="17"/>
        <v>43.7310033</v>
      </c>
      <c r="E104" t="str">
        <f t="shared" si="18"/>
        <v>7.425491600000001</v>
      </c>
      <c r="F104" t="str">
        <f t="shared" si="19"/>
        <v>Polychaeta  [Texte imprimé]</v>
      </c>
      <c r="G104" t="str">
        <f t="shared" si="20"/>
        <v>Polychaeta</v>
      </c>
      <c r="H104" t="str">
        <f t="shared" si="21"/>
        <v>1043-1632</v>
      </c>
      <c r="I104" t="str">
        <f t="shared" si="22"/>
        <v>vol. 10 (1983)-....</v>
      </c>
    </row>
    <row r="105" spans="1:9" x14ac:dyDescent="0.25">
      <c r="A105" t="str">
        <f>"03863242X"</f>
        <v>03863242X</v>
      </c>
      <c r="B105" t="str">
        <f t="shared" si="15"/>
        <v>831376201</v>
      </c>
      <c r="C105" t="str">
        <f t="shared" si="16"/>
        <v>TOULON-BM</v>
      </c>
      <c r="D105" t="str">
        <f t="shared" si="17"/>
        <v>43.0823215</v>
      </c>
      <c r="E105" t="str">
        <f t="shared" si="18"/>
        <v>5.920052699999999</v>
      </c>
      <c r="F105" t="str">
        <f t="shared" si="19"/>
        <v>Note de conjoncture  [Texte imprimé]  / Chambre de commerce et d'industrie de Toulon et du Var</v>
      </c>
      <c r="G105" t="str">
        <f t="shared" si="20"/>
        <v>Note de conjoncture</v>
      </c>
      <c r="H105" t="str">
        <f t="shared" si="21"/>
        <v>1158-2995</v>
      </c>
      <c r="I105">
        <f t="shared" si="22"/>
        <v>-1972</v>
      </c>
    </row>
    <row r="106" spans="1:9" x14ac:dyDescent="0.25">
      <c r="A106" t="str">
        <f>"039989879"</f>
        <v>039989879</v>
      </c>
      <c r="B106" t="str">
        <f t="shared" si="15"/>
        <v>991385301</v>
      </c>
      <c r="C106" t="str">
        <f t="shared" si="16"/>
        <v>MONACO-Musée Océanographique</v>
      </c>
      <c r="D106" t="str">
        <f t="shared" si="17"/>
        <v>43.7310033</v>
      </c>
      <c r="E106" t="str">
        <f t="shared" si="18"/>
        <v>7.425491600000001</v>
      </c>
      <c r="F106" t="e">
        <f t="shared" si="19"/>
        <v>#VALUE!</v>
      </c>
      <c r="G106" t="str">
        <f t="shared" si="20"/>
        <v>U.S. WOCE technical report</v>
      </c>
      <c r="H106" t="str">
        <f t="shared" si="21"/>
        <v>0891-8406</v>
      </c>
      <c r="I106" t="str">
        <f t="shared" si="22"/>
        <v>no. 1 (1985)-....</v>
      </c>
    </row>
    <row r="107" spans="1:9" x14ac:dyDescent="0.25">
      <c r="A107" t="str">
        <f>"09848138X"</f>
        <v>09848138X</v>
      </c>
      <c r="B107" t="str">
        <f t="shared" si="15"/>
        <v>991385201</v>
      </c>
      <c r="C107" t="str">
        <f t="shared" si="16"/>
        <v>MONACO-Jardin exotique</v>
      </c>
      <c r="D107" t="str">
        <f t="shared" si="17"/>
        <v>43.7310908</v>
      </c>
      <c r="E107" t="str">
        <f t="shared" si="18"/>
        <v>7.410747499999999</v>
      </c>
      <c r="F107" t="str">
        <f t="shared" si="19"/>
        <v>Euphorbia world  [Texte imprimé]  : Journal of the international euphorbia society</v>
      </c>
      <c r="G107" t="str">
        <f t="shared" si="20"/>
        <v>Euphorbia world</v>
      </c>
      <c r="H107" t="str">
        <f t="shared" si="21"/>
        <v>1746-5397</v>
      </c>
      <c r="I107" t="str">
        <f t="shared" si="22"/>
        <v>vol. 1 no. 1 (2005)-....</v>
      </c>
    </row>
    <row r="108" spans="1:9" x14ac:dyDescent="0.25">
      <c r="A108" t="str">
        <f>"037127675"</f>
        <v>037127675</v>
      </c>
      <c r="B108" t="str">
        <f t="shared" si="15"/>
        <v>991386201</v>
      </c>
      <c r="C108" t="str">
        <f t="shared" si="16"/>
        <v>MONACO-Bibl.Louis Notari</v>
      </c>
      <c r="D108" t="str">
        <f t="shared" si="17"/>
        <v>43.7351319</v>
      </c>
      <c r="E108" t="str">
        <f t="shared" si="18"/>
        <v>7.420563100000001</v>
      </c>
      <c r="F108" t="str">
        <f t="shared" si="19"/>
        <v>Bulletin religieux du diocese de monaco  [Texte imprimé]</v>
      </c>
      <c r="G108" t="str">
        <f t="shared" si="20"/>
        <v>Bulletin religieux du diocese de monaco</v>
      </c>
      <c r="H108" t="e">
        <f t="shared" si="21"/>
        <v>#VALUE!</v>
      </c>
      <c r="I108" t="str">
        <f t="shared" si="22"/>
        <v>(1907) - (1951) [lac]</v>
      </c>
    </row>
    <row r="109" spans="1:9" x14ac:dyDescent="0.25">
      <c r="A109" t="str">
        <f>"039078183"</f>
        <v>039078183</v>
      </c>
      <c r="B109" t="str">
        <f t="shared" si="15"/>
        <v>831375101</v>
      </c>
      <c r="C109" t="str">
        <f t="shared" si="16"/>
        <v>TOULON-Serv.Historique Marine</v>
      </c>
      <c r="D109" t="str">
        <f t="shared" si="17"/>
        <v>43.124228</v>
      </c>
      <c r="E109" t="str">
        <f t="shared" si="18"/>
        <v>5.928</v>
      </c>
      <c r="F109" t="str">
        <f t="shared" si="19"/>
        <v>The Navy list  [Texte imprimé]</v>
      </c>
      <c r="G109" t="str">
        <f t="shared" si="20"/>
        <v>The Navy list</v>
      </c>
      <c r="H109" t="str">
        <f t="shared" si="21"/>
        <v>0141-6081</v>
      </c>
      <c r="I109" t="str">
        <f t="shared" si="22"/>
        <v>(1837) - (1956)</v>
      </c>
    </row>
    <row r="110" spans="1:9" x14ac:dyDescent="0.25">
      <c r="A110" t="str">
        <f>"044691580"</f>
        <v>044691580</v>
      </c>
      <c r="B110" t="str">
        <f t="shared" si="15"/>
        <v>991385201</v>
      </c>
      <c r="C110" t="str">
        <f t="shared" si="16"/>
        <v>MONACO-Jardin exotique</v>
      </c>
      <c r="D110" t="str">
        <f t="shared" si="17"/>
        <v>43.7310908</v>
      </c>
      <c r="E110" t="str">
        <f t="shared" si="18"/>
        <v>7.410747499999999</v>
      </c>
      <c r="F110" t="str">
        <f t="shared" si="19"/>
        <v>The Haworthia society newsletter  [Texte imprimé]</v>
      </c>
      <c r="G110" t="str">
        <f t="shared" si="20"/>
        <v>The Haworthia society newsletter</v>
      </c>
      <c r="H110" t="e">
        <f t="shared" si="21"/>
        <v>#VALUE!</v>
      </c>
      <c r="I110" t="str">
        <f t="shared" si="22"/>
        <v>vol. 1 no. 1 (1986) - vol. 3  no. 2  (1989)</v>
      </c>
    </row>
    <row r="111" spans="1:9" x14ac:dyDescent="0.25">
      <c r="A111" t="str">
        <f>"156131943"</f>
        <v>156131943</v>
      </c>
      <c r="B111" t="str">
        <f t="shared" si="15"/>
        <v>060885105</v>
      </c>
      <c r="C111" t="str">
        <f t="shared" si="16"/>
        <v>NICE-Bibl.Chevalier de Cessole</v>
      </c>
      <c r="D111" t="str">
        <f t="shared" si="17"/>
        <v>43.6956246</v>
      </c>
      <c r="E111" t="str">
        <f t="shared" si="18"/>
        <v>7.259380900000001</v>
      </c>
      <c r="F111" t="str">
        <f t="shared" si="19"/>
        <v>Nice-revue  [Texte imprimé]</v>
      </c>
      <c r="G111" t="str">
        <f t="shared" si="20"/>
        <v>Nice-revue</v>
      </c>
      <c r="H111" t="str">
        <f t="shared" si="21"/>
        <v>2132-8447</v>
      </c>
      <c r="I111" t="str">
        <f t="shared" si="22"/>
        <v>no. 8 (1-jan-1933) - no. 31  (1-jan-1934)</v>
      </c>
    </row>
    <row r="112" spans="1:9" x14ac:dyDescent="0.25">
      <c r="A112" t="str">
        <f>"037950479"</f>
        <v>037950479</v>
      </c>
      <c r="B112" t="str">
        <f t="shared" si="15"/>
        <v>991386201</v>
      </c>
      <c r="C112" t="str">
        <f t="shared" si="16"/>
        <v>MONACO-Bibl.Louis Notari</v>
      </c>
      <c r="D112" t="str">
        <f t="shared" si="17"/>
        <v>43.7351319</v>
      </c>
      <c r="E112" t="str">
        <f t="shared" si="18"/>
        <v>7.420563100000001</v>
      </c>
      <c r="F112" t="str">
        <f t="shared" si="19"/>
        <v>Revue ludographique de Monte-Carlo  [Texte imprimé]</v>
      </c>
      <c r="G112" t="str">
        <f t="shared" si="20"/>
        <v>Revue ludographique de Monte-Carlo</v>
      </c>
      <c r="H112" t="str">
        <f t="shared" si="21"/>
        <v>1011-1247</v>
      </c>
      <c r="I112" t="str">
        <f t="shared" si="22"/>
        <v>no. 1 (aou-1971) - no. 30  (jan-1975)</v>
      </c>
    </row>
    <row r="113" spans="1:9" x14ac:dyDescent="0.25">
      <c r="A113" t="str">
        <f>"039034291"</f>
        <v>039034291</v>
      </c>
      <c r="B113" t="str">
        <f t="shared" si="15"/>
        <v>831376201</v>
      </c>
      <c r="C113" t="str">
        <f t="shared" si="16"/>
        <v>TOULON-BM</v>
      </c>
      <c r="D113" t="str">
        <f t="shared" si="17"/>
        <v>43.0823215</v>
      </c>
      <c r="E113" t="str">
        <f t="shared" si="18"/>
        <v>5.920052699999999</v>
      </c>
      <c r="F113" t="str">
        <f t="shared" si="19"/>
        <v>La Gazette toulonnaise politique &amp; littéraire  [Texte imprimé]</v>
      </c>
      <c r="G113" t="str">
        <f t="shared" si="20"/>
        <v>La Gazette toulonnaise politique &amp; littéraire</v>
      </c>
      <c r="H113" t="str">
        <f t="shared" si="21"/>
        <v>2017-0025</v>
      </c>
      <c r="I113" t="str">
        <f t="shared" si="22"/>
        <v>no. 4 (1880) - no. 5  (1880)</v>
      </c>
    </row>
    <row r="114" spans="1:9" x14ac:dyDescent="0.25">
      <c r="A114" t="str">
        <f>"040133613"</f>
        <v>040133613</v>
      </c>
      <c r="B114" t="str">
        <f t="shared" si="15"/>
        <v>991386201</v>
      </c>
      <c r="C114" t="str">
        <f t="shared" si="16"/>
        <v>MONACO-Bibl.Louis Notari</v>
      </c>
      <c r="D114" t="str">
        <f t="shared" si="17"/>
        <v>43.7351319</v>
      </c>
      <c r="E114" t="str">
        <f t="shared" si="18"/>
        <v>7.420563100000001</v>
      </c>
      <c r="F114" t="str">
        <f t="shared" si="19"/>
        <v>Nouvelles de la Fédération patronale monégasque  [Texte imprimé]</v>
      </c>
      <c r="G114" t="str">
        <f t="shared" si="20"/>
        <v>Nouvelles de la Fédération patronale monégasque</v>
      </c>
      <c r="H114" t="str">
        <f t="shared" si="21"/>
        <v>1010-8807</v>
      </c>
      <c r="I114" t="str">
        <f t="shared" si="22"/>
        <v>no. 1 (1973)-....</v>
      </c>
    </row>
    <row r="115" spans="1:9" x14ac:dyDescent="0.25">
      <c r="A115" t="str">
        <f>"109275454"</f>
        <v>109275454</v>
      </c>
      <c r="B115" t="str">
        <f t="shared" si="15"/>
        <v>060296201</v>
      </c>
      <c r="C115" t="str">
        <f t="shared" si="16"/>
        <v>CANNES-Médiathèque municipal</v>
      </c>
      <c r="D115" t="str">
        <f t="shared" si="17"/>
        <v>43.5508621</v>
      </c>
      <c r="E115" t="str">
        <f t="shared" si="18"/>
        <v>7.0033444</v>
      </c>
      <c r="F115" t="str">
        <f t="shared" si="19"/>
        <v>Guide-annuaire de Cannes et de l'arrondissement de Grasse  [Texte imprimé]</v>
      </c>
      <c r="G115" t="str">
        <f t="shared" si="20"/>
        <v>Guide-annuaire de Cannes et de l'arrondissement de Grasse</v>
      </c>
      <c r="H115" t="str">
        <f t="shared" si="21"/>
        <v>1995-2376</v>
      </c>
      <c r="I115" t="str">
        <f t="shared" si="22"/>
        <v>(1893) - (1911)</v>
      </c>
    </row>
    <row r="116" spans="1:9" x14ac:dyDescent="0.25">
      <c r="A116" t="str">
        <f>"109275837"</f>
        <v>109275837</v>
      </c>
      <c r="B116" t="str">
        <f t="shared" si="15"/>
        <v>060296201</v>
      </c>
      <c r="C116" t="str">
        <f t="shared" si="16"/>
        <v>CANNES-Médiathèque municipal</v>
      </c>
      <c r="D116" t="str">
        <f t="shared" si="17"/>
        <v>43.5508621</v>
      </c>
      <c r="E116" t="str">
        <f t="shared" si="18"/>
        <v>7.0033444</v>
      </c>
      <c r="F116" t="str">
        <f t="shared" si="19"/>
        <v>Le Jeu de dames  [Texte imprimé]</v>
      </c>
      <c r="G116" t="str">
        <f t="shared" si="20"/>
        <v>Le Jeu de dames</v>
      </c>
      <c r="H116" t="str">
        <f t="shared" si="21"/>
        <v>2023-1881</v>
      </c>
      <c r="I116" t="str">
        <f t="shared" si="22"/>
        <v>(1920) - (1931)</v>
      </c>
    </row>
    <row r="117" spans="1:9" x14ac:dyDescent="0.25">
      <c r="A117" t="str">
        <f>"116911697"</f>
        <v>116911697</v>
      </c>
      <c r="B117" t="str">
        <f t="shared" si="15"/>
        <v>060882303</v>
      </c>
      <c r="C117" t="str">
        <f t="shared" si="16"/>
        <v>NICE-Museum Hist.Naturelle</v>
      </c>
      <c r="D117" t="str">
        <f t="shared" si="17"/>
        <v>43.7017477</v>
      </c>
      <c r="E117" t="str">
        <f t="shared" si="18"/>
        <v>7.279483399999999</v>
      </c>
      <c r="F117" t="e">
        <f t="shared" si="19"/>
        <v>#VALUE!</v>
      </c>
      <c r="G117" t="str">
        <f t="shared" si="20"/>
        <v>Folia Heyrovskyana. Serie A</v>
      </c>
      <c r="H117" t="str">
        <f t="shared" si="21"/>
        <v>1801-7142</v>
      </c>
      <c r="I117" t="str">
        <f t="shared" si="22"/>
        <v>vol. 13 no. 1 (2005)-....</v>
      </c>
    </row>
    <row r="118" spans="1:9" x14ac:dyDescent="0.25">
      <c r="A118" t="str">
        <f>"055389856"</f>
        <v>055389856</v>
      </c>
      <c r="B118" t="str">
        <f t="shared" si="15"/>
        <v>060885101</v>
      </c>
      <c r="C118" t="str">
        <f t="shared" si="16"/>
        <v>NICE-Archives Municipales</v>
      </c>
      <c r="D118" t="str">
        <f t="shared" si="17"/>
        <v>43.68774699999999</v>
      </c>
      <c r="E118" t="str">
        <f t="shared" si="18"/>
        <v>7.235200000000001</v>
      </c>
      <c r="F118" t="str">
        <f t="shared" si="19"/>
        <v>L'Appel du vieux Nice  [Texte imprimé]  : échos de nos ruelles et de nos clochers</v>
      </c>
      <c r="G118" t="str">
        <f t="shared" si="20"/>
        <v>L'Appel du vieux Nice</v>
      </c>
      <c r="H118" t="e">
        <f t="shared" si="21"/>
        <v>#VALUE!</v>
      </c>
      <c r="I118" t="str">
        <f t="shared" si="22"/>
        <v>no. 1 (1975) - no. 2  (1976)</v>
      </c>
    </row>
    <row r="119" spans="1:9" x14ac:dyDescent="0.25">
      <c r="A119" t="str">
        <f>"124278337"</f>
        <v>124278337</v>
      </c>
      <c r="B119" t="str">
        <f t="shared" si="15"/>
        <v>060885105</v>
      </c>
      <c r="C119" t="str">
        <f t="shared" si="16"/>
        <v>NICE-Bibl.Chevalier de Cessole</v>
      </c>
      <c r="D119" t="str">
        <f t="shared" si="17"/>
        <v>43.6956246</v>
      </c>
      <c r="E119" t="str">
        <f t="shared" si="18"/>
        <v>7.259380900000001</v>
      </c>
      <c r="F119" t="str">
        <f t="shared" si="19"/>
        <v>Le Ciapecan  [Texte imprimé]</v>
      </c>
      <c r="G119" t="str">
        <f t="shared" si="20"/>
        <v>Le Ciapecan</v>
      </c>
      <c r="H119" t="str">
        <f t="shared" si="21"/>
        <v>1963-8515</v>
      </c>
      <c r="I119" t="str">
        <f t="shared" si="22"/>
        <v>(29-aou-1886)</v>
      </c>
    </row>
    <row r="120" spans="1:9" x14ac:dyDescent="0.25">
      <c r="A120" t="str">
        <f>"037206060"</f>
        <v>037206060</v>
      </c>
      <c r="B120" t="str">
        <f t="shared" si="15"/>
        <v>991385201</v>
      </c>
      <c r="C120" t="str">
        <f t="shared" si="16"/>
        <v>MONACO-Jardin exotique</v>
      </c>
      <c r="D120" t="str">
        <f t="shared" si="17"/>
        <v>43.7310908</v>
      </c>
      <c r="E120" t="str">
        <f t="shared" si="18"/>
        <v>7.410747499999999</v>
      </c>
      <c r="F120" t="str">
        <f t="shared" si="19"/>
        <v>Mitteilungen der Gesellschaft Schweizer Kakteen-Freunde  [Texte imprimé]</v>
      </c>
      <c r="G120" t="str">
        <f t="shared" si="20"/>
        <v>Mitteilungen der Gesellschaft Schweizer Kakteen-Freunde</v>
      </c>
      <c r="H120" t="str">
        <f t="shared" si="21"/>
        <v>0259-6881</v>
      </c>
      <c r="I120" t="str">
        <f t="shared" si="22"/>
        <v>no. 1 (1942) - no. 5  (1944)</v>
      </c>
    </row>
    <row r="121" spans="1:9" x14ac:dyDescent="0.25">
      <c r="A121" t="str">
        <f>"037839268"</f>
        <v>037839268</v>
      </c>
      <c r="B121" t="str">
        <f t="shared" si="15"/>
        <v>991385201</v>
      </c>
      <c r="C121" t="str">
        <f t="shared" si="16"/>
        <v>MONACO-Jardin exotique</v>
      </c>
      <c r="D121" t="str">
        <f t="shared" si="17"/>
        <v>43.7310908</v>
      </c>
      <c r="E121" t="str">
        <f t="shared" si="18"/>
        <v>7.410747499999999</v>
      </c>
      <c r="F121" t="str">
        <f t="shared" si="19"/>
        <v>Kaktus  [Texte imprimé]</v>
      </c>
      <c r="G121" t="str">
        <f t="shared" si="20"/>
        <v>Kaktus</v>
      </c>
      <c r="H121" t="str">
        <f t="shared" si="21"/>
        <v>0900-0453</v>
      </c>
      <c r="I121" t="str">
        <f t="shared" si="22"/>
        <v>vol. 9 no. 1 (1974) - no. 4  (1974) ; vol. 12 no. 1 (1977) - vol. 15  no. 4  (1980) ; vol. 18 no. 1 (1983) - vol. 31  no. 4  (1996)</v>
      </c>
    </row>
    <row r="122" spans="1:9" x14ac:dyDescent="0.25">
      <c r="A122" t="str">
        <f>"040175375"</f>
        <v>040175375</v>
      </c>
      <c r="B122" t="str">
        <f t="shared" si="15"/>
        <v>991386201</v>
      </c>
      <c r="C122" t="str">
        <f t="shared" si="16"/>
        <v>MONACO-Bibl.Louis Notari</v>
      </c>
      <c r="D122" t="str">
        <f t="shared" si="17"/>
        <v>43.7351319</v>
      </c>
      <c r="E122" t="str">
        <f t="shared" si="18"/>
        <v>7.420563100000001</v>
      </c>
      <c r="F122" t="str">
        <f t="shared" si="19"/>
        <v>Bulletin  [Texte imprimé]  / APMES</v>
      </c>
      <c r="G122" t="str">
        <f t="shared" si="20"/>
        <v>Bulletin</v>
      </c>
      <c r="H122" t="str">
        <f t="shared" si="21"/>
        <v>1018-9866</v>
      </c>
      <c r="I122" t="str">
        <f t="shared" si="22"/>
        <v>no. 1 (1990) - (2000) [lac.25%]</v>
      </c>
    </row>
    <row r="123" spans="1:9" x14ac:dyDescent="0.25">
      <c r="A123" t="str">
        <f>"113830378"</f>
        <v>113830378</v>
      </c>
      <c r="B123" t="str">
        <f t="shared" si="15"/>
        <v>831376201</v>
      </c>
      <c r="C123" t="str">
        <f t="shared" si="16"/>
        <v>TOULON-BM</v>
      </c>
      <c r="D123" t="str">
        <f t="shared" si="17"/>
        <v>43.0823215</v>
      </c>
      <c r="E123" t="str">
        <f t="shared" si="18"/>
        <v>5.920052699999999</v>
      </c>
      <c r="F123" t="str">
        <f t="shared" si="19"/>
        <v>PSM3  [Texte imprimé]</v>
      </c>
      <c r="G123" t="str">
        <f t="shared" si="20"/>
        <v>PSM3</v>
      </c>
      <c r="H123" t="str">
        <f t="shared" si="21"/>
        <v>1956-7324</v>
      </c>
      <c r="I123" t="str">
        <f t="shared" si="22"/>
        <v>no. 2 (avr-2007)-....</v>
      </c>
    </row>
    <row r="124" spans="1:9" x14ac:dyDescent="0.25">
      <c r="A124" t="str">
        <f>"036309397"</f>
        <v>036309397</v>
      </c>
      <c r="B124" t="str">
        <f t="shared" si="15"/>
        <v>991385301</v>
      </c>
      <c r="C124" t="str">
        <f t="shared" si="16"/>
        <v>MONACO-Musée Océanographique</v>
      </c>
      <c r="D124" t="str">
        <f t="shared" si="17"/>
        <v>43.7310033</v>
      </c>
      <c r="E124" t="str">
        <f t="shared" si="18"/>
        <v>7.425491600000001</v>
      </c>
      <c r="F124" t="str">
        <f t="shared" si="19"/>
        <v>Karger-Gazette  [Texte imprimé]</v>
      </c>
      <c r="G124" t="str">
        <f t="shared" si="20"/>
        <v>Karger-Gazette</v>
      </c>
      <c r="H124" t="str">
        <f t="shared" si="21"/>
        <v>0451-4475</v>
      </c>
      <c r="I124" t="str">
        <f t="shared" si="22"/>
        <v>(1964) - (1982)</v>
      </c>
    </row>
    <row r="125" spans="1:9" x14ac:dyDescent="0.25">
      <c r="A125" t="str">
        <f>"036491667"</f>
        <v>036491667</v>
      </c>
      <c r="B125" t="str">
        <f t="shared" si="15"/>
        <v>991385301</v>
      </c>
      <c r="C125" t="str">
        <f t="shared" si="16"/>
        <v>MONACO-Musée Océanographique</v>
      </c>
      <c r="D125" t="str">
        <f t="shared" si="17"/>
        <v>43.7310033</v>
      </c>
      <c r="E125" t="str">
        <f t="shared" si="18"/>
        <v>7.425491600000001</v>
      </c>
      <c r="F125" t="str">
        <f t="shared" si="19"/>
        <v>Zoological station, Tvärmine. [Contributions]</v>
      </c>
      <c r="G125" t="str">
        <f t="shared" si="20"/>
        <v>Zoological station, Tvärmine. [Contributions]</v>
      </c>
      <c r="H125" t="e">
        <f t="shared" si="21"/>
        <v>#VALUE!</v>
      </c>
      <c r="I125" t="e">
        <f t="shared" si="22"/>
        <v>#VALUE!</v>
      </c>
    </row>
    <row r="126" spans="1:9" x14ac:dyDescent="0.25">
      <c r="A126" t="str">
        <f>"039577597"</f>
        <v>039577597</v>
      </c>
      <c r="B126" t="str">
        <f t="shared" si="15"/>
        <v>991385301</v>
      </c>
      <c r="C126" t="str">
        <f t="shared" si="16"/>
        <v>MONACO-Musée Océanographique</v>
      </c>
      <c r="D126" t="str">
        <f t="shared" si="17"/>
        <v>43.7310033</v>
      </c>
      <c r="E126" t="str">
        <f t="shared" si="18"/>
        <v>7.425491600000001</v>
      </c>
      <c r="F126" t="str">
        <f t="shared" si="19"/>
        <v>Gyobyō kenkyū  [Texte imprimé]</v>
      </c>
      <c r="G126" t="str">
        <f t="shared" si="20"/>
        <v>Gyobyō kenkyū</v>
      </c>
      <c r="H126" t="str">
        <f t="shared" si="21"/>
        <v>0388-788X</v>
      </c>
      <c r="I126" t="str">
        <f t="shared" si="22"/>
        <v>vol. 18 no. 4 (1984)-....</v>
      </c>
    </row>
    <row r="127" spans="1:9" x14ac:dyDescent="0.25">
      <c r="A127" t="str">
        <f>"040139905"</f>
        <v>040139905</v>
      </c>
      <c r="B127" t="str">
        <f t="shared" si="15"/>
        <v>991385301</v>
      </c>
      <c r="C127" t="str">
        <f t="shared" si="16"/>
        <v>MONACO-Musée Océanographique</v>
      </c>
      <c r="D127" t="str">
        <f t="shared" si="17"/>
        <v>43.7310033</v>
      </c>
      <c r="E127" t="str">
        <f t="shared" si="18"/>
        <v>7.425491600000001</v>
      </c>
      <c r="F127" t="str">
        <f t="shared" si="19"/>
        <v>Bulletin de liaison  [Texte imprimé]  / Association européenne des sciences et techniques de la mer</v>
      </c>
      <c r="G127" t="str">
        <f t="shared" si="20"/>
        <v>Bulletin de liaison</v>
      </c>
      <c r="H127" t="str">
        <f t="shared" si="21"/>
        <v>1012-1404</v>
      </c>
      <c r="I127" t="str">
        <f t="shared" si="22"/>
        <v>no. 2 (1987)-....</v>
      </c>
    </row>
    <row r="128" spans="1:9" x14ac:dyDescent="0.25">
      <c r="A128" t="str">
        <f>"050937448"</f>
        <v>050937448</v>
      </c>
      <c r="B128" t="str">
        <f t="shared" si="15"/>
        <v>831376201</v>
      </c>
      <c r="C128" t="str">
        <f t="shared" si="16"/>
        <v>TOULON-BM</v>
      </c>
      <c r="D128" t="str">
        <f t="shared" si="17"/>
        <v>43.0823215</v>
      </c>
      <c r="E128" t="str">
        <f t="shared" si="18"/>
        <v>5.920052699999999</v>
      </c>
      <c r="F128" t="str">
        <f t="shared" si="19"/>
        <v>Le Programme  [Texte imprimé]  : Journal des théâtres de Versailles</v>
      </c>
      <c r="G128" t="str">
        <f t="shared" si="20"/>
        <v>Le Programme</v>
      </c>
      <c r="H128" t="str">
        <f t="shared" si="21"/>
        <v>2018-5502</v>
      </c>
      <c r="I128" t="str">
        <f t="shared" si="22"/>
        <v>no. 12 (1874) ; no. 15 (1874)</v>
      </c>
    </row>
    <row r="129" spans="1:9" x14ac:dyDescent="0.25">
      <c r="A129" t="str">
        <f>"114207135"</f>
        <v>114207135</v>
      </c>
      <c r="B129" t="str">
        <f t="shared" si="15"/>
        <v>060845301</v>
      </c>
      <c r="C129" t="str">
        <f t="shared" si="16"/>
        <v>MOUANS SARTOUX-CRD Occitane</v>
      </c>
      <c r="D129" t="str">
        <f t="shared" si="17"/>
        <v>43.6188186</v>
      </c>
      <c r="E129" t="str">
        <f t="shared" si="18"/>
        <v>6.972011600000001</v>
      </c>
      <c r="F129" t="str">
        <f t="shared" si="19"/>
        <v>L'Action méridionale  [Texte imprimé]  : revue fédérale de littérature, d'art, de sociologie et d'économie politique</v>
      </c>
      <c r="G129" t="str">
        <f t="shared" si="20"/>
        <v>L'Action méridionale</v>
      </c>
      <c r="H129" t="str">
        <f t="shared" si="21"/>
        <v>1958-4555</v>
      </c>
      <c r="I129" t="str">
        <f t="shared" si="22"/>
        <v>no. 12 (1905)</v>
      </c>
    </row>
    <row r="130" spans="1:9" x14ac:dyDescent="0.25">
      <c r="A130" t="str">
        <f>"14066050X"</f>
        <v>14066050X</v>
      </c>
      <c r="B130" t="str">
        <f t="shared" si="15"/>
        <v>060885105</v>
      </c>
      <c r="C130" t="str">
        <f t="shared" si="16"/>
        <v>NICE-Bibl.Chevalier de Cessole</v>
      </c>
      <c r="D130" t="str">
        <f t="shared" si="17"/>
        <v>43.6956246</v>
      </c>
      <c r="E130" t="str">
        <f t="shared" si="18"/>
        <v>7.259380900000001</v>
      </c>
      <c r="F130" t="str">
        <f t="shared" si="19"/>
        <v>Le Réveil des Alpes-Maritimes  [Texte imprimé]</v>
      </c>
      <c r="G130" t="str">
        <f t="shared" si="20"/>
        <v>Le Réveil des Alpes-Maritimes</v>
      </c>
      <c r="H130" t="str">
        <f t="shared" si="21"/>
        <v>2136-9143</v>
      </c>
      <c r="I130" t="str">
        <f t="shared" si="22"/>
        <v>no. 128 (13-nov-1870) - no. 275  (10-avr-1871) [lacunes]</v>
      </c>
    </row>
    <row r="131" spans="1:9" x14ac:dyDescent="0.25">
      <c r="A131" t="str">
        <f>"036866598"</f>
        <v>036866598</v>
      </c>
      <c r="B131" t="str">
        <f t="shared" ref="B131:B194" si="23">TEXT(_xlfn.FILTERXML(_xlfn.WEBSERVICE("http://www.sudoc.fr/services/multiwhere/"&amp;A131),"//query/result/library/rcr"),"000000000")</f>
        <v>060885101</v>
      </c>
      <c r="C131" t="str">
        <f t="shared" si="16"/>
        <v>NICE-Archives Municipales</v>
      </c>
      <c r="D131" t="str">
        <f t="shared" si="17"/>
        <v>43.68774699999999</v>
      </c>
      <c r="E131" t="str">
        <f t="shared" si="18"/>
        <v>7.235200000000001</v>
      </c>
      <c r="F131" t="str">
        <f t="shared" si="19"/>
        <v>L'Electeur  [Texte imprimé]</v>
      </c>
      <c r="G131" t="str">
        <f t="shared" si="20"/>
        <v>L'Electeur</v>
      </c>
      <c r="H131" t="str">
        <f t="shared" si="21"/>
        <v>1249-769X</v>
      </c>
      <c r="I131" t="str">
        <f t="shared" si="22"/>
        <v>no. 1 (1-mar-1932)</v>
      </c>
    </row>
    <row r="132" spans="1:9" x14ac:dyDescent="0.25">
      <c r="A132" t="str">
        <f>"04016229X"</f>
        <v>04016229X</v>
      </c>
      <c r="B132" t="str">
        <f t="shared" si="23"/>
        <v>991385201</v>
      </c>
      <c r="C132" t="str">
        <f t="shared" si="16"/>
        <v>MONACO-Jardin exotique</v>
      </c>
      <c r="D132" t="str">
        <f t="shared" si="17"/>
        <v>43.7310908</v>
      </c>
      <c r="E132" t="str">
        <f t="shared" si="18"/>
        <v>7.410747499999999</v>
      </c>
      <c r="F132" t="str">
        <f t="shared" si="19"/>
        <v>The Ingens bulletin  [Texte imprimé]</v>
      </c>
      <c r="G132" t="str">
        <f t="shared" si="20"/>
        <v>The Ingens bulletin</v>
      </c>
      <c r="H132" t="str">
        <f t="shared" si="21"/>
        <v>1016-524X</v>
      </c>
      <c r="I132" t="str">
        <f t="shared" si="22"/>
        <v>no. 1 (1989) - no. 10  (1994) ; no. 12 (1995)-....</v>
      </c>
    </row>
    <row r="133" spans="1:9" x14ac:dyDescent="0.25">
      <c r="A133" t="str">
        <f>"050921673"</f>
        <v>050921673</v>
      </c>
      <c r="B133" t="str">
        <f t="shared" si="23"/>
        <v>831375101</v>
      </c>
      <c r="C133" t="str">
        <f t="shared" si="16"/>
        <v>TOULON-Serv.Historique Marine</v>
      </c>
      <c r="D133" t="str">
        <f t="shared" si="17"/>
        <v>43.124228</v>
      </c>
      <c r="E133" t="str">
        <f t="shared" si="18"/>
        <v>5.928</v>
      </c>
      <c r="F133" t="str">
        <f t="shared" si="19"/>
        <v>Bulletin trimestriel d'information  [Texte imprimé]  / CIRAM Toulon</v>
      </c>
      <c r="G133" t="str">
        <f t="shared" si="20"/>
        <v>Bulletin trimestriel d'information</v>
      </c>
      <c r="H133" t="str">
        <f t="shared" si="21"/>
        <v>1624-5571</v>
      </c>
      <c r="I133" t="str">
        <f t="shared" si="22"/>
        <v>(1981) - (2006) [(1981/1 à 4) à (1989/1 à 4) ; 1990/1 à 2 ; 1993/2 à 3 ; 2004/2 ; 2005/1 ; 3 à 4 ; 2006/1 ; 3 à 4.] [Lacunes : 1990/3 à 4 ; 1991 à 1992 ; 1993/1 ; 4 ; 1994 à 2003 ; 2004/1 ; 3 à 4 ; 2005/2 ; 2006/2.]</v>
      </c>
    </row>
    <row r="134" spans="1:9" x14ac:dyDescent="0.25">
      <c r="A134" t="str">
        <f>"037202472"</f>
        <v>037202472</v>
      </c>
      <c r="B134" t="str">
        <f t="shared" si="23"/>
        <v>060042306</v>
      </c>
      <c r="C134" t="str">
        <f t="shared" si="16"/>
        <v>ANTIBES-INRA-UMR R.O.S.E.</v>
      </c>
      <c r="D134" t="str">
        <f t="shared" si="17"/>
        <v>43.5661292</v>
      </c>
      <c r="E134" t="str">
        <f t="shared" si="18"/>
        <v>7.1249398</v>
      </c>
      <c r="F134" t="str">
        <f t="shared" si="19"/>
        <v>Nematology news  [Texte imprimé]</v>
      </c>
      <c r="G134" t="str">
        <f t="shared" si="20"/>
        <v>Nematology news</v>
      </c>
      <c r="H134" t="str">
        <f t="shared" si="21"/>
        <v>0258-6797</v>
      </c>
      <c r="I134" t="str">
        <f t="shared" si="22"/>
        <v>(1962) - (1988)</v>
      </c>
    </row>
    <row r="135" spans="1:9" x14ac:dyDescent="0.25">
      <c r="A135" t="str">
        <f>"038989239"</f>
        <v>038989239</v>
      </c>
      <c r="B135" t="str">
        <f t="shared" si="23"/>
        <v>991386201</v>
      </c>
      <c r="C135" t="str">
        <f t="shared" si="16"/>
        <v>MONACO-Bibl.Louis Notari</v>
      </c>
      <c r="D135" t="str">
        <f t="shared" si="17"/>
        <v>43.7351319</v>
      </c>
      <c r="E135" t="str">
        <f t="shared" si="18"/>
        <v>7.420563100000001</v>
      </c>
      <c r="F135" t="str">
        <f t="shared" si="19"/>
        <v>Le Lumignon de Beausoleil  [Texte imprimé]</v>
      </c>
      <c r="G135" t="str">
        <f t="shared" si="20"/>
        <v>Le Lumignon de Beausoleil</v>
      </c>
      <c r="H135" t="str">
        <f t="shared" si="21"/>
        <v>2017-4667</v>
      </c>
      <c r="I135" t="str">
        <f t="shared" si="22"/>
        <v>vol. 1 no. 1 (1928) - vol. 3  no. 31  (1930)</v>
      </c>
    </row>
    <row r="136" spans="1:9" x14ac:dyDescent="0.25">
      <c r="A136" t="str">
        <f>"036265004"</f>
        <v>036265004</v>
      </c>
      <c r="B136" t="str">
        <f t="shared" si="23"/>
        <v>991385301</v>
      </c>
      <c r="C136" t="str">
        <f t="shared" si="16"/>
        <v>MONACO-Musée Océanographique</v>
      </c>
      <c r="D136" t="str">
        <f t="shared" si="17"/>
        <v>43.7310033</v>
      </c>
      <c r="E136" t="str">
        <f t="shared" si="18"/>
        <v>7.425491600000001</v>
      </c>
      <c r="F136" t="str">
        <f t="shared" si="19"/>
        <v>Froskmannatíðindi  [Texte imprimé]</v>
      </c>
      <c r="G136" t="str">
        <f t="shared" si="20"/>
        <v>Froskmannatíðindi</v>
      </c>
      <c r="H136" t="e">
        <f t="shared" si="21"/>
        <v>#VALUE!</v>
      </c>
      <c r="I136" t="str">
        <f t="shared" si="22"/>
        <v>(1964) - (1973)</v>
      </c>
    </row>
    <row r="137" spans="1:9" x14ac:dyDescent="0.25">
      <c r="A137" t="str">
        <f>"040304159"</f>
        <v>040304159</v>
      </c>
      <c r="B137" t="str">
        <f t="shared" si="23"/>
        <v>991385301</v>
      </c>
      <c r="C137" t="str">
        <f t="shared" si="16"/>
        <v>MONACO-Musée Océanographique</v>
      </c>
      <c r="D137" t="str">
        <f t="shared" si="17"/>
        <v>43.7310033</v>
      </c>
      <c r="E137" t="str">
        <f t="shared" si="18"/>
        <v>7.425491600000001</v>
      </c>
      <c r="F137" t="str">
        <f t="shared" si="19"/>
        <v>Coast &amp; sea  [Texte imprimé]</v>
      </c>
      <c r="G137" t="str">
        <f t="shared" si="20"/>
        <v>Coast &amp; sea</v>
      </c>
      <c r="H137" t="str">
        <f t="shared" si="21"/>
        <v>1068-3364</v>
      </c>
      <c r="I137" t="str">
        <f t="shared" si="22"/>
        <v>vol. 1 no. 1 (1992)-....</v>
      </c>
    </row>
    <row r="138" spans="1:9" x14ac:dyDescent="0.25">
      <c r="A138" t="str">
        <f>"039051684"</f>
        <v>039051684</v>
      </c>
      <c r="B138" t="str">
        <f t="shared" si="23"/>
        <v>831376201</v>
      </c>
      <c r="C138" t="str">
        <f t="shared" si="16"/>
        <v>TOULON-BM</v>
      </c>
      <c r="D138" t="str">
        <f t="shared" si="17"/>
        <v>43.0823215</v>
      </c>
      <c r="E138" t="str">
        <f t="shared" si="18"/>
        <v>5.920052699999999</v>
      </c>
      <c r="F138" t="str">
        <f t="shared" si="19"/>
        <v>Toulon Journal  [Texte imprimé]</v>
      </c>
      <c r="G138" t="str">
        <f t="shared" si="20"/>
        <v>Toulon Journal</v>
      </c>
      <c r="H138" t="str">
        <f t="shared" si="21"/>
        <v>2018-3518</v>
      </c>
      <c r="I138" t="str">
        <f t="shared" si="22"/>
        <v>no. 101 (1914) - no. 106  (1914)</v>
      </c>
    </row>
    <row r="139" spans="1:9" x14ac:dyDescent="0.25">
      <c r="A139" t="str">
        <f>"03999323X"</f>
        <v>03999323X</v>
      </c>
      <c r="B139" t="str">
        <f t="shared" si="23"/>
        <v>061525404</v>
      </c>
      <c r="C139" t="str">
        <f t="shared" si="16"/>
        <v>SOPHIA/ANT.-Thales Und. Systems</v>
      </c>
      <c r="D139" t="e">
        <f t="shared" si="17"/>
        <v>#VALUE!</v>
      </c>
      <c r="E139" t="e">
        <f t="shared" si="18"/>
        <v>#VALUE!</v>
      </c>
      <c r="F139" t="str">
        <f t="shared" si="19"/>
        <v>Surface mount technology  [Texte imprimé]</v>
      </c>
      <c r="G139" t="str">
        <f t="shared" si="20"/>
        <v>Surface mount technology</v>
      </c>
      <c r="H139" t="str">
        <f t="shared" si="21"/>
        <v>0893-3588</v>
      </c>
      <c r="I139" t="str">
        <f t="shared" si="22"/>
        <v>vol. 3 (1989)-....</v>
      </c>
    </row>
    <row r="140" spans="1:9" x14ac:dyDescent="0.25">
      <c r="A140" t="str">
        <f>"040086380"</f>
        <v>040086380</v>
      </c>
      <c r="B140" t="str">
        <f t="shared" si="23"/>
        <v>061525404</v>
      </c>
      <c r="C140" t="str">
        <f t="shared" si="16"/>
        <v>SOPHIA/ANT.-Thales Und. Systems</v>
      </c>
      <c r="D140" t="e">
        <f t="shared" si="17"/>
        <v>#VALUE!</v>
      </c>
      <c r="E140" t="e">
        <f t="shared" si="18"/>
        <v>#VALUE!</v>
      </c>
      <c r="F140" t="str">
        <f t="shared" si="19"/>
        <v>Navint  [Texte imprimé]</v>
      </c>
      <c r="G140" t="str">
        <f t="shared" si="20"/>
        <v>Navint</v>
      </c>
      <c r="H140" t="str">
        <f t="shared" si="21"/>
        <v>0955-7261</v>
      </c>
      <c r="I140" t="str">
        <f t="shared" si="22"/>
        <v>(1990)-....</v>
      </c>
    </row>
    <row r="141" spans="1:9" x14ac:dyDescent="0.25">
      <c r="A141" t="str">
        <f>"140300619"</f>
        <v>140300619</v>
      </c>
      <c r="B141" t="str">
        <f t="shared" si="23"/>
        <v>060885105</v>
      </c>
      <c r="C141" t="str">
        <f t="shared" si="16"/>
        <v>NICE-Bibl.Chevalier de Cessole</v>
      </c>
      <c r="D141" t="str">
        <f t="shared" si="17"/>
        <v>43.6956246</v>
      </c>
      <c r="E141" t="str">
        <f t="shared" si="18"/>
        <v>7.259380900000001</v>
      </c>
      <c r="F141" t="str">
        <f t="shared" si="19"/>
        <v>La Voix de Nice et des Alpes-Maritimes  [Texte imprimé]</v>
      </c>
      <c r="G141" t="str">
        <f t="shared" si="20"/>
        <v>La Voix de Nice et des Alpes-Maritimes</v>
      </c>
      <c r="H141" t="str">
        <f t="shared" si="21"/>
        <v>2140-1616</v>
      </c>
      <c r="I141" t="str">
        <f t="shared" si="22"/>
        <v>no. 5 (10-jun-1899) - no. 8  (1-jul-1899)</v>
      </c>
    </row>
    <row r="142" spans="1:9" x14ac:dyDescent="0.25">
      <c r="A142" t="str">
        <f>"039023087"</f>
        <v>039023087</v>
      </c>
      <c r="B142" t="str">
        <f t="shared" si="23"/>
        <v>831376201</v>
      </c>
      <c r="C142" t="str">
        <f t="shared" si="16"/>
        <v>TOULON-BM</v>
      </c>
      <c r="D142" t="str">
        <f t="shared" si="17"/>
        <v>43.0823215</v>
      </c>
      <c r="E142" t="str">
        <f t="shared" si="18"/>
        <v>5.920052699999999</v>
      </c>
      <c r="F142" t="str">
        <f t="shared" si="19"/>
        <v>Voix de Provence  [Texte imprimé]</v>
      </c>
      <c r="G142" t="str">
        <f t="shared" si="20"/>
        <v>Voix de Provence</v>
      </c>
      <c r="H142" t="e">
        <f t="shared" si="21"/>
        <v>#VALUE!</v>
      </c>
      <c r="I142" t="str">
        <f t="shared" si="22"/>
        <v>no. 1 (1944) - no. 76  (1946)</v>
      </c>
    </row>
    <row r="143" spans="1:9" x14ac:dyDescent="0.25">
      <c r="A143" t="str">
        <f>"039078507"</f>
        <v>039078507</v>
      </c>
      <c r="B143" t="str">
        <f t="shared" si="23"/>
        <v>991385201</v>
      </c>
      <c r="C143" t="str">
        <f t="shared" si="16"/>
        <v>MONACO-Jardin exotique</v>
      </c>
      <c r="D143" t="str">
        <f t="shared" si="17"/>
        <v>43.7310908</v>
      </c>
      <c r="E143" t="str">
        <f t="shared" si="18"/>
        <v>7.410747499999999</v>
      </c>
      <c r="F143" t="str">
        <f t="shared" si="19"/>
        <v>Asclepiadaceae  [Texte imprimé]</v>
      </c>
      <c r="G143" t="str">
        <f t="shared" si="20"/>
        <v>Asclepiadaceae</v>
      </c>
      <c r="H143" t="str">
        <f t="shared" si="21"/>
        <v>0141-786X</v>
      </c>
      <c r="I143" t="str">
        <f t="shared" si="22"/>
        <v>no. 5 (1975) - no. 22  (1981)</v>
      </c>
    </row>
    <row r="144" spans="1:9" x14ac:dyDescent="0.25">
      <c r="A144" t="str">
        <f>"039094219"</f>
        <v>039094219</v>
      </c>
      <c r="B144" t="str">
        <f t="shared" si="23"/>
        <v>060182301</v>
      </c>
      <c r="C144" t="str">
        <f t="shared" si="16"/>
        <v>ANTIBES-INRA-Horticulture</v>
      </c>
      <c r="D144" t="str">
        <f t="shared" si="17"/>
        <v>43.6156756</v>
      </c>
      <c r="E144" t="str">
        <f t="shared" si="18"/>
        <v>7.084510099999999</v>
      </c>
      <c r="F144" t="str">
        <f t="shared" si="19"/>
        <v>CA selects. Solar energy  [Texte imprimé]</v>
      </c>
      <c r="G144" t="str">
        <f t="shared" si="20"/>
        <v>CA selects. Solar energy</v>
      </c>
      <c r="H144" t="str">
        <f t="shared" si="21"/>
        <v>0148-236X</v>
      </c>
      <c r="I144" t="str">
        <f t="shared" si="22"/>
        <v>(1978) - (1995)</v>
      </c>
    </row>
    <row r="145" spans="1:9" x14ac:dyDescent="0.25">
      <c r="A145" t="str">
        <f>"039598004"</f>
        <v>039598004</v>
      </c>
      <c r="B145" t="str">
        <f t="shared" si="23"/>
        <v>991385301</v>
      </c>
      <c r="C145" t="str">
        <f t="shared" si="16"/>
        <v>MONACO-Musée Océanographique</v>
      </c>
      <c r="D145" t="str">
        <f t="shared" si="17"/>
        <v>43.7310033</v>
      </c>
      <c r="E145" t="str">
        <f t="shared" si="18"/>
        <v>7.425491600000001</v>
      </c>
      <c r="F145" t="str">
        <f t="shared" si="19"/>
        <v>Agricoltura e innovazione  [Texte imprimé]</v>
      </c>
      <c r="G145" t="str">
        <f t="shared" si="20"/>
        <v>Agricoltura e innovazione</v>
      </c>
      <c r="H145" t="str">
        <f t="shared" si="21"/>
        <v>0394-2805</v>
      </c>
      <c r="I145" t="str">
        <f t="shared" si="22"/>
        <v>vol. 11 (1989)-....</v>
      </c>
    </row>
    <row r="146" spans="1:9" x14ac:dyDescent="0.25">
      <c r="A146" t="str">
        <f>"045047162"</f>
        <v>045047162</v>
      </c>
      <c r="B146" t="str">
        <f t="shared" si="23"/>
        <v>991385201</v>
      </c>
      <c r="C146" t="str">
        <f t="shared" si="16"/>
        <v>MONACO-Jardin exotique</v>
      </c>
      <c r="D146" t="str">
        <f t="shared" si="17"/>
        <v>43.7310908</v>
      </c>
      <c r="E146" t="str">
        <f t="shared" si="18"/>
        <v>7.410747499999999</v>
      </c>
      <c r="F146" t="str">
        <f t="shared" si="19"/>
        <v>Cactus y suculentas  [Texte imprimé]</v>
      </c>
      <c r="G146" t="str">
        <f t="shared" si="20"/>
        <v>Cactus y suculentas</v>
      </c>
      <c r="H146" t="str">
        <f t="shared" si="21"/>
        <v>1577-0419</v>
      </c>
      <c r="I146" t="str">
        <f t="shared" si="22"/>
        <v>vol. 2 no. 8 (1994) - vol. 5  no. 20  (1997)</v>
      </c>
    </row>
    <row r="147" spans="1:9" x14ac:dyDescent="0.25">
      <c r="A147" t="str">
        <f>"050926616"</f>
        <v>050926616</v>
      </c>
      <c r="B147" t="str">
        <f t="shared" si="23"/>
        <v>831375101</v>
      </c>
      <c r="C147" t="str">
        <f t="shared" si="16"/>
        <v>TOULON-Serv.Historique Marine</v>
      </c>
      <c r="D147" t="str">
        <f t="shared" si="17"/>
        <v>43.124228</v>
      </c>
      <c r="E147" t="str">
        <f t="shared" si="18"/>
        <v>5.928</v>
      </c>
      <c r="F147" t="str">
        <f t="shared" si="19"/>
        <v>Marine-Algérie  [Texte imprimé]</v>
      </c>
      <c r="G147" t="str">
        <f t="shared" si="20"/>
        <v>Marine-Algérie</v>
      </c>
      <c r="H147" t="e">
        <f t="shared" si="21"/>
        <v>#VALUE!</v>
      </c>
      <c r="I147">
        <f t="shared" si="22"/>
        <v>-1962</v>
      </c>
    </row>
    <row r="148" spans="1:9" x14ac:dyDescent="0.25">
      <c r="A148" t="str">
        <f>"050927132"</f>
        <v>050927132</v>
      </c>
      <c r="B148" t="str">
        <f t="shared" si="23"/>
        <v>831375101</v>
      </c>
      <c r="C148" t="str">
        <f t="shared" si="16"/>
        <v>TOULON-Serv.Historique Marine</v>
      </c>
      <c r="D148" t="str">
        <f t="shared" si="17"/>
        <v>43.124228</v>
      </c>
      <c r="E148" t="str">
        <f t="shared" si="18"/>
        <v>5.928</v>
      </c>
      <c r="F148" t="str">
        <f t="shared" si="19"/>
        <v>Revue mensuelle  [Texte imprimé]  : Organe de l'Union fraternelle des officiers en retraite des armées de terre et de mer</v>
      </c>
      <c r="G148" t="str">
        <f t="shared" si="20"/>
        <v>Revue mensuelle</v>
      </c>
      <c r="H148" t="str">
        <f t="shared" si="21"/>
        <v>2021-006X</v>
      </c>
      <c r="I148" t="str">
        <f t="shared" si="22"/>
        <v>no. 1 (1898) - no. 7  (1901)</v>
      </c>
    </row>
    <row r="149" spans="1:9" x14ac:dyDescent="0.25">
      <c r="A149" t="str">
        <f>"137896492"</f>
        <v>137896492</v>
      </c>
      <c r="B149" t="str">
        <f t="shared" si="23"/>
        <v>060885105</v>
      </c>
      <c r="C149" t="str">
        <f t="shared" si="16"/>
        <v>NICE-Bibl.Chevalier de Cessole</v>
      </c>
      <c r="D149" t="str">
        <f t="shared" si="17"/>
        <v>43.6956246</v>
      </c>
      <c r="E149" t="str">
        <f t="shared" si="18"/>
        <v>7.259380900000001</v>
      </c>
      <c r="F149" t="str">
        <f t="shared" si="19"/>
        <v>La Lutte sociale  [Texte imprimé]</v>
      </c>
      <c r="G149" t="str">
        <f t="shared" si="20"/>
        <v>La Lutte sociale</v>
      </c>
      <c r="H149" t="str">
        <f t="shared" si="21"/>
        <v>2131-6503</v>
      </c>
      <c r="I149" t="str">
        <f t="shared" si="22"/>
        <v>no. 38 (7-nov-1897) - no. 66  (31-jul-1898) [lacunes]</v>
      </c>
    </row>
    <row r="150" spans="1:9" x14ac:dyDescent="0.25">
      <c r="A150" t="str">
        <f>"039204561"</f>
        <v>039204561</v>
      </c>
      <c r="B150" t="str">
        <f t="shared" si="23"/>
        <v>991385301</v>
      </c>
      <c r="C150" t="str">
        <f t="shared" si="16"/>
        <v>MONACO-Musée Océanographique</v>
      </c>
      <c r="D150" t="str">
        <f t="shared" si="17"/>
        <v>43.7310033</v>
      </c>
      <c r="E150" t="str">
        <f t="shared" si="18"/>
        <v>7.425491600000001</v>
      </c>
      <c r="F150" t="str">
        <f t="shared" si="19"/>
        <v>Revista de inmersión, actividades subacuáticos y biología marina  [Texte imprimé]</v>
      </c>
      <c r="G150" t="str">
        <f t="shared" si="20"/>
        <v>Revista de inmersión, actividades subacuáticos y biología marina</v>
      </c>
      <c r="H150" t="str">
        <f t="shared" si="21"/>
        <v>0214-1825</v>
      </c>
      <c r="I150" t="str">
        <f t="shared" si="22"/>
        <v>no. 11 (1987)-....</v>
      </c>
    </row>
    <row r="151" spans="1:9" x14ac:dyDescent="0.25">
      <c r="A151" t="str">
        <f>"040130754"</f>
        <v>040130754</v>
      </c>
      <c r="B151" t="str">
        <f t="shared" si="23"/>
        <v>991386201</v>
      </c>
      <c r="C151" t="str">
        <f t="shared" si="16"/>
        <v>MONACO-Bibl.Louis Notari</v>
      </c>
      <c r="D151" t="str">
        <f t="shared" si="17"/>
        <v>43.7351319</v>
      </c>
      <c r="E151" t="str">
        <f t="shared" si="18"/>
        <v>7.420563100000001</v>
      </c>
      <c r="F151" t="str">
        <f t="shared" si="19"/>
        <v>La Lettre de M.C.  [Texte imprimé]</v>
      </c>
      <c r="G151" t="str">
        <f t="shared" si="20"/>
        <v>La Lettre de M.C.</v>
      </c>
      <c r="H151" t="str">
        <f t="shared" si="21"/>
        <v>1010-433X</v>
      </c>
      <c r="I151" t="str">
        <f t="shared" si="22"/>
        <v>no. 1 (fev-1985)-....</v>
      </c>
    </row>
    <row r="152" spans="1:9" x14ac:dyDescent="0.25">
      <c r="A152" t="str">
        <f>"151324115"</f>
        <v>151324115</v>
      </c>
      <c r="B152" t="str">
        <f t="shared" si="23"/>
        <v>060885109</v>
      </c>
      <c r="C152" t="str">
        <f t="shared" si="16"/>
        <v>NICE-Théâtre Photo. et Image</v>
      </c>
      <c r="D152" t="str">
        <f t="shared" si="17"/>
        <v>43.6958659</v>
      </c>
      <c r="E152" t="str">
        <f t="shared" si="18"/>
        <v>7.274715499999957</v>
      </c>
      <c r="F152" t="str">
        <f t="shared" si="19"/>
        <v>Journal des galeries photo  [Texte imprimé]  / Direction des galeries photo FNAC</v>
      </c>
      <c r="G152" t="str">
        <f t="shared" si="20"/>
        <v>Journal des galeries photo</v>
      </c>
      <c r="H152" t="e">
        <f t="shared" si="21"/>
        <v>#VALUE!</v>
      </c>
      <c r="I152" t="str">
        <f t="shared" si="22"/>
        <v>no. 53 (2000) - no. 55  (2001) ; no. 59 (2002)</v>
      </c>
    </row>
    <row r="153" spans="1:9" x14ac:dyDescent="0.25">
      <c r="A153" t="str">
        <f>"140576894"</f>
        <v>140576894</v>
      </c>
      <c r="B153" t="str">
        <f t="shared" si="23"/>
        <v>060885105</v>
      </c>
      <c r="C153" t="str">
        <f t="shared" si="16"/>
        <v>NICE-Bibl.Chevalier de Cessole</v>
      </c>
      <c r="D153" t="str">
        <f t="shared" si="17"/>
        <v>43.6956246</v>
      </c>
      <c r="E153" t="str">
        <f t="shared" si="18"/>
        <v>7.259380900000001</v>
      </c>
      <c r="F153" t="str">
        <f t="shared" si="19"/>
        <v>Le Sifflet de Nice  [Texte imprimé]</v>
      </c>
      <c r="G153" t="str">
        <f t="shared" si="20"/>
        <v>Le Sifflet de Nice</v>
      </c>
      <c r="H153" t="str">
        <f t="shared" si="21"/>
        <v>2138-1178</v>
      </c>
      <c r="I153" t="str">
        <f t="shared" si="22"/>
        <v>no. 1 (24-oct-1880) - no. 11  (6-jan-1881)</v>
      </c>
    </row>
    <row r="154" spans="1:9" x14ac:dyDescent="0.25">
      <c r="A154" t="str">
        <f>"03641056X"</f>
        <v>03641056X</v>
      </c>
      <c r="B154" t="str">
        <f t="shared" si="23"/>
        <v>060885102</v>
      </c>
      <c r="C154" t="str">
        <f t="shared" si="16"/>
        <v>NICE-Archives Départementales</v>
      </c>
      <c r="D154" t="str">
        <f t="shared" si="17"/>
        <v>43.6877482</v>
      </c>
      <c r="E154" t="str">
        <f t="shared" si="18"/>
        <v>7.2113605</v>
      </c>
      <c r="F154" t="str">
        <f t="shared" si="19"/>
        <v>Riviera dei fiori  [Texte imprimé]</v>
      </c>
      <c r="G154" t="str">
        <f t="shared" si="20"/>
        <v>Riviera dei fiori</v>
      </c>
      <c r="H154" t="e">
        <f t="shared" si="21"/>
        <v>#VALUE!</v>
      </c>
      <c r="I154" t="str">
        <f t="shared" si="22"/>
        <v>(1961) - (oct-1969) ; (1970) - (fev-1972) ; (jul-1972) - (mai-1973) ; (aou-1973) - (avr-1982)</v>
      </c>
    </row>
    <row r="155" spans="1:9" x14ac:dyDescent="0.25">
      <c r="A155" t="str">
        <f>"156139669"</f>
        <v>156139669</v>
      </c>
      <c r="B155" t="str">
        <f t="shared" si="23"/>
        <v>060885105</v>
      </c>
      <c r="C155" t="str">
        <f t="shared" si="16"/>
        <v>NICE-Bibl.Chevalier de Cessole</v>
      </c>
      <c r="D155" t="str">
        <f t="shared" si="17"/>
        <v>43.6956246</v>
      </c>
      <c r="E155" t="str">
        <f t="shared" si="18"/>
        <v>7.259380900000001</v>
      </c>
      <c r="F155" t="str">
        <f t="shared" si="19"/>
        <v>Le Patriote niçois  [Texte imprimé]</v>
      </c>
      <c r="G155" t="str">
        <f t="shared" si="20"/>
        <v>Le Patriote niçois</v>
      </c>
      <c r="H155" t="str">
        <f t="shared" si="21"/>
        <v>2133-7519</v>
      </c>
      <c r="I155" t="str">
        <f t="shared" si="22"/>
        <v>no. 1 (10-mar-1896) - no. 9  (9-mai-1896)</v>
      </c>
    </row>
    <row r="156" spans="1:9" x14ac:dyDescent="0.25">
      <c r="A156" t="str">
        <f>"037127772"</f>
        <v>037127772</v>
      </c>
      <c r="B156" t="str">
        <f t="shared" si="23"/>
        <v>991386201</v>
      </c>
      <c r="C156" t="str">
        <f t="shared" si="16"/>
        <v>MONACO-Bibl.Louis Notari</v>
      </c>
      <c r="D156" t="str">
        <f t="shared" si="17"/>
        <v>43.7351319</v>
      </c>
      <c r="E156" t="str">
        <f t="shared" si="18"/>
        <v>7.420563100000001</v>
      </c>
      <c r="F156" t="str">
        <f t="shared" si="19"/>
        <v>Lycee albert 1e et cours secondaire de jeunes filles : distribution des prix  [Texte imprimé]</v>
      </c>
      <c r="G156" t="str">
        <f t="shared" si="20"/>
        <v>Lycee albert 1e et cours secondaire de jeunes filles : distribution des prix</v>
      </c>
      <c r="H156" t="e">
        <f t="shared" si="21"/>
        <v>#VALUE!</v>
      </c>
      <c r="I156" t="str">
        <f t="shared" si="22"/>
        <v>(1911) - (1967)</v>
      </c>
    </row>
    <row r="157" spans="1:9" x14ac:dyDescent="0.25">
      <c r="A157" t="str">
        <f>"124278582"</f>
        <v>124278582</v>
      </c>
      <c r="B157" t="str">
        <f t="shared" si="23"/>
        <v>060885105</v>
      </c>
      <c r="C157" t="str">
        <f t="shared" si="16"/>
        <v>NICE-Bibl.Chevalier de Cessole</v>
      </c>
      <c r="D157" t="str">
        <f t="shared" si="17"/>
        <v>43.6956246</v>
      </c>
      <c r="E157" t="str">
        <f t="shared" si="18"/>
        <v>7.259380900000001</v>
      </c>
      <c r="F157" t="str">
        <f t="shared" si="19"/>
        <v>Nice bavard  [Texte imprimé]</v>
      </c>
      <c r="G157" t="str">
        <f t="shared" si="20"/>
        <v>Nice bavard</v>
      </c>
      <c r="H157" t="str">
        <f t="shared" si="21"/>
        <v>1963-8787</v>
      </c>
      <c r="I157" t="str">
        <f t="shared" si="22"/>
        <v>no. 43 (28-avr-1900) - no. 47  (19-mai-1900) [lacunes]</v>
      </c>
    </row>
    <row r="158" spans="1:9" x14ac:dyDescent="0.25">
      <c r="A158" t="str">
        <f>"124278876"</f>
        <v>124278876</v>
      </c>
      <c r="B158" t="str">
        <f t="shared" si="23"/>
        <v>060885105</v>
      </c>
      <c r="C158" t="str">
        <f t="shared" si="16"/>
        <v>NICE-Bibl.Chevalier de Cessole</v>
      </c>
      <c r="D158" t="str">
        <f t="shared" si="17"/>
        <v>43.6956246</v>
      </c>
      <c r="E158" t="str">
        <f t="shared" si="18"/>
        <v>7.259380900000001</v>
      </c>
      <c r="F158" t="str">
        <f t="shared" si="19"/>
        <v>Le Vampire de Nice  [Texte imprimé]</v>
      </c>
      <c r="G158" t="str">
        <f t="shared" si="20"/>
        <v>Le Vampire de Nice</v>
      </c>
      <c r="H158" t="str">
        <f t="shared" si="21"/>
        <v>1963-9066</v>
      </c>
      <c r="I158" t="str">
        <f t="shared" si="22"/>
        <v>no. 1 (29-nov-1885) - no. 4  (10-jan-1886)</v>
      </c>
    </row>
    <row r="159" spans="1:9" x14ac:dyDescent="0.25">
      <c r="A159" t="str">
        <f>"183659724"</f>
        <v>183659724</v>
      </c>
      <c r="B159" t="str">
        <f t="shared" si="23"/>
        <v>060885105</v>
      </c>
      <c r="C159" t="str">
        <f t="shared" si="16"/>
        <v>NICE-Bibl.Chevalier de Cessole</v>
      </c>
      <c r="D159" t="str">
        <f t="shared" si="17"/>
        <v>43.6956246</v>
      </c>
      <c r="E159" t="str">
        <f t="shared" si="18"/>
        <v>7.259380900000001</v>
      </c>
      <c r="F159" t="str">
        <f t="shared" si="19"/>
        <v>L'Alerte  [Texte imprimé]</v>
      </c>
      <c r="G159" t="str">
        <f t="shared" si="20"/>
        <v>L'Alerte</v>
      </c>
      <c r="H159" t="str">
        <f t="shared" si="21"/>
        <v>2276-2981</v>
      </c>
      <c r="I159" t="str">
        <f t="shared" si="22"/>
        <v>(11-mar-1941) - no. 36  (25-mai-1941) ; no. 1 (03-sep-1944) [lacunes]</v>
      </c>
    </row>
    <row r="160" spans="1:9" x14ac:dyDescent="0.25">
      <c r="A160" t="str">
        <f>"12840020X"</f>
        <v>12840020X</v>
      </c>
      <c r="B160" t="str">
        <f t="shared" si="23"/>
        <v>060885111</v>
      </c>
      <c r="C160" t="str">
        <f t="shared" ref="C160:C223" si="24">_xlfn.FILTERXML(_xlfn.WEBSERVICE("http://www.sudoc.fr/services/multiwhere/"&amp;A160),"//query/result/library/shortname")</f>
        <v>NICE-Jardin botanique</v>
      </c>
      <c r="D160" t="str">
        <f t="shared" ref="D160:D223" si="25">_xlfn.FILTERXML(_xlfn.WEBSERVICE("http://www.sudoc.fr/services/multiwhere/"&amp;A160),"//query/result/library/latitude")</f>
        <v>43.6857624</v>
      </c>
      <c r="E160" t="str">
        <f t="shared" ref="E160:E223" si="26">_xlfn.FILTERXML(_xlfn.WEBSERVICE("http://www.sudoc.fr/services/multiwhere/"&amp;A160),"//query/result/library/longitude")</f>
        <v>7.210481499999998</v>
      </c>
      <c r="F160" t="e">
        <f t="shared" ref="F160:F223" si="27">_xlfn.FILTERXML(_xlfn.WEBSERVICE("http://www.sudoc.fr/"&amp;A160&amp;".rdf"),"//bibo:Periodical/dc:title")</f>
        <v>#VALUE!</v>
      </c>
      <c r="G160" t="str">
        <f t="shared" ref="G160:G223" si="28">_xlfn.FILTERXML(_xlfn.WEBSERVICE("http://www.sudoc.fr/"&amp;A160&amp;".abes"),"//datafield[@tag='200']/subfield[@code='a']")</f>
        <v>Smithsonian contributions to botany</v>
      </c>
      <c r="H160" t="str">
        <f t="shared" ref="H160:H223" si="29">_xlfn.FILTERXML(_xlfn.WEBSERVICE("http://www.sudoc.fr/"&amp;A160&amp;".abes"),"//datafield[@tag='011']/subfield[@code='a']")</f>
        <v>1938-2812</v>
      </c>
      <c r="I160" t="str">
        <f t="shared" ref="I160:I223" si="30">_xlfn.FILTERXML(_xlfn.WEBSERVICE("http://www.sudoc.fr/"&amp;A160&amp;".abes"),"//datafield[@tag='955']/subfield[@code='r']")</f>
        <v>no. 92 (2009) - no. 104  (2016) [N°1 - 91 / 2011 n°96 / 2013 n°98]</v>
      </c>
    </row>
    <row r="161" spans="1:9" x14ac:dyDescent="0.25">
      <c r="A161" t="str">
        <f>"037396188"</f>
        <v>037396188</v>
      </c>
      <c r="B161" t="str">
        <f t="shared" si="23"/>
        <v>991385301</v>
      </c>
      <c r="C161" t="str">
        <f t="shared" si="24"/>
        <v>MONACO-Musée Océanographique</v>
      </c>
      <c r="D161" t="str">
        <f t="shared" si="25"/>
        <v>43.7310033</v>
      </c>
      <c r="E161" t="str">
        <f t="shared" si="26"/>
        <v>7.425491600000001</v>
      </c>
      <c r="F161" t="str">
        <f t="shared" si="27"/>
        <v>Gyosen  [Texte imprimé]</v>
      </c>
      <c r="G161" t="str">
        <f t="shared" si="28"/>
        <v>Gyosen</v>
      </c>
      <c r="H161" t="str">
        <f t="shared" si="29"/>
        <v>0426-3111</v>
      </c>
      <c r="I161" t="str">
        <f t="shared" si="30"/>
        <v>vol. 57 no. 1 (1991)-....</v>
      </c>
    </row>
    <row r="162" spans="1:9" x14ac:dyDescent="0.25">
      <c r="A162" t="str">
        <f>"040022277"</f>
        <v>040022277</v>
      </c>
      <c r="B162" t="str">
        <f t="shared" si="23"/>
        <v>991385301</v>
      </c>
      <c r="C162" t="str">
        <f t="shared" si="24"/>
        <v>MONACO-Musée Océanographique</v>
      </c>
      <c r="D162" t="str">
        <f t="shared" si="25"/>
        <v>43.7310033</v>
      </c>
      <c r="E162" t="str">
        <f t="shared" si="26"/>
        <v>7.425491600000001</v>
      </c>
      <c r="F162" t="str">
        <f t="shared" si="27"/>
        <v>Suisan no kenkyū  [Texte imprimé]</v>
      </c>
      <c r="G162" t="str">
        <f t="shared" si="28"/>
        <v>Suisan no kenkyū</v>
      </c>
      <c r="H162" t="str">
        <f t="shared" si="29"/>
        <v>0912-7186</v>
      </c>
      <c r="I162" t="str">
        <f t="shared" si="30"/>
        <v>N°50 vol. 10 no. 1 (1991)-....</v>
      </c>
    </row>
    <row r="163" spans="1:9" x14ac:dyDescent="0.25">
      <c r="A163" t="str">
        <f>"109151895"</f>
        <v>109151895</v>
      </c>
      <c r="B163" t="str">
        <f t="shared" si="23"/>
        <v>060046201</v>
      </c>
      <c r="C163" t="str">
        <f t="shared" si="24"/>
        <v>ANTIBES-Mediath.A.Camus</v>
      </c>
      <c r="D163" t="str">
        <f t="shared" si="25"/>
        <v>43.58041799999999</v>
      </c>
      <c r="E163" t="str">
        <f t="shared" si="26"/>
        <v>7.125102</v>
      </c>
      <c r="F163" t="str">
        <f t="shared" si="27"/>
        <v>Émergences  [Texte imprimé]  : le magazine de la Communauté d'Agglomération Sophia Antipolis</v>
      </c>
      <c r="G163" t="str">
        <f t="shared" si="28"/>
        <v>Émergences</v>
      </c>
      <c r="H163" t="str">
        <f t="shared" si="29"/>
        <v>1954-5584</v>
      </c>
      <c r="I163" t="str">
        <f t="shared" si="30"/>
        <v>(2005)-....</v>
      </c>
    </row>
    <row r="164" spans="1:9" x14ac:dyDescent="0.25">
      <c r="A164" t="str">
        <f>"137884168"</f>
        <v>137884168</v>
      </c>
      <c r="B164" t="str">
        <f t="shared" si="23"/>
        <v>060885105</v>
      </c>
      <c r="C164" t="str">
        <f t="shared" si="24"/>
        <v>NICE-Bibl.Chevalier de Cessole</v>
      </c>
      <c r="D164" t="str">
        <f t="shared" si="25"/>
        <v>43.6956246</v>
      </c>
      <c r="E164" t="str">
        <f t="shared" si="26"/>
        <v>7.259380900000001</v>
      </c>
      <c r="F164" t="str">
        <f t="shared" si="27"/>
        <v>Journal de la Corniche  [Texte imprimé]</v>
      </c>
      <c r="G164" t="str">
        <f t="shared" si="28"/>
        <v>Journal de la Corniche</v>
      </c>
      <c r="H164" t="str">
        <f t="shared" si="29"/>
        <v>2130-4289</v>
      </c>
      <c r="I164" t="str">
        <f t="shared" si="30"/>
        <v>no. 129 (30-jun-1905) - no. 215  (24-nov-1907) [lacunes]</v>
      </c>
    </row>
    <row r="165" spans="1:9" x14ac:dyDescent="0.25">
      <c r="A165" t="str">
        <f>"039118509"</f>
        <v>039118509</v>
      </c>
      <c r="B165" t="str">
        <f t="shared" si="23"/>
        <v>831375101</v>
      </c>
      <c r="C165" t="str">
        <f t="shared" si="24"/>
        <v>TOULON-Serv.Historique Marine</v>
      </c>
      <c r="D165" t="str">
        <f t="shared" si="25"/>
        <v>43.124228</v>
      </c>
      <c r="E165" t="str">
        <f t="shared" si="26"/>
        <v>5.928</v>
      </c>
      <c r="F165" t="str">
        <f t="shared" si="27"/>
        <v>Almanach astronomique  [Texte imprimé]</v>
      </c>
      <c r="G165" t="str">
        <f t="shared" si="28"/>
        <v>Almanach astronomique</v>
      </c>
      <c r="H165" t="str">
        <f t="shared" si="29"/>
        <v>2022-9682</v>
      </c>
      <c r="I165" t="str">
        <f t="shared" si="30"/>
        <v>no. 1 (1884)</v>
      </c>
    </row>
    <row r="166" spans="1:9" x14ac:dyDescent="0.25">
      <c r="A166" t="str">
        <f>"050921746"</f>
        <v>050921746</v>
      </c>
      <c r="B166" t="str">
        <f t="shared" si="23"/>
        <v>831375101</v>
      </c>
      <c r="C166" t="str">
        <f t="shared" si="24"/>
        <v>TOULON-Serv.Historique Marine</v>
      </c>
      <c r="D166" t="str">
        <f t="shared" si="25"/>
        <v>43.124228</v>
      </c>
      <c r="E166" t="str">
        <f t="shared" si="26"/>
        <v>5.928</v>
      </c>
      <c r="F166" t="str">
        <f t="shared" si="27"/>
        <v>All the world's aircraft  [Texte imprimé]</v>
      </c>
      <c r="G166" t="str">
        <f t="shared" si="28"/>
        <v>All the world's aircraft</v>
      </c>
      <c r="H166" t="e">
        <f t="shared" si="29"/>
        <v>#VALUE!</v>
      </c>
      <c r="I166" t="str">
        <f t="shared" si="30"/>
        <v>(1919) ; (1923)</v>
      </c>
    </row>
    <row r="167" spans="1:9" x14ac:dyDescent="0.25">
      <c r="A167" t="str">
        <f>"137908180"</f>
        <v>137908180</v>
      </c>
      <c r="B167" t="str">
        <f t="shared" si="23"/>
        <v>060885105</v>
      </c>
      <c r="C167" t="str">
        <f t="shared" si="24"/>
        <v>NICE-Bibl.Chevalier de Cessole</v>
      </c>
      <c r="D167" t="str">
        <f t="shared" si="25"/>
        <v>43.6956246</v>
      </c>
      <c r="E167" t="str">
        <f t="shared" si="26"/>
        <v>7.259380900000001</v>
      </c>
      <c r="F167" t="str">
        <f t="shared" si="27"/>
        <v>Nice select  [Texte imprimé]</v>
      </c>
      <c r="G167" t="str">
        <f t="shared" si="28"/>
        <v>Nice select</v>
      </c>
      <c r="H167" t="str">
        <f t="shared" si="29"/>
        <v>2132-8080</v>
      </c>
      <c r="I167" t="str">
        <f t="shared" si="30"/>
        <v>(29-nov-1896) - (30-jan-1898) [lacunes]</v>
      </c>
    </row>
    <row r="168" spans="1:9" x14ac:dyDescent="0.25">
      <c r="A168" t="str">
        <f>"039034860"</f>
        <v>039034860</v>
      </c>
      <c r="B168" t="str">
        <f t="shared" si="23"/>
        <v>831376201</v>
      </c>
      <c r="C168" t="str">
        <f t="shared" si="24"/>
        <v>TOULON-BM</v>
      </c>
      <c r="D168" t="str">
        <f t="shared" si="25"/>
        <v>43.0823215</v>
      </c>
      <c r="E168" t="str">
        <f t="shared" si="26"/>
        <v>5.920052699999999</v>
      </c>
      <c r="F168" t="str">
        <f t="shared" si="27"/>
        <v>Art et Soleil  [Texte imprimé]</v>
      </c>
      <c r="G168" t="str">
        <f t="shared" si="28"/>
        <v>Art et Soleil</v>
      </c>
      <c r="H168" t="str">
        <f t="shared" si="29"/>
        <v>2016-0038</v>
      </c>
      <c r="I168" t="str">
        <f t="shared" si="30"/>
        <v>no. 1 (nov-1903) - no. 26  (1905) ; no. 29 (1906) ; no. 36 (1906)</v>
      </c>
    </row>
    <row r="169" spans="1:9" x14ac:dyDescent="0.25">
      <c r="A169" t="str">
        <f>"036365106"</f>
        <v>036365106</v>
      </c>
      <c r="B169" t="str">
        <f t="shared" si="23"/>
        <v>991385301</v>
      </c>
      <c r="C169" t="str">
        <f t="shared" si="24"/>
        <v>MONACO-Musée Océanographique</v>
      </c>
      <c r="D169" t="str">
        <f t="shared" si="25"/>
        <v>43.7310033</v>
      </c>
      <c r="E169" t="str">
        <f t="shared" si="26"/>
        <v>7.425491600000001</v>
      </c>
      <c r="F169" t="str">
        <f t="shared" si="27"/>
        <v>Oceanic index  [Texte imprimé]</v>
      </c>
      <c r="G169" t="str">
        <f t="shared" si="28"/>
        <v>Oceanic index</v>
      </c>
      <c r="H169" t="e">
        <f t="shared" si="29"/>
        <v>#VALUE!</v>
      </c>
      <c r="I169" t="e">
        <f t="shared" si="30"/>
        <v>#VALUE!</v>
      </c>
    </row>
    <row r="170" spans="1:9" x14ac:dyDescent="0.25">
      <c r="A170" t="str">
        <f>"039035034"</f>
        <v>039035034</v>
      </c>
      <c r="B170" t="str">
        <f t="shared" si="23"/>
        <v>831376201</v>
      </c>
      <c r="C170" t="str">
        <f t="shared" si="24"/>
        <v>TOULON-BM</v>
      </c>
      <c r="D170" t="str">
        <f t="shared" si="25"/>
        <v>43.0823215</v>
      </c>
      <c r="E170" t="str">
        <f t="shared" si="26"/>
        <v>5.920052699999999</v>
      </c>
      <c r="F170" t="str">
        <f t="shared" si="27"/>
        <v>Journal-Programme Cronstadt Toulon  [Texte imprimé]</v>
      </c>
      <c r="G170" t="str">
        <f t="shared" si="28"/>
        <v>Journal-Programme Cronstadt Toulon</v>
      </c>
      <c r="H170" t="str">
        <f t="shared" si="29"/>
        <v>2017-3970</v>
      </c>
      <c r="I170">
        <f t="shared" si="30"/>
        <v>-1893</v>
      </c>
    </row>
    <row r="171" spans="1:9" x14ac:dyDescent="0.25">
      <c r="A171" t="str">
        <f>"050926667"</f>
        <v>050926667</v>
      </c>
      <c r="B171" t="str">
        <f t="shared" si="23"/>
        <v>831375101</v>
      </c>
      <c r="C171" t="str">
        <f t="shared" si="24"/>
        <v>TOULON-Serv.Historique Marine</v>
      </c>
      <c r="D171" t="str">
        <f t="shared" si="25"/>
        <v>43.124228</v>
      </c>
      <c r="E171" t="str">
        <f t="shared" si="26"/>
        <v>5.928</v>
      </c>
      <c r="F171" t="str">
        <f t="shared" si="27"/>
        <v>Merchant ships...  [Texte imprimé]</v>
      </c>
      <c r="G171" t="str">
        <f t="shared" si="28"/>
        <v>Merchant ships...</v>
      </c>
      <c r="H171" t="e">
        <f t="shared" si="29"/>
        <v>#VALUE!</v>
      </c>
      <c r="I171" t="str">
        <f t="shared" si="30"/>
        <v>(1940) - (1943)</v>
      </c>
    </row>
    <row r="172" spans="1:9" x14ac:dyDescent="0.25">
      <c r="A172" t="str">
        <f>"040256898"</f>
        <v>040256898</v>
      </c>
      <c r="B172" t="str">
        <f t="shared" si="23"/>
        <v>061525404</v>
      </c>
      <c r="C172" t="str">
        <f t="shared" si="24"/>
        <v>SOPHIA/ANT.-Thales Und. Systems</v>
      </c>
      <c r="D172" t="e">
        <f t="shared" si="25"/>
        <v>#VALUE!</v>
      </c>
      <c r="E172" t="e">
        <f t="shared" si="26"/>
        <v>#VALUE!</v>
      </c>
      <c r="F172" t="str">
        <f t="shared" si="27"/>
        <v>Avionics report  [Texte imprimé]</v>
      </c>
      <c r="G172" t="str">
        <f t="shared" si="28"/>
        <v>Avionics report</v>
      </c>
      <c r="H172" t="str">
        <f t="shared" si="29"/>
        <v>1041-1631</v>
      </c>
      <c r="I172" t="str">
        <f t="shared" si="30"/>
        <v>vol. 12 (1989) - vol. 13  no. 15  (1990)</v>
      </c>
    </row>
    <row r="173" spans="1:9" x14ac:dyDescent="0.25">
      <c r="A173" t="str">
        <f>"183031008"</f>
        <v>183031008</v>
      </c>
      <c r="B173" t="str">
        <f t="shared" si="23"/>
        <v>060882303</v>
      </c>
      <c r="C173" t="str">
        <f t="shared" si="24"/>
        <v>NICE-Museum Hist.Naturelle</v>
      </c>
      <c r="D173" t="str">
        <f t="shared" si="25"/>
        <v>43.7017477</v>
      </c>
      <c r="E173" t="str">
        <f t="shared" si="26"/>
        <v>7.279483399999999</v>
      </c>
      <c r="F173" t="str">
        <f t="shared" si="27"/>
        <v>Bauhinia  [Texte imprimé]</v>
      </c>
      <c r="G173" t="str">
        <f t="shared" si="28"/>
        <v>Bauhinia</v>
      </c>
      <c r="H173" t="str">
        <f t="shared" si="29"/>
        <v>2409-4064</v>
      </c>
      <c r="I173" t="str">
        <f t="shared" si="30"/>
        <v>vol. 25 (2014)</v>
      </c>
    </row>
    <row r="174" spans="1:9" x14ac:dyDescent="0.25">
      <c r="A174" t="str">
        <f>"124278620"</f>
        <v>124278620</v>
      </c>
      <c r="B174" t="str">
        <f t="shared" si="23"/>
        <v>060885105</v>
      </c>
      <c r="C174" t="str">
        <f t="shared" si="24"/>
        <v>NICE-Bibl.Chevalier de Cessole</v>
      </c>
      <c r="D174" t="str">
        <f t="shared" si="25"/>
        <v>43.6956246</v>
      </c>
      <c r="E174" t="str">
        <f t="shared" si="26"/>
        <v>7.259380900000001</v>
      </c>
      <c r="F174" t="str">
        <f t="shared" si="27"/>
        <v>Le Nouveau Figaro  [Texte imprimé]</v>
      </c>
      <c r="G174" t="str">
        <f t="shared" si="28"/>
        <v>Le Nouveau Figaro</v>
      </c>
      <c r="H174" t="str">
        <f t="shared" si="29"/>
        <v>1963-8825</v>
      </c>
      <c r="I174" t="str">
        <f t="shared" si="30"/>
        <v>no. 6 (7-fev-1880)</v>
      </c>
    </row>
    <row r="175" spans="1:9" x14ac:dyDescent="0.25">
      <c r="A175" t="str">
        <f>"040131955"</f>
        <v>040131955</v>
      </c>
      <c r="B175" t="str">
        <f t="shared" si="23"/>
        <v>991386201</v>
      </c>
      <c r="C175" t="str">
        <f t="shared" si="24"/>
        <v>MONACO-Bibl.Louis Notari</v>
      </c>
      <c r="D175" t="str">
        <f t="shared" si="25"/>
        <v>43.7351319</v>
      </c>
      <c r="E175" t="str">
        <f t="shared" si="26"/>
        <v>7.420563100000001</v>
      </c>
      <c r="F175" t="str">
        <f t="shared" si="27"/>
        <v>Annuaire officiel du réseau téléphonique de Monaco  [Texte imprimé]</v>
      </c>
      <c r="G175" t="str">
        <f t="shared" si="28"/>
        <v>Annuaire officiel du réseau téléphonique de Monaco</v>
      </c>
      <c r="H175" t="str">
        <f t="shared" si="29"/>
        <v>1010-6219</v>
      </c>
      <c r="I175" t="str">
        <f t="shared" si="30"/>
        <v>(1969) - (1977) ; (1979) - (1983) ; (1985) - (1990) ; (1992) - (2000)</v>
      </c>
    </row>
    <row r="176" spans="1:9" x14ac:dyDescent="0.25">
      <c r="A176" t="str">
        <f>"039096009"</f>
        <v>039096009</v>
      </c>
      <c r="B176" t="str">
        <f t="shared" si="23"/>
        <v>831376201</v>
      </c>
      <c r="C176" t="str">
        <f t="shared" si="24"/>
        <v>TOULON-BM</v>
      </c>
      <c r="D176" t="str">
        <f t="shared" si="25"/>
        <v>43.0823215</v>
      </c>
      <c r="E176" t="str">
        <f t="shared" si="26"/>
        <v>5.920052699999999</v>
      </c>
      <c r="F176" t="str">
        <f t="shared" si="27"/>
        <v>Le Farceur  [Texte imprimé]</v>
      </c>
      <c r="G176" t="str">
        <f t="shared" si="28"/>
        <v>Le Farceur</v>
      </c>
      <c r="H176" t="str">
        <f t="shared" si="29"/>
        <v>2017-232X</v>
      </c>
      <c r="I176" t="str">
        <f t="shared" si="30"/>
        <v>no. 1 (1874) - no. 3  (1874)</v>
      </c>
    </row>
    <row r="177" spans="1:9" x14ac:dyDescent="0.25">
      <c r="A177" t="str">
        <f>"039731464"</f>
        <v>039731464</v>
      </c>
      <c r="B177" t="str">
        <f t="shared" si="23"/>
        <v>991385201</v>
      </c>
      <c r="C177" t="str">
        <f t="shared" si="24"/>
        <v>MONACO-Jardin exotique</v>
      </c>
      <c r="D177" t="str">
        <f t="shared" si="25"/>
        <v>43.7310908</v>
      </c>
      <c r="E177" t="str">
        <f t="shared" si="26"/>
        <v>7.410747499999999</v>
      </c>
      <c r="F177" t="str">
        <f t="shared" si="27"/>
        <v>Cactus  [Texte imprimé]</v>
      </c>
      <c r="G177" t="str">
        <f t="shared" si="28"/>
        <v>Cactus</v>
      </c>
      <c r="H177" t="str">
        <f t="shared" si="29"/>
        <v>0774-4668</v>
      </c>
      <c r="I177" t="str">
        <f t="shared" si="30"/>
        <v>vol. 8 no. 1 (1976) - vol. 18  no. 12  (1986) [lac : n°11 (1989)]</v>
      </c>
    </row>
    <row r="178" spans="1:9" x14ac:dyDescent="0.25">
      <c r="A178" t="str">
        <f>"039118584"</f>
        <v>039118584</v>
      </c>
      <c r="B178" t="str">
        <f t="shared" si="23"/>
        <v>831375101</v>
      </c>
      <c r="C178" t="str">
        <f t="shared" si="24"/>
        <v>TOULON-Serv.Historique Marine</v>
      </c>
      <c r="D178" t="str">
        <f t="shared" si="25"/>
        <v>43.124228</v>
      </c>
      <c r="E178" t="str">
        <f t="shared" si="26"/>
        <v>5.928</v>
      </c>
      <c r="F178" t="str">
        <f t="shared" si="27"/>
        <v>Annales universelles et méthodiques  [Texte imprimé]</v>
      </c>
      <c r="G178" t="str">
        <f t="shared" si="28"/>
        <v>Annales universelles et méthodiques</v>
      </c>
      <c r="H178" t="str">
        <f t="shared" si="29"/>
        <v>2022-9720</v>
      </c>
      <c r="I178" t="str">
        <f t="shared" si="30"/>
        <v>(1789) - (1790)</v>
      </c>
    </row>
    <row r="179" spans="1:9" x14ac:dyDescent="0.25">
      <c r="A179" t="str">
        <f>"050926527"</f>
        <v>050926527</v>
      </c>
      <c r="B179" t="str">
        <f t="shared" si="23"/>
        <v>831375101</v>
      </c>
      <c r="C179" t="str">
        <f t="shared" si="24"/>
        <v>TOULON-Serv.Historique Marine</v>
      </c>
      <c r="D179" t="str">
        <f t="shared" si="25"/>
        <v>43.124228</v>
      </c>
      <c r="E179" t="str">
        <f t="shared" si="26"/>
        <v>5.928</v>
      </c>
      <c r="F179" t="str">
        <f t="shared" si="27"/>
        <v>Magazzino toscano  [Texte imprimé]</v>
      </c>
      <c r="G179" t="str">
        <f t="shared" si="28"/>
        <v>Magazzino toscano</v>
      </c>
      <c r="H179" t="str">
        <f t="shared" si="29"/>
        <v>1591-0776</v>
      </c>
      <c r="I179" t="str">
        <f t="shared" si="30"/>
        <v>(1770) - (1779) [1770 : tome I (parties 1 à 4) ; 1772 : tome III (partie 2) ; 1774 : tome V (partie1) ; 1775 : tome XX (parties 4 et 8) ; 1777 : (partie 1) ; 1779 : (partie 5).]</v>
      </c>
    </row>
    <row r="180" spans="1:9" x14ac:dyDescent="0.25">
      <c r="A180" t="str">
        <f>"191198463"</f>
        <v>191198463</v>
      </c>
      <c r="B180" t="str">
        <f t="shared" si="23"/>
        <v>060696201</v>
      </c>
      <c r="C180" t="str">
        <f t="shared" si="24"/>
        <v>GRASSE-Villa St Hilaire</v>
      </c>
      <c r="D180" t="str">
        <f t="shared" si="25"/>
        <v>43.65711599999999</v>
      </c>
      <c r="E180" t="str">
        <f t="shared" si="26"/>
        <v>6.9183745</v>
      </c>
      <c r="F180" t="str">
        <f t="shared" si="27"/>
        <v>Nouvelles de Grasse  : bulletin semestriel d'information</v>
      </c>
      <c r="G180" t="str">
        <f t="shared" si="28"/>
        <v>Nouvelles de Grasse</v>
      </c>
      <c r="H180" t="str">
        <f t="shared" si="29"/>
        <v>2555-2295</v>
      </c>
      <c r="I180" t="str">
        <f t="shared" si="30"/>
        <v>(nov-1958) - (fev-1960) [Lacunaire]</v>
      </c>
    </row>
    <row r="181" spans="1:9" x14ac:dyDescent="0.25">
      <c r="A181" t="str">
        <f>"137900309"</f>
        <v>137900309</v>
      </c>
      <c r="B181" t="str">
        <f t="shared" si="23"/>
        <v>060885105</v>
      </c>
      <c r="C181" t="str">
        <f t="shared" si="24"/>
        <v>NICE-Bibl.Chevalier de Cessole</v>
      </c>
      <c r="D181" t="str">
        <f t="shared" si="25"/>
        <v>43.6956246</v>
      </c>
      <c r="E181" t="str">
        <f t="shared" si="26"/>
        <v>7.259380900000001</v>
      </c>
      <c r="F181" t="str">
        <f t="shared" si="27"/>
        <v>La Mensoneghiera  [Texte imprimé]</v>
      </c>
      <c r="G181" t="str">
        <f t="shared" si="28"/>
        <v>La Mensoneghiera</v>
      </c>
      <c r="H181" t="str">
        <f t="shared" si="29"/>
        <v>2132-0276</v>
      </c>
      <c r="I181" t="str">
        <f t="shared" si="30"/>
        <v>no. 1 (17-sep-1854) - no. 110  (4-sep-1870) [lacunes]</v>
      </c>
    </row>
    <row r="182" spans="1:9" x14ac:dyDescent="0.25">
      <c r="A182" t="str">
        <f>"050926756"</f>
        <v>050926756</v>
      </c>
      <c r="B182" t="str">
        <f t="shared" si="23"/>
        <v>831375101</v>
      </c>
      <c r="C182" t="str">
        <f t="shared" si="24"/>
        <v>TOULON-Serv.Historique Marine</v>
      </c>
      <c r="D182" t="str">
        <f t="shared" si="25"/>
        <v>43.124228</v>
      </c>
      <c r="E182" t="str">
        <f t="shared" si="26"/>
        <v>5.928</v>
      </c>
      <c r="F182" t="str">
        <f t="shared" si="27"/>
        <v>The Sailors' home journal and the naval chronicle  [Texte imprimé]</v>
      </c>
      <c r="G182" t="str">
        <f t="shared" si="28"/>
        <v>The Sailors' home journal and the naval chronicle</v>
      </c>
      <c r="H182" t="e">
        <f t="shared" si="29"/>
        <v>#VALUE!</v>
      </c>
      <c r="I182" t="str">
        <f t="shared" si="30"/>
        <v>no. 36 (1858) - (1861)</v>
      </c>
    </row>
    <row r="183" spans="1:9" x14ac:dyDescent="0.25">
      <c r="A183" t="str">
        <f>"039205770"</f>
        <v>039205770</v>
      </c>
      <c r="B183" t="str">
        <f t="shared" si="23"/>
        <v>991385301</v>
      </c>
      <c r="C183" t="str">
        <f t="shared" si="24"/>
        <v>MONACO-Musée Océanographique</v>
      </c>
      <c r="D183" t="str">
        <f t="shared" si="25"/>
        <v>43.7310033</v>
      </c>
      <c r="E183" t="str">
        <f t="shared" si="26"/>
        <v>7.425491600000001</v>
      </c>
      <c r="F183" t="str">
        <f t="shared" si="27"/>
        <v>Samaruc  [Texte imprimé]</v>
      </c>
      <c r="G183" t="str">
        <f t="shared" si="28"/>
        <v>Samaruc</v>
      </c>
      <c r="H183" t="str">
        <f t="shared" si="29"/>
        <v>0214-7335</v>
      </c>
      <c r="I183" t="str">
        <f t="shared" si="30"/>
        <v>2eS no. 1 (1986)-....</v>
      </c>
    </row>
    <row r="184" spans="1:9" x14ac:dyDescent="0.25">
      <c r="A184" t="str">
        <f>"050921878"</f>
        <v>050921878</v>
      </c>
      <c r="B184" t="str">
        <f t="shared" si="23"/>
        <v>831375101</v>
      </c>
      <c r="C184" t="str">
        <f t="shared" si="24"/>
        <v>TOULON-Serv.Historique Marine</v>
      </c>
      <c r="D184" t="str">
        <f t="shared" si="25"/>
        <v>43.124228</v>
      </c>
      <c r="E184" t="str">
        <f t="shared" si="26"/>
        <v>5.928</v>
      </c>
      <c r="F184" t="str">
        <f t="shared" si="27"/>
        <v>Information  [Texte imprimé]  / Service presse information, Ministère des armées, Marine</v>
      </c>
      <c r="G184" t="str">
        <f t="shared" si="28"/>
        <v>Information</v>
      </c>
      <c r="H184" t="str">
        <f t="shared" si="29"/>
        <v>2020-7867</v>
      </c>
      <c r="I184" t="str">
        <f t="shared" si="30"/>
        <v>(1958) - (1971) [lac.]</v>
      </c>
    </row>
    <row r="185" spans="1:9" x14ac:dyDescent="0.25">
      <c r="A185" t="str">
        <f>"124278310"</f>
        <v>124278310</v>
      </c>
      <c r="B185" t="str">
        <f t="shared" si="23"/>
        <v>060885105</v>
      </c>
      <c r="C185" t="str">
        <f t="shared" si="24"/>
        <v>NICE-Bibl.Chevalier de Cessole</v>
      </c>
      <c r="D185" t="str">
        <f t="shared" si="25"/>
        <v>43.6956246</v>
      </c>
      <c r="E185" t="str">
        <f t="shared" si="26"/>
        <v>7.259380900000001</v>
      </c>
      <c r="F185" t="str">
        <f t="shared" si="27"/>
        <v>La Basoche illustrée  [Texte imprimé]</v>
      </c>
      <c r="G185" t="str">
        <f t="shared" si="28"/>
        <v>La Basoche illustrée</v>
      </c>
      <c r="H185" t="str">
        <f t="shared" si="29"/>
        <v>1963-8493</v>
      </c>
      <c r="I185" t="str">
        <f t="shared" si="30"/>
        <v>no. 1 (20-dec-1885) - (27-dec-1885)</v>
      </c>
    </row>
    <row r="186" spans="1:9" x14ac:dyDescent="0.25">
      <c r="A186" t="str">
        <f>"036940216"</f>
        <v>036940216</v>
      </c>
      <c r="B186" t="str">
        <f t="shared" si="23"/>
        <v>060696201</v>
      </c>
      <c r="C186" t="str">
        <f t="shared" si="24"/>
        <v>GRASSE-Villa St Hilaire</v>
      </c>
      <c r="D186" t="str">
        <f t="shared" si="25"/>
        <v>43.65711599999999</v>
      </c>
      <c r="E186" t="str">
        <f t="shared" si="26"/>
        <v>6.9183745</v>
      </c>
      <c r="F186" t="str">
        <f t="shared" si="27"/>
        <v>The American perfumer  [Texte imprimé]</v>
      </c>
      <c r="G186" t="str">
        <f t="shared" si="28"/>
        <v>The American perfumer</v>
      </c>
      <c r="H186" t="str">
        <f t="shared" si="29"/>
        <v>0162-8593</v>
      </c>
      <c r="I186" t="str">
        <f t="shared" si="30"/>
        <v>(avr-1905)</v>
      </c>
    </row>
    <row r="187" spans="1:9" x14ac:dyDescent="0.25">
      <c r="A187" t="str">
        <f>"039023117"</f>
        <v>039023117</v>
      </c>
      <c r="B187" t="str">
        <f t="shared" si="23"/>
        <v>831376201</v>
      </c>
      <c r="C187" t="str">
        <f t="shared" si="24"/>
        <v>TOULON-BM</v>
      </c>
      <c r="D187" t="str">
        <f t="shared" si="25"/>
        <v>43.0823215</v>
      </c>
      <c r="E187" t="str">
        <f t="shared" si="26"/>
        <v>5.920052699999999</v>
      </c>
      <c r="F187" t="str">
        <f t="shared" si="27"/>
        <v>La Démocratie du Midi  [Texte imprimé]</v>
      </c>
      <c r="G187" t="str">
        <f t="shared" si="28"/>
        <v>La Démocratie du Midi</v>
      </c>
      <c r="H187" t="str">
        <f t="shared" si="29"/>
        <v>2016-8497</v>
      </c>
      <c r="I187" t="str">
        <f t="shared" si="30"/>
        <v>no. 10 (1878) - no. 67  (1878) [lac.]</v>
      </c>
    </row>
    <row r="188" spans="1:9" x14ac:dyDescent="0.25">
      <c r="A188" t="str">
        <f>"037271849"</f>
        <v>037271849</v>
      </c>
      <c r="B188" t="str">
        <f t="shared" si="23"/>
        <v>991386201</v>
      </c>
      <c r="C188" t="str">
        <f t="shared" si="24"/>
        <v>MONACO-Bibl.Louis Notari</v>
      </c>
      <c r="D188" t="str">
        <f t="shared" si="25"/>
        <v>43.7351319</v>
      </c>
      <c r="E188" t="str">
        <f t="shared" si="26"/>
        <v>7.420563100000001</v>
      </c>
      <c r="F188" t="str">
        <f t="shared" si="27"/>
        <v>Amies &amp; weapons  [Texte imprimé]</v>
      </c>
      <c r="G188" t="str">
        <f t="shared" si="28"/>
        <v>Amies &amp; weapons</v>
      </c>
      <c r="H188" t="str">
        <f t="shared" si="29"/>
        <v>0307-4420</v>
      </c>
      <c r="I188" t="str">
        <f t="shared" si="30"/>
        <v>(1978) - (1979)</v>
      </c>
    </row>
    <row r="189" spans="1:9" x14ac:dyDescent="0.25">
      <c r="A189" t="str">
        <f>"040079252"</f>
        <v>040079252</v>
      </c>
      <c r="B189" t="str">
        <f t="shared" si="23"/>
        <v>991385201</v>
      </c>
      <c r="C189" t="str">
        <f t="shared" si="24"/>
        <v>MONACO-Jardin exotique</v>
      </c>
      <c r="D189" t="str">
        <f t="shared" si="25"/>
        <v>43.7310908</v>
      </c>
      <c r="E189" t="str">
        <f t="shared" si="26"/>
        <v>7.410747499999999</v>
      </c>
      <c r="F189" t="str">
        <f t="shared" si="27"/>
        <v>Sussex cactus &amp; succulent year book  [Texte imprimé]</v>
      </c>
      <c r="G189" t="str">
        <f t="shared" si="28"/>
        <v>Sussex cactus &amp; succulent year book</v>
      </c>
      <c r="H189" t="str">
        <f t="shared" si="29"/>
        <v>0950-9976</v>
      </c>
      <c r="I189" t="str">
        <f t="shared" si="30"/>
        <v>(1973) - (1979) ; vol. 8 (1987)-.... [(repr.1973.ed)]</v>
      </c>
    </row>
    <row r="190" spans="1:9" x14ac:dyDescent="0.25">
      <c r="A190" t="str">
        <f>"037950495"</f>
        <v>037950495</v>
      </c>
      <c r="B190" t="str">
        <f t="shared" si="23"/>
        <v>991386201</v>
      </c>
      <c r="C190" t="str">
        <f t="shared" si="24"/>
        <v>MONACO-Bibl.Louis Notari</v>
      </c>
      <c r="D190" t="str">
        <f t="shared" si="25"/>
        <v>43.7351319</v>
      </c>
      <c r="E190" t="str">
        <f t="shared" si="26"/>
        <v>7.420563100000001</v>
      </c>
      <c r="F190" t="str">
        <f t="shared" si="27"/>
        <v>Annuaire  [Texte imprimé]  / Automobile-Club de Monaco</v>
      </c>
      <c r="G190" t="str">
        <f t="shared" si="28"/>
        <v>Annuaire</v>
      </c>
      <c r="H190" t="str">
        <f t="shared" si="29"/>
        <v>1011-1352</v>
      </c>
      <c r="I190" t="str">
        <f t="shared" si="30"/>
        <v>(1926) - (1937)</v>
      </c>
    </row>
    <row r="191" spans="1:9" x14ac:dyDescent="0.25">
      <c r="A191" t="str">
        <f>"037950525"</f>
        <v>037950525</v>
      </c>
      <c r="B191" t="str">
        <f t="shared" si="23"/>
        <v>991386201</v>
      </c>
      <c r="C191" t="str">
        <f t="shared" si="24"/>
        <v>MONACO-Bibl.Louis Notari</v>
      </c>
      <c r="D191" t="str">
        <f t="shared" si="25"/>
        <v>43.7351319</v>
      </c>
      <c r="E191" t="str">
        <f t="shared" si="26"/>
        <v>7.420563100000001</v>
      </c>
      <c r="F191" t="str">
        <f t="shared" si="27"/>
        <v>Bulletin  [Texte imprimé]  / Club alpin de Monaco</v>
      </c>
      <c r="G191" t="str">
        <f t="shared" si="28"/>
        <v>Bulletin</v>
      </c>
      <c r="H191" t="str">
        <f t="shared" si="29"/>
        <v>1011-1387</v>
      </c>
      <c r="I191" t="str">
        <f t="shared" si="30"/>
        <v>no. 5 (1965) - no. 45  (1978)</v>
      </c>
    </row>
    <row r="192" spans="1:9" x14ac:dyDescent="0.25">
      <c r="A192" t="str">
        <f>"038339013"</f>
        <v>038339013</v>
      </c>
      <c r="B192" t="str">
        <f t="shared" si="23"/>
        <v>991385201</v>
      </c>
      <c r="C192" t="str">
        <f t="shared" si="24"/>
        <v>MONACO-Jardin exotique</v>
      </c>
      <c r="D192" t="str">
        <f t="shared" si="25"/>
        <v>43.7310908</v>
      </c>
      <c r="E192" t="str">
        <f t="shared" si="26"/>
        <v>7.410747499999999</v>
      </c>
      <c r="F192" t="str">
        <f t="shared" si="27"/>
        <v>Blätter für Sukkulentenkunde  [Texte imprimé]</v>
      </c>
      <c r="G192" t="str">
        <f t="shared" si="28"/>
        <v>Blätter für Sukkulentenkunde</v>
      </c>
      <c r="H192" t="str">
        <f t="shared" si="29"/>
        <v>1431-4622</v>
      </c>
      <c r="I192" t="str">
        <f t="shared" si="30"/>
        <v>vol. 1 no. 1 (1949)</v>
      </c>
    </row>
    <row r="193" spans="1:9" x14ac:dyDescent="0.25">
      <c r="A193" t="str">
        <f>"039155781"</f>
        <v>039155781</v>
      </c>
      <c r="B193" t="str">
        <f t="shared" si="23"/>
        <v>060042306</v>
      </c>
      <c r="C193" t="str">
        <f t="shared" si="24"/>
        <v>ANTIBES-INRA-UMR R.O.S.E.</v>
      </c>
      <c r="D193" t="str">
        <f t="shared" si="25"/>
        <v>43.5661292</v>
      </c>
      <c r="E193" t="str">
        <f t="shared" si="26"/>
        <v>7.1249398</v>
      </c>
      <c r="F193" t="str">
        <f t="shared" si="27"/>
        <v>Nematology newsletter  [Texte imprimé]</v>
      </c>
      <c r="G193" t="str">
        <f t="shared" si="28"/>
        <v>Nematology newsletter</v>
      </c>
      <c r="H193" t="str">
        <f t="shared" si="29"/>
        <v>0199-817X</v>
      </c>
      <c r="I193" t="str">
        <f t="shared" si="30"/>
        <v>(1962) - (1964) ; (1965) - (1981) ; (1999)-....</v>
      </c>
    </row>
    <row r="194" spans="1:9" x14ac:dyDescent="0.25">
      <c r="A194" t="str">
        <f>"036279854"</f>
        <v>036279854</v>
      </c>
      <c r="B194" t="str">
        <f t="shared" si="23"/>
        <v>991385301</v>
      </c>
      <c r="C194" t="str">
        <f t="shared" si="24"/>
        <v>MONACO-Musée Océanographique</v>
      </c>
      <c r="D194" t="str">
        <f t="shared" si="25"/>
        <v>43.7310033</v>
      </c>
      <c r="E194" t="str">
        <f t="shared" si="26"/>
        <v>7.425491600000001</v>
      </c>
      <c r="F194" t="str">
        <f t="shared" si="27"/>
        <v>Horace Lamb centre for oceanographical research. Survey paper  [Texte imprimé]</v>
      </c>
      <c r="G194" t="str">
        <f t="shared" si="28"/>
        <v>Horace Lamb centre for oceanographical research. Survey paper</v>
      </c>
      <c r="H194" t="e">
        <f t="shared" si="29"/>
        <v>#VALUE!</v>
      </c>
      <c r="I194" t="str">
        <f t="shared" si="30"/>
        <v>(1971) - (1972)</v>
      </c>
    </row>
    <row r="195" spans="1:9" x14ac:dyDescent="0.25">
      <c r="A195" t="str">
        <f>"036319007"</f>
        <v>036319007</v>
      </c>
      <c r="B195" t="str">
        <f t="shared" ref="B195:B258" si="31">TEXT(_xlfn.FILTERXML(_xlfn.WEBSERVICE("http://www.sudoc.fr/services/multiwhere/"&amp;A195),"//query/result/library/rcr"),"000000000")</f>
        <v>991385301</v>
      </c>
      <c r="C195" t="str">
        <f t="shared" si="24"/>
        <v>MONACO-Musée Océanographique</v>
      </c>
      <c r="D195" t="str">
        <f t="shared" si="25"/>
        <v>43.7310033</v>
      </c>
      <c r="E195" t="str">
        <f t="shared" si="26"/>
        <v>7.425491600000001</v>
      </c>
      <c r="F195" t="str">
        <f t="shared" si="27"/>
        <v>The Lerner marine laboratory. Collected reprints</v>
      </c>
      <c r="G195" t="str">
        <f t="shared" si="28"/>
        <v>The Lerner marine laboratory. Collected reprints</v>
      </c>
      <c r="H195" t="e">
        <f t="shared" si="29"/>
        <v>#VALUE!</v>
      </c>
      <c r="I195" t="e">
        <f t="shared" si="30"/>
        <v>#VALUE!</v>
      </c>
    </row>
    <row r="196" spans="1:9" x14ac:dyDescent="0.25">
      <c r="A196" t="str">
        <f>"037948725"</f>
        <v>037948725</v>
      </c>
      <c r="B196" t="str">
        <f t="shared" si="31"/>
        <v>991386201</v>
      </c>
      <c r="C196" t="str">
        <f t="shared" si="24"/>
        <v>MONACO-Bibl.Louis Notari</v>
      </c>
      <c r="D196" t="str">
        <f t="shared" si="25"/>
        <v>43.7351319</v>
      </c>
      <c r="E196" t="str">
        <f t="shared" si="26"/>
        <v>7.420563100000001</v>
      </c>
      <c r="F196" t="str">
        <f t="shared" si="27"/>
        <v>Bulletin d'information de l'Association des parents d'élèves des écoles de Monaco  [Texte imprimé]</v>
      </c>
      <c r="G196" t="str">
        <f t="shared" si="28"/>
        <v>Bulletin d'information de l'Association des parents d'élèves des écoles de Monaco</v>
      </c>
      <c r="H196" t="str">
        <f t="shared" si="29"/>
        <v>1010-8580</v>
      </c>
      <c r="I196" t="str">
        <f t="shared" si="30"/>
        <v>vol. 1 (dec-1969) - vol. 22  (dec-1980)</v>
      </c>
    </row>
    <row r="197" spans="1:9" x14ac:dyDescent="0.25">
      <c r="A197" t="str">
        <f>"036363928"</f>
        <v>036363928</v>
      </c>
      <c r="B197" t="str">
        <f t="shared" si="31"/>
        <v>991385301</v>
      </c>
      <c r="C197" t="str">
        <f t="shared" si="24"/>
        <v>MONACO-Musée Océanographique</v>
      </c>
      <c r="D197" t="str">
        <f t="shared" si="25"/>
        <v>43.7310033</v>
      </c>
      <c r="E197" t="str">
        <f t="shared" si="26"/>
        <v>7.425491600000001</v>
      </c>
      <c r="F197" t="str">
        <f t="shared" si="27"/>
        <v>Review  [Texte imprimé]  / New Zealand Marine Sciences Society</v>
      </c>
      <c r="G197" t="str">
        <f t="shared" si="28"/>
        <v>Review</v>
      </c>
      <c r="H197" t="str">
        <f t="shared" si="29"/>
        <v>1170-8352</v>
      </c>
      <c r="I197" t="str">
        <f t="shared" si="30"/>
        <v>no. 33 (1991)-....</v>
      </c>
    </row>
    <row r="198" spans="1:9" x14ac:dyDescent="0.25">
      <c r="A198" t="str">
        <f>"037192159"</f>
        <v>037192159</v>
      </c>
      <c r="B198" t="str">
        <f t="shared" si="31"/>
        <v>991386201</v>
      </c>
      <c r="C198" t="str">
        <f t="shared" si="24"/>
        <v>MONACO-Bibl.Louis Notari</v>
      </c>
      <c r="D198" t="str">
        <f t="shared" si="25"/>
        <v>43.7351319</v>
      </c>
      <c r="E198" t="str">
        <f t="shared" si="26"/>
        <v>7.420563100000001</v>
      </c>
      <c r="F198" t="str">
        <f t="shared" si="27"/>
        <v>Cahier  [Texte imprimé]  / CEPAM</v>
      </c>
      <c r="G198" t="str">
        <f t="shared" si="28"/>
        <v>Cahier</v>
      </c>
      <c r="H198" t="str">
        <f t="shared" si="29"/>
        <v>0256-291X</v>
      </c>
      <c r="I198" t="str">
        <f t="shared" si="30"/>
        <v>no. 1 (1976) - no. 6  (1980)</v>
      </c>
    </row>
    <row r="199" spans="1:9" x14ac:dyDescent="0.25">
      <c r="A199" t="str">
        <f>"136212891"</f>
        <v>136212891</v>
      </c>
      <c r="B199" t="str">
        <f t="shared" si="31"/>
        <v>060885105</v>
      </c>
      <c r="C199" t="str">
        <f t="shared" si="24"/>
        <v>NICE-Bibl.Chevalier de Cessole</v>
      </c>
      <c r="D199" t="str">
        <f t="shared" si="25"/>
        <v>43.6956246</v>
      </c>
      <c r="E199" t="str">
        <f t="shared" si="26"/>
        <v>7.259380900000001</v>
      </c>
      <c r="F199" t="str">
        <f t="shared" si="27"/>
        <v>L'Avenir commercial des Alpes-Maritimes  [Texte imprimé]</v>
      </c>
      <c r="G199" t="str">
        <f t="shared" si="28"/>
        <v>L'Avenir commercial des Alpes-Maritimes</v>
      </c>
      <c r="H199" t="str">
        <f t="shared" si="29"/>
        <v>2121-3496</v>
      </c>
      <c r="I199" t="str">
        <f t="shared" si="30"/>
        <v>no. 231 (8-jun-1884)</v>
      </c>
    </row>
    <row r="200" spans="1:9" x14ac:dyDescent="0.25">
      <c r="A200" t="str">
        <f>"104804114"</f>
        <v>104804114</v>
      </c>
      <c r="B200" t="str">
        <f t="shared" si="31"/>
        <v>060845301</v>
      </c>
      <c r="C200" t="str">
        <f t="shared" si="24"/>
        <v>MOUANS SARTOUX-CRD Occitane</v>
      </c>
      <c r="D200" t="str">
        <f t="shared" si="25"/>
        <v>43.6188186</v>
      </c>
      <c r="E200" t="str">
        <f t="shared" si="26"/>
        <v>6.972011600000001</v>
      </c>
      <c r="F200" t="str">
        <f t="shared" si="27"/>
        <v>Butlletí  [Texte imprimé]</v>
      </c>
      <c r="G200" t="str">
        <f t="shared" si="28"/>
        <v>Butlletí</v>
      </c>
      <c r="H200" t="str">
        <f t="shared" si="29"/>
        <v>1885-3293</v>
      </c>
      <c r="I200" t="str">
        <f t="shared" si="30"/>
        <v>no. 99 (1988) - no. 100  (1988)</v>
      </c>
    </row>
    <row r="201" spans="1:9" x14ac:dyDescent="0.25">
      <c r="A201" t="str">
        <f>"039577287"</f>
        <v>039577287</v>
      </c>
      <c r="B201" t="str">
        <f t="shared" si="31"/>
        <v>991385301</v>
      </c>
      <c r="C201" t="str">
        <f t="shared" si="24"/>
        <v>MONACO-Musée Océanographique</v>
      </c>
      <c r="D201" t="str">
        <f t="shared" si="25"/>
        <v>43.7310033</v>
      </c>
      <c r="E201" t="str">
        <f t="shared" si="26"/>
        <v>7.425491600000001</v>
      </c>
      <c r="F201" t="str">
        <f t="shared" si="27"/>
        <v>Gekkan kansui  [Texte imprimé]</v>
      </c>
      <c r="G201" t="str">
        <f t="shared" si="28"/>
        <v>Gekkan kansui</v>
      </c>
      <c r="H201" t="str">
        <f t="shared" si="29"/>
        <v>0388-4600</v>
      </c>
      <c r="I201" t="str">
        <f t="shared" si="30"/>
        <v>no. 1 (1964) - no. 125  (1975) [lac.20%]</v>
      </c>
    </row>
    <row r="202" spans="1:9" x14ac:dyDescent="0.25">
      <c r="A202" t="str">
        <f>"039877027"</f>
        <v>039877027</v>
      </c>
      <c r="B202" t="str">
        <f t="shared" si="31"/>
        <v>991385301</v>
      </c>
      <c r="C202" t="str">
        <f t="shared" si="24"/>
        <v>MONACO-Musée Océanographique</v>
      </c>
      <c r="D202" t="str">
        <f t="shared" si="25"/>
        <v>43.7310033</v>
      </c>
      <c r="E202" t="str">
        <f t="shared" si="26"/>
        <v>7.425491600000001</v>
      </c>
      <c r="F202" t="str">
        <f t="shared" si="27"/>
        <v>Liste des acquisitions  [Texte imprimé]  / Anthropologie maritime</v>
      </c>
      <c r="G202" t="str">
        <f t="shared" si="28"/>
        <v>Liste des acquisitions</v>
      </c>
      <c r="H202" t="str">
        <f t="shared" si="29"/>
        <v>0997-1157</v>
      </c>
      <c r="I202" t="str">
        <f t="shared" si="30"/>
        <v>no. 86 (1986)-....</v>
      </c>
    </row>
    <row r="203" spans="1:9" x14ac:dyDescent="0.25">
      <c r="A203" t="str">
        <f>"03667334X"</f>
        <v>03667334X</v>
      </c>
      <c r="B203" t="str">
        <f t="shared" si="31"/>
        <v>991385201</v>
      </c>
      <c r="C203" t="str">
        <f t="shared" si="24"/>
        <v>MONACO-Jardin exotique</v>
      </c>
      <c r="D203" t="str">
        <f t="shared" si="25"/>
        <v>43.7310908</v>
      </c>
      <c r="E203" t="str">
        <f t="shared" si="26"/>
        <v>7.410747499999999</v>
      </c>
      <c r="F203" t="str">
        <f t="shared" si="27"/>
        <v>ASRAN  [Texte imprimé]</v>
      </c>
      <c r="G203" t="str">
        <f t="shared" si="28"/>
        <v>ASRAN</v>
      </c>
      <c r="H203" t="str">
        <f t="shared" si="29"/>
        <v>1321-2273</v>
      </c>
      <c r="I203" t="str">
        <f t="shared" si="30"/>
        <v>vol. 1 no. 1 (1990) - vol. 5  no. 4  (1995)</v>
      </c>
    </row>
    <row r="204" spans="1:9" x14ac:dyDescent="0.25">
      <c r="A204" t="str">
        <f>"038601044"</f>
        <v>038601044</v>
      </c>
      <c r="B204" t="str">
        <f t="shared" si="31"/>
        <v>991385201</v>
      </c>
      <c r="C204" t="str">
        <f t="shared" si="24"/>
        <v>MONACO-Jardin exotique</v>
      </c>
      <c r="D204" t="str">
        <f t="shared" si="25"/>
        <v>43.7310908</v>
      </c>
      <c r="E204" t="str">
        <f t="shared" si="26"/>
        <v>7.410747499999999</v>
      </c>
      <c r="F204" t="str">
        <f t="shared" si="27"/>
        <v>Fiche d'information et bulletin de liaison de l'AOEF  [Texte imprimé]</v>
      </c>
      <c r="G204" t="str">
        <f t="shared" si="28"/>
        <v>Fiche d'information et bulletin de liaison de l'AOEF</v>
      </c>
      <c r="H204" t="str">
        <f t="shared" si="29"/>
        <v>1155-598X</v>
      </c>
      <c r="I204" t="str">
        <f t="shared" si="30"/>
        <v>vol. 2 no. 1 (1986) - vol. 3  no. 4  (1987)</v>
      </c>
    </row>
    <row r="205" spans="1:9" x14ac:dyDescent="0.25">
      <c r="A205" t="str">
        <f>"038899574"</f>
        <v>038899574</v>
      </c>
      <c r="B205" t="str">
        <f t="shared" si="31"/>
        <v>991385301</v>
      </c>
      <c r="C205" t="str">
        <f t="shared" si="24"/>
        <v>MONACO-Musée Océanographique</v>
      </c>
      <c r="D205" t="str">
        <f t="shared" si="25"/>
        <v>43.7310033</v>
      </c>
      <c r="E205" t="str">
        <f t="shared" si="26"/>
        <v>7.425491600000001</v>
      </c>
      <c r="F205" t="str">
        <f t="shared" si="27"/>
        <v>Biology digest  [Texte imprimé]</v>
      </c>
      <c r="G205" t="str">
        <f t="shared" si="28"/>
        <v>Biology digest</v>
      </c>
      <c r="H205" t="str">
        <f t="shared" si="29"/>
        <v>0095-2958</v>
      </c>
      <c r="I205" t="str">
        <f t="shared" si="30"/>
        <v>vol. 9 no. 1 (1982) - vol. 13  no. 9  (1987)</v>
      </c>
    </row>
    <row r="206" spans="1:9" x14ac:dyDescent="0.25">
      <c r="A206" t="str">
        <f>"076007790"</f>
        <v>076007790</v>
      </c>
      <c r="B206" t="str">
        <f t="shared" si="31"/>
        <v>991385201</v>
      </c>
      <c r="C206" t="str">
        <f t="shared" si="24"/>
        <v>MONACO-Jardin exotique</v>
      </c>
      <c r="D206" t="str">
        <f t="shared" si="25"/>
        <v>43.7310908</v>
      </c>
      <c r="E206" t="str">
        <f t="shared" si="26"/>
        <v>7.410747499999999</v>
      </c>
      <c r="F206" t="str">
        <f t="shared" si="27"/>
        <v>Mammillaria  [Texte imprimé]</v>
      </c>
      <c r="G206" t="str">
        <f t="shared" si="28"/>
        <v>Mammillaria</v>
      </c>
      <c r="H206" t="str">
        <f t="shared" si="29"/>
        <v>1613-9941</v>
      </c>
      <c r="I206" t="str">
        <f t="shared" si="30"/>
        <v>vol. 24 no. 1 (2000)-....</v>
      </c>
    </row>
    <row r="207" spans="1:9" x14ac:dyDescent="0.25">
      <c r="A207" t="str">
        <f>"036299766"</f>
        <v>036299766</v>
      </c>
      <c r="B207" t="str">
        <f t="shared" si="31"/>
        <v>991385301</v>
      </c>
      <c r="C207" t="str">
        <f t="shared" si="24"/>
        <v>MONACO-Musée Océanographique</v>
      </c>
      <c r="D207" t="str">
        <f t="shared" si="25"/>
        <v>43.7310033</v>
      </c>
      <c r="E207" t="str">
        <f t="shared" si="26"/>
        <v>7.425491600000001</v>
      </c>
      <c r="F207" t="str">
        <f t="shared" si="27"/>
        <v>Istituto di fisica. Programma Oceanoboe. Nota tecnica.</v>
      </c>
      <c r="G207" t="str">
        <f t="shared" si="28"/>
        <v>Istituto di fisica. Programma Oceanoboe. Nota tecnica.</v>
      </c>
      <c r="H207" t="e">
        <f t="shared" si="29"/>
        <v>#VALUE!</v>
      </c>
      <c r="I207" t="str">
        <f t="shared" si="30"/>
        <v>(1970)-....</v>
      </c>
    </row>
    <row r="208" spans="1:9" x14ac:dyDescent="0.25">
      <c r="A208" t="str">
        <f>"036353736"</f>
        <v>036353736</v>
      </c>
      <c r="B208" t="str">
        <f t="shared" si="31"/>
        <v>991385301</v>
      </c>
      <c r="C208" t="str">
        <f t="shared" si="24"/>
        <v>MONACO-Musée Océanographique</v>
      </c>
      <c r="D208" t="str">
        <f t="shared" si="25"/>
        <v>43.7310033</v>
      </c>
      <c r="E208" t="str">
        <f t="shared" si="26"/>
        <v>7.425491600000001</v>
      </c>
      <c r="F208" t="str">
        <f t="shared" si="27"/>
        <v>National oceanographic instrumentation center. Tests in progress sheet</v>
      </c>
      <c r="G208" t="str">
        <f t="shared" si="28"/>
        <v>National oceanographic instrumentation center. Tests in progress sheet</v>
      </c>
      <c r="H208" t="e">
        <f t="shared" si="29"/>
        <v>#VALUE!</v>
      </c>
      <c r="I208" t="e">
        <f t="shared" si="30"/>
        <v>#VALUE!</v>
      </c>
    </row>
    <row r="209" spans="1:9" x14ac:dyDescent="0.25">
      <c r="A209" t="str">
        <f>"038739151"</f>
        <v>038739151</v>
      </c>
      <c r="B209" t="str">
        <f t="shared" si="31"/>
        <v>060845301</v>
      </c>
      <c r="C209" t="str">
        <f t="shared" si="24"/>
        <v>MOUANS SARTOUX-CRD Occitane</v>
      </c>
      <c r="D209" t="str">
        <f t="shared" si="25"/>
        <v>43.6188186</v>
      </c>
      <c r="E209" t="str">
        <f t="shared" si="26"/>
        <v>6.972011600000001</v>
      </c>
      <c r="F209" t="str">
        <f t="shared" si="27"/>
        <v>Almanach ardéchois  [Texte imprimé]</v>
      </c>
      <c r="G209" t="str">
        <f t="shared" si="28"/>
        <v>Almanach ardéchois</v>
      </c>
      <c r="H209" t="str">
        <f t="shared" si="29"/>
        <v>1244-7080</v>
      </c>
      <c r="I209" t="str">
        <f t="shared" si="30"/>
        <v>(1969) - (1970)</v>
      </c>
    </row>
    <row r="210" spans="1:9" x14ac:dyDescent="0.25">
      <c r="A210" t="str">
        <f>"039113655"</f>
        <v>039113655</v>
      </c>
      <c r="B210" t="str">
        <f t="shared" si="31"/>
        <v>831376201</v>
      </c>
      <c r="C210" t="str">
        <f t="shared" si="24"/>
        <v>TOULON-BM</v>
      </c>
      <c r="D210" t="str">
        <f t="shared" si="25"/>
        <v>43.0823215</v>
      </c>
      <c r="E210" t="str">
        <f t="shared" si="26"/>
        <v>5.920052699999999</v>
      </c>
      <c r="F210" t="str">
        <f t="shared" si="27"/>
        <v>L'Indicateur universel  [Texte imprimé]</v>
      </c>
      <c r="G210" t="str">
        <f t="shared" si="28"/>
        <v>L'Indicateur universel</v>
      </c>
      <c r="H210" t="e">
        <f t="shared" si="29"/>
        <v>#VALUE!</v>
      </c>
      <c r="I210">
        <f t="shared" si="30"/>
        <v>-1851</v>
      </c>
    </row>
    <row r="211" spans="1:9" x14ac:dyDescent="0.25">
      <c r="A211" t="str">
        <f>"039113809"</f>
        <v>039113809</v>
      </c>
      <c r="B211" t="str">
        <f t="shared" si="31"/>
        <v>060885101</v>
      </c>
      <c r="C211" t="str">
        <f t="shared" si="24"/>
        <v>NICE-Archives Municipales</v>
      </c>
      <c r="D211" t="str">
        <f t="shared" si="25"/>
        <v>43.68774699999999</v>
      </c>
      <c r="E211" t="str">
        <f t="shared" si="26"/>
        <v>7.235200000000001</v>
      </c>
      <c r="F211" t="str">
        <f t="shared" si="27"/>
        <v>La Nouvelle Nice  [Texte imprimé]</v>
      </c>
      <c r="G211" t="str">
        <f t="shared" si="28"/>
        <v>La Nouvelle Nice</v>
      </c>
      <c r="H211" t="str">
        <f t="shared" si="29"/>
        <v>2021-1163</v>
      </c>
      <c r="I211" t="str">
        <f t="shared" si="30"/>
        <v>no. 1 (avr-1932) - no. 2  (avr-1932)</v>
      </c>
    </row>
    <row r="212" spans="1:9" x14ac:dyDescent="0.25">
      <c r="A212" t="str">
        <f>"039113795"</f>
        <v>039113795</v>
      </c>
      <c r="B212" t="str">
        <f t="shared" si="31"/>
        <v>831376201</v>
      </c>
      <c r="C212" t="str">
        <f t="shared" si="24"/>
        <v>TOULON-BM</v>
      </c>
      <c r="D212" t="str">
        <f t="shared" si="25"/>
        <v>43.0823215</v>
      </c>
      <c r="E212" t="str">
        <f t="shared" si="26"/>
        <v>5.920052699999999</v>
      </c>
      <c r="F212" t="str">
        <f t="shared" si="27"/>
        <v>La Nouvelle législation française ou recueil des loix. Municipalités et assemblées administratives  [Texte imprimé]</v>
      </c>
      <c r="G212" t="str">
        <f t="shared" si="28"/>
        <v>La Nouvelle législation française ou recueil des loix. Municipalités et assemblées administratives</v>
      </c>
      <c r="H212" t="e">
        <f t="shared" si="29"/>
        <v>#VALUE!</v>
      </c>
      <c r="I212">
        <f t="shared" si="30"/>
        <v>-1790</v>
      </c>
    </row>
    <row r="213" spans="1:9" x14ac:dyDescent="0.25">
      <c r="A213" t="str">
        <f>"039874826"</f>
        <v>039874826</v>
      </c>
      <c r="B213" t="str">
        <f t="shared" si="31"/>
        <v>060885102</v>
      </c>
      <c r="C213" t="str">
        <f t="shared" si="24"/>
        <v>NICE-Archives Départementales</v>
      </c>
      <c r="D213" t="str">
        <f t="shared" si="25"/>
        <v>43.6877482</v>
      </c>
      <c r="E213" t="str">
        <f t="shared" si="26"/>
        <v>7.2113605</v>
      </c>
      <c r="F213" t="str">
        <f t="shared" si="27"/>
        <v>Statistiques  [Texte imprimé]  / Comité professionnel du pétrole. PBC</v>
      </c>
      <c r="G213" t="str">
        <f t="shared" si="28"/>
        <v>Statistiques</v>
      </c>
      <c r="H213" t="str">
        <f t="shared" si="29"/>
        <v>0996-4010</v>
      </c>
      <c r="I213" t="str">
        <f t="shared" si="30"/>
        <v>(1985)-....</v>
      </c>
    </row>
    <row r="214" spans="1:9" x14ac:dyDescent="0.25">
      <c r="A214" t="str">
        <f>"048887005"</f>
        <v>048887005</v>
      </c>
      <c r="B214" t="str">
        <f t="shared" si="31"/>
        <v>831375101</v>
      </c>
      <c r="C214" t="str">
        <f t="shared" si="24"/>
        <v>TOULON-Serv.Historique Marine</v>
      </c>
      <c r="D214" t="str">
        <f t="shared" si="25"/>
        <v>43.124228</v>
      </c>
      <c r="E214" t="str">
        <f t="shared" si="26"/>
        <v>5.928</v>
      </c>
      <c r="F214" t="str">
        <f t="shared" si="27"/>
        <v>Midi marine  [Texte imprimé]</v>
      </c>
      <c r="G214" t="str">
        <f t="shared" si="28"/>
        <v>Midi marine</v>
      </c>
      <c r="H214" t="str">
        <f t="shared" si="29"/>
        <v>0984-7502</v>
      </c>
      <c r="I214" t="str">
        <f t="shared" si="30"/>
        <v>(1975) - (1979)</v>
      </c>
    </row>
    <row r="215" spans="1:9" x14ac:dyDescent="0.25">
      <c r="A215" t="str">
        <f>"136620426"</f>
        <v>136620426</v>
      </c>
      <c r="B215" t="str">
        <f t="shared" si="31"/>
        <v>060885105</v>
      </c>
      <c r="C215" t="str">
        <f t="shared" si="24"/>
        <v>NICE-Bibl.Chevalier de Cessole</v>
      </c>
      <c r="D215" t="str">
        <f t="shared" si="25"/>
        <v>43.6956246</v>
      </c>
      <c r="E215" t="str">
        <f t="shared" si="26"/>
        <v>7.259380900000001</v>
      </c>
      <c r="F215" t="str">
        <f t="shared" si="27"/>
        <v>L'Économie franchiste  [Texte imprimé]</v>
      </c>
      <c r="G215" t="str">
        <f t="shared" si="28"/>
        <v>L'Économie franchiste</v>
      </c>
      <c r="H215" t="str">
        <f t="shared" si="29"/>
        <v>2127-0414</v>
      </c>
      <c r="I215" t="str">
        <f t="shared" si="30"/>
        <v>(1-jan-1938)</v>
      </c>
    </row>
    <row r="216" spans="1:9" x14ac:dyDescent="0.25">
      <c r="A216" t="str">
        <f>"040078167"</f>
        <v>040078167</v>
      </c>
      <c r="B216" t="str">
        <f t="shared" si="31"/>
        <v>061525404</v>
      </c>
      <c r="C216" t="str">
        <f t="shared" si="24"/>
        <v>SOPHIA/ANT.-Thales Und. Systems</v>
      </c>
      <c r="D216" t="e">
        <f t="shared" si="25"/>
        <v>#VALUE!</v>
      </c>
      <c r="E216" t="e">
        <f t="shared" si="26"/>
        <v>#VALUE!</v>
      </c>
      <c r="F216" t="str">
        <f t="shared" si="27"/>
        <v>International defence newsletter  [Texte imprimé]</v>
      </c>
      <c r="G216" t="str">
        <f t="shared" si="28"/>
        <v>International defence newsletter</v>
      </c>
      <c r="H216" t="str">
        <f t="shared" si="29"/>
        <v>0950-3714</v>
      </c>
      <c r="I216" t="str">
        <f t="shared" si="30"/>
        <v>(1987)-....</v>
      </c>
    </row>
    <row r="217" spans="1:9" x14ac:dyDescent="0.25">
      <c r="A217" t="str">
        <f>"14031475X"</f>
        <v>14031475X</v>
      </c>
      <c r="B217" t="str">
        <f t="shared" si="31"/>
        <v>060882303</v>
      </c>
      <c r="C217" t="str">
        <f t="shared" si="24"/>
        <v>NICE-Museum Hist.Naturelle</v>
      </c>
      <c r="D217" t="str">
        <f t="shared" si="25"/>
        <v>43.7017477</v>
      </c>
      <c r="E217" t="str">
        <f t="shared" si="26"/>
        <v>7.279483399999999</v>
      </c>
      <c r="F217" t="str">
        <f t="shared" si="27"/>
        <v>Wissenschaftliche Mitteilungen  [Texte imprimé]</v>
      </c>
      <c r="G217" t="str">
        <f t="shared" si="28"/>
        <v>Wissenschaftliche Mitteilungen</v>
      </c>
      <c r="H217" t="e">
        <f t="shared" si="29"/>
        <v>#VALUE!</v>
      </c>
      <c r="I217" t="str">
        <f t="shared" si="30"/>
        <v>vol. 25 (1988)</v>
      </c>
    </row>
    <row r="218" spans="1:9" x14ac:dyDescent="0.25">
      <c r="A218" t="str">
        <f>"036389862"</f>
        <v>036389862</v>
      </c>
      <c r="B218" t="str">
        <f t="shared" si="31"/>
        <v>991385301</v>
      </c>
      <c r="C218" t="str">
        <f t="shared" si="24"/>
        <v>MONACO-Musée Océanographique</v>
      </c>
      <c r="D218" t="str">
        <f t="shared" si="25"/>
        <v>43.7310033</v>
      </c>
      <c r="E218" t="str">
        <f t="shared" si="26"/>
        <v>7.425491600000001</v>
      </c>
      <c r="F218" t="str">
        <f t="shared" si="27"/>
        <v>Pubblicazioni dell'Istituto di biologia animale e della Stazione idrobiologica, Chioggia, dell'Università di Padova  [Texte imprimé]</v>
      </c>
      <c r="G218" t="str">
        <f t="shared" si="28"/>
        <v>Pubblicazioni dell'Istituto di biologia animale e della Stazione idrobiologica, Chioggia, dell'Università di Padova</v>
      </c>
      <c r="H218" t="e">
        <f t="shared" si="29"/>
        <v>#VALUE!</v>
      </c>
      <c r="I218" t="str">
        <f t="shared" si="30"/>
        <v>(1969)-....</v>
      </c>
    </row>
    <row r="219" spans="1:9" x14ac:dyDescent="0.25">
      <c r="A219" t="str">
        <f>"036225436"</f>
        <v>036225436</v>
      </c>
      <c r="B219" t="str">
        <f t="shared" si="31"/>
        <v>991385301</v>
      </c>
      <c r="C219" t="str">
        <f t="shared" si="24"/>
        <v>MONACO-Musée Océanographique</v>
      </c>
      <c r="D219" t="str">
        <f t="shared" si="25"/>
        <v>43.7310033</v>
      </c>
      <c r="E219" t="str">
        <f t="shared" si="26"/>
        <v>7.425491600000001</v>
      </c>
      <c r="F219" t="str">
        <f t="shared" si="27"/>
        <v>Summary of cruise  [Texte imprimé]  / Commonwealth scientific and industrial research organization. Division of fisheries and oceanography</v>
      </c>
      <c r="G219" t="str">
        <f t="shared" si="28"/>
        <v>Summary of cruise</v>
      </c>
      <c r="H219" t="e">
        <f t="shared" si="29"/>
        <v>#VALUE!</v>
      </c>
      <c r="I219" t="e">
        <f t="shared" si="30"/>
        <v>#VALUE!</v>
      </c>
    </row>
    <row r="220" spans="1:9" x14ac:dyDescent="0.25">
      <c r="A220" t="str">
        <f>"039074730"</f>
        <v>039074730</v>
      </c>
      <c r="B220" t="str">
        <f t="shared" si="31"/>
        <v>991385201</v>
      </c>
      <c r="C220" t="str">
        <f t="shared" si="24"/>
        <v>MONACO-Jardin exotique</v>
      </c>
      <c r="D220" t="str">
        <f t="shared" si="25"/>
        <v>43.7310908</v>
      </c>
      <c r="E220" t="str">
        <f t="shared" si="26"/>
        <v>7.410747499999999</v>
      </c>
      <c r="F220" t="str">
        <f t="shared" si="27"/>
        <v>International newsletter  [Texte imprimé]  / Sempervivum Society</v>
      </c>
      <c r="G220" t="str">
        <f t="shared" si="28"/>
        <v>International newsletter</v>
      </c>
      <c r="H220" t="str">
        <f t="shared" si="29"/>
        <v>0140-0304</v>
      </c>
      <c r="I220" t="str">
        <f t="shared" si="30"/>
        <v>no. 1 (1975) - vol. 7  no. 2  (1981)</v>
      </c>
    </row>
    <row r="221" spans="1:9" x14ac:dyDescent="0.25">
      <c r="A221" t="str">
        <f>"039140881"</f>
        <v>039140881</v>
      </c>
      <c r="B221" t="str">
        <f t="shared" si="31"/>
        <v>060692301</v>
      </c>
      <c r="C221" t="str">
        <f t="shared" si="24"/>
        <v>GRASSE-Musée Art/Hist Provence</v>
      </c>
      <c r="D221" t="str">
        <f t="shared" si="25"/>
        <v>43.65761759999999</v>
      </c>
      <c r="E221" t="str">
        <f t="shared" si="26"/>
        <v>6.9224541</v>
      </c>
      <c r="F221" t="str">
        <f t="shared" si="27"/>
        <v>Annuaire  [Texte imprimé]  / Cercle nautique de Cannes</v>
      </c>
      <c r="G221" t="str">
        <f t="shared" si="28"/>
        <v>Annuaire</v>
      </c>
      <c r="H221" t="str">
        <f t="shared" si="29"/>
        <v>2023-7359</v>
      </c>
      <c r="I221" t="str">
        <f t="shared" si="30"/>
        <v>(1905/06) - (1910/11)</v>
      </c>
    </row>
    <row r="222" spans="1:9" x14ac:dyDescent="0.25">
      <c r="A222" t="str">
        <f>"039313778"</f>
        <v>039313778</v>
      </c>
      <c r="B222" t="str">
        <f t="shared" si="31"/>
        <v>060884001</v>
      </c>
      <c r="C222" t="str">
        <f t="shared" si="24"/>
        <v>NICE-Lycée hôtelier P.Augier</v>
      </c>
      <c r="D222" t="str">
        <f t="shared" si="25"/>
        <v>43.668306</v>
      </c>
      <c r="E222" t="str">
        <f t="shared" si="26"/>
        <v>7.21230</v>
      </c>
      <c r="F222" t="str">
        <f t="shared" si="27"/>
        <v>TTG. Travel trade gazette. Europa  [Texte imprimé]</v>
      </c>
      <c r="G222" t="str">
        <f t="shared" si="28"/>
        <v>TTG. Travel trade gazette. Europa</v>
      </c>
      <c r="H222" t="str">
        <f t="shared" si="29"/>
        <v>0262-5709</v>
      </c>
      <c r="I222" t="str">
        <f t="shared" si="30"/>
        <v>(1996)-.... [non consultable] [Lacunes]</v>
      </c>
    </row>
    <row r="223" spans="1:9" x14ac:dyDescent="0.25">
      <c r="A223" t="str">
        <f>"055390862"</f>
        <v>055390862</v>
      </c>
      <c r="B223" t="str">
        <f t="shared" si="31"/>
        <v>060885101</v>
      </c>
      <c r="C223" t="str">
        <f t="shared" si="24"/>
        <v>NICE-Archives Municipales</v>
      </c>
      <c r="D223" t="str">
        <f t="shared" si="25"/>
        <v>43.68774699999999</v>
      </c>
      <c r="E223" t="str">
        <f t="shared" si="26"/>
        <v>7.235200000000001</v>
      </c>
      <c r="F223" t="str">
        <f t="shared" si="27"/>
        <v>Initiatives  [Texte imprimé]  : bulletin trimestriel du syndicat d'initiative de Nice</v>
      </c>
      <c r="G223" t="str">
        <f t="shared" si="28"/>
        <v>Initiatives</v>
      </c>
      <c r="H223" t="str">
        <f t="shared" si="29"/>
        <v>2021-149X</v>
      </c>
      <c r="I223" t="str">
        <f t="shared" si="30"/>
        <v>no. 3 (1956) - no. 6  (1957) [lac.n°4]</v>
      </c>
    </row>
    <row r="224" spans="1:9" x14ac:dyDescent="0.25">
      <c r="A224" t="str">
        <f>"192377558"</f>
        <v>192377558</v>
      </c>
      <c r="B224" t="str">
        <f t="shared" si="31"/>
        <v>060885215</v>
      </c>
      <c r="C224" t="str">
        <f t="shared" ref="C224:C287" si="32">_xlfn.FILTERXML(_xlfn.WEBSERVICE("http://www.sudoc.fr/services/multiwhere/"&amp;A224),"//query/result/library/shortname")</f>
        <v>NICE-Musée des Beaux-Arts</v>
      </c>
      <c r="D224" t="str">
        <f t="shared" ref="D224:D287" si="33">_xlfn.FILTERXML(_xlfn.WEBSERVICE("http://www.sudoc.fr/services/multiwhere/"&amp;A224),"//query/result/library/latitude")</f>
        <v>43.694748</v>
      </c>
      <c r="E224" t="str">
        <f t="shared" ref="E224:E287" si="34">_xlfn.FILTERXML(_xlfn.WEBSERVICE("http://www.sudoc.fr/services/multiwhere/"&amp;A224),"//query/result/library/longitude")</f>
        <v>7.2491359</v>
      </c>
      <c r="F224" t="str">
        <f t="shared" ref="F224:F287" si="35">_xlfn.FILTERXML(_xlfn.WEBSERVICE("http://www.sudoc.fr/"&amp;A224&amp;".rdf"),"//bibo:Periodical/dc:title")</f>
        <v>Le Miroir du livre d'art</v>
      </c>
      <c r="G224" t="str">
        <f t="shared" ref="G224:G287" si="36">_xlfn.FILTERXML(_xlfn.WEBSERVICE("http://www.sudoc.fr/"&amp;A224&amp;".abes"),"//datafield[@tag='200']/subfield[@code='a']")</f>
        <v>Le Miroir du livre d'art</v>
      </c>
      <c r="H224" t="e">
        <f t="shared" ref="H224:H287" si="37">_xlfn.FILTERXML(_xlfn.WEBSERVICE("http://www.sudoc.fr/"&amp;A224&amp;".abes"),"//datafield[@tag='011']/subfield[@code='a']")</f>
        <v>#VALUE!</v>
      </c>
      <c r="I224" t="str">
        <f t="shared" ref="I224:I287" si="38">_xlfn.FILTERXML(_xlfn.WEBSERVICE("http://www.sudoc.fr/"&amp;A224&amp;".abes"),"//datafield[@tag='955']/subfield[@code='r']")</f>
        <v>(jan-1926) - (mar-1927) [Lac. mai, juin, juillet, aout, septembre, octobre, décembre 1926 ; janvier, février 1927]</v>
      </c>
    </row>
    <row r="225" spans="1:9" x14ac:dyDescent="0.25">
      <c r="A225" t="str">
        <f>"05092172X"</f>
        <v>05092172X</v>
      </c>
      <c r="B225" t="str">
        <f t="shared" si="31"/>
        <v>831375101</v>
      </c>
      <c r="C225" t="str">
        <f t="shared" si="32"/>
        <v>TOULON-Serv.Historique Marine</v>
      </c>
      <c r="D225" t="str">
        <f t="shared" si="33"/>
        <v>43.124228</v>
      </c>
      <c r="E225" t="str">
        <f t="shared" si="34"/>
        <v>5.928</v>
      </c>
      <c r="F225" t="str">
        <f t="shared" si="35"/>
        <v>Bulletin trimestriel d'instruction  [Texte imprimé]  / CIRAM. Toulon</v>
      </c>
      <c r="G225" t="str">
        <f t="shared" si="36"/>
        <v>Bulletin trimestriel d'instruction</v>
      </c>
      <c r="H225" t="str">
        <f t="shared" si="37"/>
        <v>1624-558X</v>
      </c>
      <c r="I225" t="str">
        <f t="shared" si="38"/>
        <v>(1986) - (1987) ; (1990) - (1993) [lac.]</v>
      </c>
    </row>
    <row r="226" spans="1:9" x14ac:dyDescent="0.25">
      <c r="A226" t="str">
        <f>"114236194"</f>
        <v>114236194</v>
      </c>
      <c r="B226" t="str">
        <f t="shared" si="31"/>
        <v>060845301</v>
      </c>
      <c r="C226" t="str">
        <f t="shared" si="32"/>
        <v>MOUANS SARTOUX-CRD Occitane</v>
      </c>
      <c r="D226" t="str">
        <f t="shared" si="33"/>
        <v>43.6188186</v>
      </c>
      <c r="E226" t="str">
        <f t="shared" si="34"/>
        <v>6.972011600000001</v>
      </c>
      <c r="F226" t="str">
        <f t="shared" si="35"/>
        <v>L'Année félibréenne  [Texte imprimé]  : ... supplément du Catalogue félibréen et de la Bibliographie mistralienne  / par Edmond Lefèvre</v>
      </c>
      <c r="G226" t="str">
        <f t="shared" si="36"/>
        <v>L'Année félibréenne</v>
      </c>
      <c r="H226" t="str">
        <f t="shared" si="37"/>
        <v>2025-6582</v>
      </c>
      <c r="I226" t="str">
        <f t="shared" si="38"/>
        <v>no. 1 (1903)</v>
      </c>
    </row>
    <row r="227" spans="1:9" x14ac:dyDescent="0.25">
      <c r="A227" t="str">
        <f>"039741427"</f>
        <v>039741427</v>
      </c>
      <c r="B227" t="str">
        <f t="shared" si="31"/>
        <v>991385301</v>
      </c>
      <c r="C227" t="str">
        <f t="shared" si="32"/>
        <v>MONACO-Musée Océanographique</v>
      </c>
      <c r="D227" t="str">
        <f t="shared" si="33"/>
        <v>43.7310033</v>
      </c>
      <c r="E227" t="str">
        <f t="shared" si="34"/>
        <v>7.425491600000001</v>
      </c>
      <c r="F227" t="str">
        <f t="shared" si="35"/>
        <v>Larviculture &amp; artemia newsletter  [Texte imprimé]</v>
      </c>
      <c r="G227" t="str">
        <f t="shared" si="36"/>
        <v>Larviculture &amp; artemia newsletter</v>
      </c>
      <c r="H227" t="str">
        <f t="shared" si="37"/>
        <v>0779-1119</v>
      </c>
      <c r="I227" t="str">
        <f t="shared" si="38"/>
        <v>no. 15 (1990)-....</v>
      </c>
    </row>
    <row r="228" spans="1:9" x14ac:dyDescent="0.25">
      <c r="A228" t="str">
        <f>"158400186"</f>
        <v>158400186</v>
      </c>
      <c r="B228" t="str">
        <f t="shared" si="31"/>
        <v>991385201</v>
      </c>
      <c r="C228" t="str">
        <f t="shared" si="32"/>
        <v>MONACO-Jardin exotique</v>
      </c>
      <c r="D228" t="str">
        <f t="shared" si="33"/>
        <v>43.7310908</v>
      </c>
      <c r="E228" t="str">
        <f t="shared" si="34"/>
        <v>7.410747499999999</v>
      </c>
      <c r="F228" t="str">
        <f t="shared" si="35"/>
        <v>Bulletin Obregonia  [Texte imprimé]</v>
      </c>
      <c r="G228" t="str">
        <f t="shared" si="36"/>
        <v>Bulletin Obregonia</v>
      </c>
      <c r="H228" t="str">
        <f t="shared" si="37"/>
        <v>2256-7089</v>
      </c>
      <c r="I228" t="str">
        <f t="shared" si="38"/>
        <v>(2011)-....</v>
      </c>
    </row>
    <row r="229" spans="1:9" x14ac:dyDescent="0.25">
      <c r="A229" t="str">
        <f>"040035603"</f>
        <v>040035603</v>
      </c>
      <c r="B229" t="str">
        <f t="shared" si="31"/>
        <v>831376201</v>
      </c>
      <c r="C229" t="str">
        <f t="shared" si="32"/>
        <v>TOULON-BM</v>
      </c>
      <c r="D229" t="str">
        <f t="shared" si="33"/>
        <v>43.0823215</v>
      </c>
      <c r="E229" t="str">
        <f t="shared" si="34"/>
        <v>5.920052699999999</v>
      </c>
      <c r="F229" t="str">
        <f t="shared" si="35"/>
        <v>Toulon informations  [Texte imprimé]</v>
      </c>
      <c r="G229" t="str">
        <f t="shared" si="36"/>
        <v>Toulon informations</v>
      </c>
      <c r="H229" t="str">
        <f t="shared" si="37"/>
        <v>1169-9043</v>
      </c>
      <c r="I229" t="str">
        <f t="shared" si="38"/>
        <v>no. 1 (jul-1975) - no. 17  (dec-1976)</v>
      </c>
    </row>
    <row r="230" spans="1:9" x14ac:dyDescent="0.25">
      <c r="A230" t="str">
        <f>"044739869"</f>
        <v>044739869</v>
      </c>
      <c r="B230" t="str">
        <f t="shared" si="31"/>
        <v>991385201</v>
      </c>
      <c r="C230" t="str">
        <f t="shared" si="32"/>
        <v>MONACO-Jardin exotique</v>
      </c>
      <c r="D230" t="str">
        <f t="shared" si="33"/>
        <v>43.7310908</v>
      </c>
      <c r="E230" t="str">
        <f t="shared" si="34"/>
        <v>7.410747499999999</v>
      </c>
      <c r="F230" t="str">
        <f t="shared" si="35"/>
        <v>Mammillaria postscripts  [Texte imprimé]</v>
      </c>
      <c r="G230" t="str">
        <f t="shared" si="36"/>
        <v>Mammillaria postscripts</v>
      </c>
      <c r="H230" t="str">
        <f t="shared" si="37"/>
        <v>0958-160X</v>
      </c>
      <c r="I230" t="str">
        <f t="shared" si="38"/>
        <v>no. 1 (1989) - no. 3  (1991) ; no. 5 (1996) - no. 8  (1999)</v>
      </c>
    </row>
    <row r="231" spans="1:9" x14ac:dyDescent="0.25">
      <c r="A231" t="str">
        <f>"055385559"</f>
        <v>055385559</v>
      </c>
      <c r="B231" t="str">
        <f t="shared" si="31"/>
        <v>060885101</v>
      </c>
      <c r="C231" t="str">
        <f t="shared" si="32"/>
        <v>NICE-Archives Municipales</v>
      </c>
      <c r="D231" t="str">
        <f t="shared" si="33"/>
        <v>43.68774699999999</v>
      </c>
      <c r="E231" t="str">
        <f t="shared" si="34"/>
        <v>7.235200000000001</v>
      </c>
      <c r="F231" t="str">
        <f t="shared" si="35"/>
        <v>Le Patriote soir de Nice et du Sud-Est  [Texte imprimé]</v>
      </c>
      <c r="G231" t="str">
        <f t="shared" si="36"/>
        <v>Le Patriote soir de Nice et du Sud-Est</v>
      </c>
      <c r="H231" t="e">
        <f t="shared" si="37"/>
        <v>#VALUE!</v>
      </c>
      <c r="I231" t="str">
        <f t="shared" si="38"/>
        <v>no. 91 (13-dec-1945) - no. 238  (1946)</v>
      </c>
    </row>
    <row r="232" spans="1:9" x14ac:dyDescent="0.25">
      <c r="A232" t="str">
        <f>"03688345X"</f>
        <v>03688345X</v>
      </c>
      <c r="B232" t="str">
        <f t="shared" si="31"/>
        <v>061525404</v>
      </c>
      <c r="C232" t="str">
        <f t="shared" si="32"/>
        <v>SOPHIA/ANT.-Thales Und. Systems</v>
      </c>
      <c r="D232" t="e">
        <f t="shared" si="33"/>
        <v>#VALUE!</v>
      </c>
      <c r="E232" t="e">
        <f t="shared" si="34"/>
        <v>#VALUE!</v>
      </c>
      <c r="F232" t="str">
        <f t="shared" si="35"/>
        <v>Data book - Optoelectronics  [Texte imprimé]</v>
      </c>
      <c r="G232" t="str">
        <f t="shared" si="36"/>
        <v>Data book - Optoelectronics</v>
      </c>
      <c r="H232" t="e">
        <f t="shared" si="37"/>
        <v>#VALUE!</v>
      </c>
      <c r="I232" t="str">
        <f t="shared" si="38"/>
        <v>(1982) - (1990)</v>
      </c>
    </row>
    <row r="233" spans="1:9" x14ac:dyDescent="0.25">
      <c r="A233" t="str">
        <f>"036981710"</f>
        <v>036981710</v>
      </c>
      <c r="B233" t="str">
        <f t="shared" si="31"/>
        <v>061525404</v>
      </c>
      <c r="C233" t="str">
        <f t="shared" si="32"/>
        <v>SOPHIA/ANT.-Thales Und. Systems</v>
      </c>
      <c r="D233" t="e">
        <f t="shared" si="33"/>
        <v>#VALUE!</v>
      </c>
      <c r="E233" t="e">
        <f t="shared" si="34"/>
        <v>#VALUE!</v>
      </c>
      <c r="F233" t="str">
        <f t="shared" si="35"/>
        <v>Auszüge aus den europäischen Patentanmeldungen  Teil II, Elektrotechnik, Physik, Feinmechanik und Optik, Akustik  [Texte imprimé]</v>
      </c>
      <c r="G233" t="str">
        <f t="shared" si="36"/>
        <v>Auszüge aus den europäischen Patentanmeldungen</v>
      </c>
      <c r="H233" t="str">
        <f t="shared" si="37"/>
        <v>0177-963X</v>
      </c>
      <c r="I233" t="str">
        <f t="shared" si="38"/>
        <v>(1985) - (1992)</v>
      </c>
    </row>
    <row r="234" spans="1:9" x14ac:dyDescent="0.25">
      <c r="A234" t="str">
        <f>"039113213"</f>
        <v>039113213</v>
      </c>
      <c r="B234" t="str">
        <f t="shared" si="31"/>
        <v>831376201</v>
      </c>
      <c r="C234" t="str">
        <f t="shared" si="32"/>
        <v>TOULON-BM</v>
      </c>
      <c r="D234" t="str">
        <f t="shared" si="33"/>
        <v>43.0823215</v>
      </c>
      <c r="E234" t="str">
        <f t="shared" si="34"/>
        <v>5.920052699999999</v>
      </c>
      <c r="F234" t="str">
        <f t="shared" si="35"/>
        <v>L'Écho rouennais  [Texte imprimé]</v>
      </c>
      <c r="G234" t="str">
        <f t="shared" si="36"/>
        <v>L'Écho rouennais</v>
      </c>
      <c r="H234" t="str">
        <f t="shared" si="37"/>
        <v>2017-2877</v>
      </c>
      <c r="I234" t="str">
        <f t="shared" si="38"/>
        <v>no. 35 (1876) ; no. 38 (1876)</v>
      </c>
    </row>
    <row r="235" spans="1:9" x14ac:dyDescent="0.25">
      <c r="A235" t="str">
        <f>"04009832X"</f>
        <v>04009832X</v>
      </c>
      <c r="B235" t="str">
        <f t="shared" si="31"/>
        <v>991385301</v>
      </c>
      <c r="C235" t="str">
        <f t="shared" si="32"/>
        <v>MONACO-Musée Océanographique</v>
      </c>
      <c r="D235" t="str">
        <f t="shared" si="33"/>
        <v>43.7310033</v>
      </c>
      <c r="E235" t="str">
        <f t="shared" si="34"/>
        <v>7.425491600000001</v>
      </c>
      <c r="F235" t="str">
        <f t="shared" si="35"/>
        <v>Occasional publication  [Texte imprimé]  / University Marine Biological Station</v>
      </c>
      <c r="G235" t="str">
        <f t="shared" si="36"/>
        <v>Occasional publication</v>
      </c>
      <c r="H235" t="str">
        <f t="shared" si="37"/>
        <v>0963-4983</v>
      </c>
      <c r="I235" t="str">
        <f t="shared" si="38"/>
        <v>no. 1 (1984)-....</v>
      </c>
    </row>
    <row r="236" spans="1:9" x14ac:dyDescent="0.25">
      <c r="A236" t="str">
        <f>"058796827"</f>
        <v>058796827</v>
      </c>
      <c r="B236" t="str">
        <f t="shared" si="31"/>
        <v>060845301</v>
      </c>
      <c r="C236" t="str">
        <f t="shared" si="32"/>
        <v>MOUANS SARTOUX-CRD Occitane</v>
      </c>
      <c r="D236" t="str">
        <f t="shared" si="33"/>
        <v>43.6188186</v>
      </c>
      <c r="E236" t="str">
        <f t="shared" si="34"/>
        <v>6.972011600000001</v>
      </c>
      <c r="F236" t="str">
        <f t="shared" si="35"/>
        <v>Bollettino dell'Associazione fra oriundi savoiardi e nizzardi italiani  [Texte imprimé]</v>
      </c>
      <c r="G236" t="str">
        <f t="shared" si="36"/>
        <v>Bollettino dell'Associazione fra oriundi savoiardi e nizzardi italiani</v>
      </c>
      <c r="H236" t="str">
        <f t="shared" si="37"/>
        <v>1592-7105</v>
      </c>
      <c r="I236" t="str">
        <f t="shared" si="38"/>
        <v>(1914) ; (1919/20)</v>
      </c>
    </row>
    <row r="237" spans="1:9" x14ac:dyDescent="0.25">
      <c r="A237" t="str">
        <f>"039612929"</f>
        <v>039612929</v>
      </c>
      <c r="B237" t="str">
        <f t="shared" si="31"/>
        <v>991385301</v>
      </c>
      <c r="C237" t="str">
        <f t="shared" si="32"/>
        <v>MONACO-Musée Océanographique</v>
      </c>
      <c r="D237" t="str">
        <f t="shared" si="33"/>
        <v>43.7310033</v>
      </c>
      <c r="E237" t="str">
        <f t="shared" si="34"/>
        <v>7.425491600000001</v>
      </c>
      <c r="F237" t="str">
        <f t="shared" si="35"/>
        <v>Technical Report  [Texte imprimé]  / Chesapeake Bay Institute, the Johns Hopkins University</v>
      </c>
      <c r="G237" t="str">
        <f t="shared" si="36"/>
        <v>Technical Report</v>
      </c>
      <c r="H237" t="str">
        <f t="shared" si="37"/>
        <v>0449-0940</v>
      </c>
      <c r="I237" t="e">
        <f t="shared" si="38"/>
        <v>#VALUE!</v>
      </c>
    </row>
    <row r="238" spans="1:9" x14ac:dyDescent="0.25">
      <c r="A238" t="str">
        <f>"039409694"</f>
        <v>039409694</v>
      </c>
      <c r="B238" t="str">
        <f t="shared" si="31"/>
        <v>991385301</v>
      </c>
      <c r="C238" t="str">
        <f t="shared" si="32"/>
        <v>MONACO-Musée Océanographique</v>
      </c>
      <c r="D238" t="str">
        <f t="shared" si="33"/>
        <v>43.7310033</v>
      </c>
      <c r="E238" t="str">
        <f t="shared" si="34"/>
        <v>7.425491600000001</v>
      </c>
      <c r="F238" t="str">
        <f t="shared" si="35"/>
        <v>Reeflections  [Texte imprimé]</v>
      </c>
      <c r="G238" t="str">
        <f t="shared" si="36"/>
        <v>Reeflections</v>
      </c>
      <c r="H238" t="str">
        <f t="shared" si="37"/>
        <v>0314-6510</v>
      </c>
      <c r="I238" t="str">
        <f t="shared" si="38"/>
        <v>no. 21 (1988)-....</v>
      </c>
    </row>
    <row r="239" spans="1:9" x14ac:dyDescent="0.25">
      <c r="A239" t="str">
        <f>"039553566"</f>
        <v>039553566</v>
      </c>
      <c r="B239" t="str">
        <f t="shared" si="31"/>
        <v>060882301</v>
      </c>
      <c r="C239" t="str">
        <f t="shared" si="32"/>
        <v>NICE-C.Et.Biol.Océanographique</v>
      </c>
      <c r="D239" t="str">
        <f t="shared" si="33"/>
        <v>43.663739</v>
      </c>
      <c r="E239" t="str">
        <f t="shared" si="34"/>
        <v>7.14882</v>
      </c>
      <c r="F239" t="str">
        <f t="shared" si="35"/>
        <v>CYP. Revista de contaminación y prevención  [Texte imprimé]</v>
      </c>
      <c r="G239" t="str">
        <f t="shared" si="36"/>
        <v>CYP. Revista de contaminación y prevención</v>
      </c>
      <c r="H239" t="str">
        <f t="shared" si="37"/>
        <v>0378-1860</v>
      </c>
      <c r="I239" t="str">
        <f t="shared" si="38"/>
        <v>(1974) - (1979)</v>
      </c>
    </row>
    <row r="240" spans="1:9" x14ac:dyDescent="0.25">
      <c r="A240" t="str">
        <f>"040615820"</f>
        <v>040615820</v>
      </c>
      <c r="B240" t="str">
        <f t="shared" si="31"/>
        <v>991385301</v>
      </c>
      <c r="C240" t="str">
        <f t="shared" si="32"/>
        <v>MONACO-Musée Océanographique</v>
      </c>
      <c r="D240" t="str">
        <f t="shared" si="33"/>
        <v>43.7310033</v>
      </c>
      <c r="E240" t="str">
        <f t="shared" si="34"/>
        <v>7.425491600000001</v>
      </c>
      <c r="F240" t="str">
        <f t="shared" si="35"/>
        <v>Nouvelles acquisitions de la bibliothèque du Service historique de la marine à Vincennes  [Texte imprimé]</v>
      </c>
      <c r="G240" t="str">
        <f t="shared" si="36"/>
        <v>Nouvelles acquisitions de la bibliothèque du Service historique de la marine à Vincennes</v>
      </c>
      <c r="H240" t="e">
        <f t="shared" si="37"/>
        <v>#VALUE!</v>
      </c>
      <c r="I240" t="str">
        <f t="shared" si="38"/>
        <v>(1990)-.... = (1989)</v>
      </c>
    </row>
    <row r="241" spans="1:9" x14ac:dyDescent="0.25">
      <c r="A241" t="str">
        <f>"055053297"</f>
        <v>055053297</v>
      </c>
      <c r="B241" t="str">
        <f t="shared" si="31"/>
        <v>060885101</v>
      </c>
      <c r="C241" t="str">
        <f t="shared" si="32"/>
        <v>NICE-Archives Municipales</v>
      </c>
      <c r="D241" t="str">
        <f t="shared" si="33"/>
        <v>43.68774699999999</v>
      </c>
      <c r="E241" t="str">
        <f t="shared" si="34"/>
        <v>7.235200000000001</v>
      </c>
      <c r="F241" t="str">
        <f t="shared" si="35"/>
        <v>La Socca  [Texte imprimé]</v>
      </c>
      <c r="G241" t="str">
        <f t="shared" si="36"/>
        <v>La Socca</v>
      </c>
      <c r="H241" t="str">
        <f t="shared" si="37"/>
        <v>2138-147X</v>
      </c>
      <c r="I241" t="str">
        <f t="shared" si="38"/>
        <v>no. 9 (sep-1893)</v>
      </c>
    </row>
    <row r="242" spans="1:9" x14ac:dyDescent="0.25">
      <c r="A242" t="str">
        <f>"040137384"</f>
        <v>040137384</v>
      </c>
      <c r="B242" t="str">
        <f t="shared" si="31"/>
        <v>991386201</v>
      </c>
      <c r="C242" t="str">
        <f t="shared" si="32"/>
        <v>MONACO-Bibl.Louis Notari</v>
      </c>
      <c r="D242" t="str">
        <f t="shared" si="33"/>
        <v>43.7351319</v>
      </c>
      <c r="E242" t="str">
        <f t="shared" si="34"/>
        <v>7.420563100000001</v>
      </c>
      <c r="F242" t="str">
        <f t="shared" si="35"/>
        <v>Investors World  [Texte imprimé]</v>
      </c>
      <c r="G242" t="str">
        <f t="shared" si="36"/>
        <v>Investors World</v>
      </c>
      <c r="H242" t="str">
        <f t="shared" si="37"/>
        <v>1011-7229</v>
      </c>
      <c r="I242" t="str">
        <f t="shared" si="38"/>
        <v>vol. 1 (1987)-....</v>
      </c>
    </row>
    <row r="243" spans="1:9" x14ac:dyDescent="0.25">
      <c r="A243" t="str">
        <f>"040264424"</f>
        <v>040264424</v>
      </c>
      <c r="B243" t="str">
        <f t="shared" si="31"/>
        <v>991385301</v>
      </c>
      <c r="C243" t="str">
        <f t="shared" si="32"/>
        <v>MONACO-Musée Océanographique</v>
      </c>
      <c r="D243" t="str">
        <f t="shared" si="33"/>
        <v>43.7310033</v>
      </c>
      <c r="E243" t="str">
        <f t="shared" si="34"/>
        <v>7.425491600000001</v>
      </c>
      <c r="F243" t="str">
        <f t="shared" si="35"/>
        <v>SeaScope  [Texte imprimé]</v>
      </c>
      <c r="G243" t="str">
        <f t="shared" si="36"/>
        <v>SeaScope</v>
      </c>
      <c r="H243" t="str">
        <f t="shared" si="37"/>
        <v>1045-3520</v>
      </c>
      <c r="I243" t="str">
        <f t="shared" si="38"/>
        <v>vol. 1 (1984)-....</v>
      </c>
    </row>
    <row r="244" spans="1:9" x14ac:dyDescent="0.25">
      <c r="A244" t="str">
        <f>"140298444"</f>
        <v>140298444</v>
      </c>
      <c r="B244" t="str">
        <f t="shared" si="31"/>
        <v>060885105</v>
      </c>
      <c r="C244" t="str">
        <f t="shared" si="32"/>
        <v>NICE-Bibl.Chevalier de Cessole</v>
      </c>
      <c r="D244" t="str">
        <f t="shared" si="33"/>
        <v>43.6956246</v>
      </c>
      <c r="E244" t="str">
        <f t="shared" si="34"/>
        <v>7.259380900000001</v>
      </c>
      <c r="F244" t="str">
        <f t="shared" si="35"/>
        <v>La Vie élégante à Nice  [Texte imprimé]</v>
      </c>
      <c r="G244" t="str">
        <f t="shared" si="36"/>
        <v>La Vie élégante à Nice</v>
      </c>
      <c r="H244" t="str">
        <f t="shared" si="37"/>
        <v>2139-9417</v>
      </c>
      <c r="I244" t="str">
        <f t="shared" si="38"/>
        <v>no. 6 (13-fev-1885)</v>
      </c>
    </row>
    <row r="245" spans="1:9" x14ac:dyDescent="0.25">
      <c r="A245" t="str">
        <f>"036279811"</f>
        <v>036279811</v>
      </c>
      <c r="B245" t="str">
        <f t="shared" si="31"/>
        <v>991385301</v>
      </c>
      <c r="C245" t="str">
        <f t="shared" si="32"/>
        <v>MONACO-Musée Océanographique</v>
      </c>
      <c r="D245" t="str">
        <f t="shared" si="33"/>
        <v>43.7310033</v>
      </c>
      <c r="E245" t="str">
        <f t="shared" si="34"/>
        <v>7.425491600000001</v>
      </c>
      <c r="F245" t="str">
        <f t="shared" si="35"/>
        <v>Horace Lamb centre for oceanographical research. Annual report  [Texte imprimé]</v>
      </c>
      <c r="G245" t="str">
        <f t="shared" si="36"/>
        <v>Horace Lamb centre for oceanographical research. Annual report</v>
      </c>
      <c r="H245" t="e">
        <f t="shared" si="37"/>
        <v>#VALUE!</v>
      </c>
      <c r="I245" t="str">
        <f t="shared" si="38"/>
        <v>(1969) - (1971)</v>
      </c>
    </row>
    <row r="246" spans="1:9" x14ac:dyDescent="0.25">
      <c r="A246" t="str">
        <f>"037403575"</f>
        <v>037403575</v>
      </c>
      <c r="B246" t="str">
        <f t="shared" si="31"/>
        <v>060692301</v>
      </c>
      <c r="C246" t="str">
        <f t="shared" si="32"/>
        <v>GRASSE-Musée Art/Hist Provence</v>
      </c>
      <c r="D246" t="str">
        <f t="shared" si="33"/>
        <v>43.65761759999999</v>
      </c>
      <c r="E246" t="str">
        <f t="shared" si="34"/>
        <v>6.9224541</v>
      </c>
      <c r="F246" t="str">
        <f t="shared" si="35"/>
        <v>Indice per i beni culturali del territorio ligure  [Texte imprimé]</v>
      </c>
      <c r="G246" t="str">
        <f t="shared" si="36"/>
        <v>Indice per i beni culturali del territorio ligure</v>
      </c>
      <c r="H246" t="str">
        <f t="shared" si="37"/>
        <v>2584-8283</v>
      </c>
      <c r="I246" t="str">
        <f t="shared" si="38"/>
        <v>vol. 1 no. 1 (1976) - vol. 7  no. 34  (1982) [lac]</v>
      </c>
    </row>
    <row r="247" spans="1:9" x14ac:dyDescent="0.25">
      <c r="A247" t="str">
        <f>"038263408"</f>
        <v>038263408</v>
      </c>
      <c r="B247" t="str">
        <f t="shared" si="31"/>
        <v>991385301</v>
      </c>
      <c r="C247" t="str">
        <f t="shared" si="32"/>
        <v>MONACO-Musée Océanographique</v>
      </c>
      <c r="D247" t="str">
        <f t="shared" si="33"/>
        <v>43.7310033</v>
      </c>
      <c r="E247" t="str">
        <f t="shared" si="34"/>
        <v>7.425491600000001</v>
      </c>
      <c r="F247" t="str">
        <f t="shared" si="35"/>
        <v>Results of oceanographical observations  [Texte imprimé]</v>
      </c>
      <c r="G247" t="str">
        <f t="shared" si="36"/>
        <v>Results of oceanographical observations</v>
      </c>
      <c r="H247" t="str">
        <f t="shared" si="37"/>
        <v>1340-8437</v>
      </c>
      <c r="I247" t="str">
        <f t="shared" si="38"/>
        <v>no. 80 (1990) = (1988)</v>
      </c>
    </row>
    <row r="248" spans="1:9" x14ac:dyDescent="0.25">
      <c r="A248" t="str">
        <f>"048881910"</f>
        <v>048881910</v>
      </c>
      <c r="B248" t="str">
        <f t="shared" si="31"/>
        <v>831375101</v>
      </c>
      <c r="C248" t="str">
        <f t="shared" si="32"/>
        <v>TOULON-Serv.Historique Marine</v>
      </c>
      <c r="D248" t="str">
        <f t="shared" si="33"/>
        <v>43.124228</v>
      </c>
      <c r="E248" t="str">
        <f t="shared" si="34"/>
        <v>5.928</v>
      </c>
      <c r="F248" t="str">
        <f t="shared" si="35"/>
        <v>Les Annales maritimes  [Texte imprimé]</v>
      </c>
      <c r="G248" t="str">
        <f t="shared" si="36"/>
        <v>Les Annales maritimes</v>
      </c>
      <c r="H248" t="str">
        <f t="shared" si="37"/>
        <v>2020-4892</v>
      </c>
      <c r="I248" t="str">
        <f t="shared" si="38"/>
        <v>(1908) - (1938) [lac.]</v>
      </c>
    </row>
    <row r="249" spans="1:9" x14ac:dyDescent="0.25">
      <c r="A249" t="str">
        <f>"075842696"</f>
        <v>075842696</v>
      </c>
      <c r="B249" t="str">
        <f t="shared" si="31"/>
        <v>060885102</v>
      </c>
      <c r="C249" t="str">
        <f t="shared" si="32"/>
        <v>NICE-Archives Départementales</v>
      </c>
      <c r="D249" t="str">
        <f t="shared" si="33"/>
        <v>43.6877482</v>
      </c>
      <c r="E249" t="str">
        <f t="shared" si="34"/>
        <v>7.2113605</v>
      </c>
      <c r="F249" t="str">
        <f t="shared" si="35"/>
        <v>Recueil des actes administratifs du service départemental d'incendie et de secours des Alpes-Maritimes  [Texte imprimé]</v>
      </c>
      <c r="G249" t="str">
        <f t="shared" si="36"/>
        <v>Recueil des actes administratifs du service départemental d'incendie et de secours des Alpes-Maritimes</v>
      </c>
      <c r="H249" t="str">
        <f t="shared" si="37"/>
        <v>1811-8887</v>
      </c>
      <c r="I249" t="str">
        <f t="shared" si="38"/>
        <v>no. 2 (aou-1998)-....</v>
      </c>
    </row>
    <row r="250" spans="1:9" x14ac:dyDescent="0.25">
      <c r="A250" t="str">
        <f>"114248095"</f>
        <v>114248095</v>
      </c>
      <c r="B250" t="str">
        <f t="shared" si="31"/>
        <v>060845301</v>
      </c>
      <c r="C250" t="str">
        <f t="shared" si="32"/>
        <v>MOUANS SARTOUX-CRD Occitane</v>
      </c>
      <c r="D250" t="str">
        <f t="shared" si="33"/>
        <v>43.6188186</v>
      </c>
      <c r="E250" t="str">
        <f t="shared" si="34"/>
        <v>6.972011600000001</v>
      </c>
      <c r="F250" t="str">
        <f t="shared" si="35"/>
        <v>Actualités  [Texte imprimé]  : bulletin culturel d'information</v>
      </c>
      <c r="G250" t="str">
        <f t="shared" si="36"/>
        <v>Actualités</v>
      </c>
      <c r="H250" t="str">
        <f t="shared" si="37"/>
        <v>2025-6590</v>
      </c>
      <c r="I250" t="str">
        <f t="shared" si="38"/>
        <v>no. 29 (1981) - no. 31  (1981) ; no. 32 (1982) - no. 34  (1982) ; no. 35 (1983) - no. 36  (1983) ; no. 38 (1984) ; no. 40 (1984) ; no. 42 (1985) ; no. 62 (1994)</v>
      </c>
    </row>
    <row r="251" spans="1:9" x14ac:dyDescent="0.25">
      <c r="A251" t="str">
        <f>"037452606"</f>
        <v>037452606</v>
      </c>
      <c r="B251" t="str">
        <f t="shared" si="31"/>
        <v>991385201</v>
      </c>
      <c r="C251" t="str">
        <f t="shared" si="32"/>
        <v>MONACO-Jardin exotique</v>
      </c>
      <c r="D251" t="str">
        <f t="shared" si="33"/>
        <v>43.7310908</v>
      </c>
      <c r="E251" t="str">
        <f t="shared" si="34"/>
        <v>7.410747499999999</v>
      </c>
      <c r="F251" t="str">
        <f t="shared" si="35"/>
        <v>Quarterly newsletter  [Texte imprimé]  / Aloe, Cactus and Succulent Society of Rhodesia</v>
      </c>
      <c r="G251" t="str">
        <f t="shared" si="36"/>
        <v>Quarterly newsletter</v>
      </c>
      <c r="H251" t="str">
        <f t="shared" si="37"/>
        <v>0378-0686</v>
      </c>
      <c r="I251" t="str">
        <f t="shared" si="38"/>
        <v>no. 23 (1974) ; no. 27 (1975) ; no. 29 (1976) - no. 64  (1987)</v>
      </c>
    </row>
    <row r="252" spans="1:9" x14ac:dyDescent="0.25">
      <c r="A252" t="str">
        <f>"039113647"</f>
        <v>039113647</v>
      </c>
      <c r="B252" t="str">
        <f t="shared" si="31"/>
        <v>831376201</v>
      </c>
      <c r="C252" t="str">
        <f t="shared" si="32"/>
        <v>TOULON-BM</v>
      </c>
      <c r="D252" t="str">
        <f t="shared" si="33"/>
        <v>43.0823215</v>
      </c>
      <c r="E252" t="str">
        <f t="shared" si="34"/>
        <v>5.920052699999999</v>
      </c>
      <c r="F252" t="str">
        <f t="shared" si="35"/>
        <v>La Nouvelle législation française ou recueil des loix. Ordre judiciaire et police générale</v>
      </c>
      <c r="G252" t="str">
        <f t="shared" si="36"/>
        <v>La Nouvelle législation française ou recueil des loix. Ordre judiciaire et police générale</v>
      </c>
      <c r="H252" t="e">
        <f t="shared" si="37"/>
        <v>#VALUE!</v>
      </c>
      <c r="I252" t="str">
        <f t="shared" si="38"/>
        <v>(1790) ; (1791)</v>
      </c>
    </row>
    <row r="253" spans="1:9" x14ac:dyDescent="0.25">
      <c r="A253" t="str">
        <f>"039113582"</f>
        <v>039113582</v>
      </c>
      <c r="B253" t="str">
        <f t="shared" si="31"/>
        <v>831376201</v>
      </c>
      <c r="C253" t="str">
        <f t="shared" si="32"/>
        <v>TOULON-BM</v>
      </c>
      <c r="D253" t="str">
        <f t="shared" si="33"/>
        <v>43.0823215</v>
      </c>
      <c r="E253" t="str">
        <f t="shared" si="34"/>
        <v>5.920052699999999</v>
      </c>
      <c r="F253" t="str">
        <f t="shared" si="35"/>
        <v>1930  [Texte imprimé]</v>
      </c>
      <c r="G253">
        <f t="shared" si="36"/>
        <v>1930</v>
      </c>
      <c r="H253" t="e">
        <f t="shared" si="37"/>
        <v>#VALUE!</v>
      </c>
      <c r="I253" t="str">
        <f t="shared" si="38"/>
        <v>no. 6 (1930) - no. 9  (1930) [lac.n°7,1930]</v>
      </c>
    </row>
    <row r="254" spans="1:9" x14ac:dyDescent="0.25">
      <c r="A254" t="str">
        <f>"039118428"</f>
        <v>039118428</v>
      </c>
      <c r="B254" t="str">
        <f t="shared" si="31"/>
        <v>060885101</v>
      </c>
      <c r="C254" t="str">
        <f t="shared" si="32"/>
        <v>NICE-Archives Municipales</v>
      </c>
      <c r="D254" t="str">
        <f t="shared" si="33"/>
        <v>43.68774699999999</v>
      </c>
      <c r="E254" t="str">
        <f t="shared" si="34"/>
        <v>7.235200000000001</v>
      </c>
      <c r="F254" t="str">
        <f t="shared" si="35"/>
        <v>L'Union de Cannes et Grasse  [Texte imprimé]</v>
      </c>
      <c r="G254" t="str">
        <f t="shared" si="36"/>
        <v>L'Union de Cannes et Grasse</v>
      </c>
      <c r="H254" t="str">
        <f t="shared" si="37"/>
        <v>2021-1198</v>
      </c>
      <c r="I254" t="str">
        <f t="shared" si="38"/>
        <v>vol. 1 no. 1 (1868) - vol. 2  no. 57  (1869) [lac.5%]</v>
      </c>
    </row>
    <row r="255" spans="1:9" x14ac:dyDescent="0.25">
      <c r="A255" t="str">
        <f>"039584518"</f>
        <v>039584518</v>
      </c>
      <c r="B255" t="str">
        <f t="shared" si="31"/>
        <v>991385301</v>
      </c>
      <c r="C255" t="str">
        <f t="shared" si="32"/>
        <v>MONACO-Musée Océanographique</v>
      </c>
      <c r="D255" t="str">
        <f t="shared" si="33"/>
        <v>43.7310033</v>
      </c>
      <c r="E255" t="str">
        <f t="shared" si="34"/>
        <v>7.425491600000001</v>
      </c>
      <c r="F255" t="str">
        <f t="shared" si="35"/>
        <v>Acquario  [Texte imprimé]</v>
      </c>
      <c r="G255" t="str">
        <f t="shared" si="36"/>
        <v>Acquario</v>
      </c>
      <c r="H255" t="str">
        <f t="shared" si="37"/>
        <v>0391-593X</v>
      </c>
      <c r="I255" t="str">
        <f t="shared" si="38"/>
        <v>vol. 3 no. 1 (1981) - vol. 7  no. 12  (1985)</v>
      </c>
    </row>
    <row r="256" spans="1:9" x14ac:dyDescent="0.25">
      <c r="A256" t="str">
        <f>"036279870"</f>
        <v>036279870</v>
      </c>
      <c r="B256" t="str">
        <f t="shared" si="31"/>
        <v>991385301</v>
      </c>
      <c r="C256" t="str">
        <f t="shared" si="32"/>
        <v>MONACO-Musée Océanographique</v>
      </c>
      <c r="D256" t="str">
        <f t="shared" si="33"/>
        <v>43.7310033</v>
      </c>
      <c r="E256" t="str">
        <f t="shared" si="34"/>
        <v>7.425491600000001</v>
      </c>
      <c r="F256" t="str">
        <f t="shared" si="35"/>
        <v>Horace Lamb institute of oceanography  [Texte imprimé]</v>
      </c>
      <c r="G256" t="str">
        <f t="shared" si="36"/>
        <v>Horace Lamb institute of oceanography</v>
      </c>
      <c r="H256" t="e">
        <f t="shared" si="37"/>
        <v>#VALUE!</v>
      </c>
      <c r="I256" t="str">
        <f t="shared" si="38"/>
        <v>(1973) - (1975)</v>
      </c>
    </row>
    <row r="257" spans="1:9" x14ac:dyDescent="0.25">
      <c r="A257" t="str">
        <f>"036778508"</f>
        <v>036778508</v>
      </c>
      <c r="B257" t="str">
        <f t="shared" si="31"/>
        <v>991385201</v>
      </c>
      <c r="C257" t="str">
        <f t="shared" si="32"/>
        <v>MONACO-Jardin exotique</v>
      </c>
      <c r="D257" t="str">
        <f t="shared" si="33"/>
        <v>43.7310908</v>
      </c>
      <c r="E257" t="str">
        <f t="shared" si="34"/>
        <v>7.410747499999999</v>
      </c>
      <c r="F257" t="str">
        <f t="shared" si="35"/>
        <v>Cactaceae consensus initiatives  [Texte imprimé]</v>
      </c>
      <c r="G257" t="str">
        <f t="shared" si="36"/>
        <v>Cactaceae consensus initiatives</v>
      </c>
      <c r="H257" t="str">
        <f t="shared" si="37"/>
        <v>1365-778X</v>
      </c>
      <c r="I257" t="str">
        <f t="shared" si="38"/>
        <v>no. 1 (1996) - no. 8  (1999)</v>
      </c>
    </row>
    <row r="258" spans="1:9" x14ac:dyDescent="0.25">
      <c r="A258" t="str">
        <f>"038030691"</f>
        <v>038030691</v>
      </c>
      <c r="B258" t="str">
        <f t="shared" si="31"/>
        <v>991385301</v>
      </c>
      <c r="C258" t="str">
        <f t="shared" si="32"/>
        <v>MONACO-Musée Océanographique</v>
      </c>
      <c r="D258" t="str">
        <f t="shared" si="33"/>
        <v>43.7310033</v>
      </c>
      <c r="E258" t="str">
        <f t="shared" si="34"/>
        <v>7.425491600000001</v>
      </c>
      <c r="F258" t="str">
        <f t="shared" si="35"/>
        <v>U.S. GOFS report  [Texte imprimé]</v>
      </c>
      <c r="G258" t="str">
        <f t="shared" si="36"/>
        <v>U.S. GOFS report</v>
      </c>
      <c r="H258" t="str">
        <f t="shared" si="37"/>
        <v>1054-2051</v>
      </c>
      <c r="I258" t="str">
        <f t="shared" si="38"/>
        <v>no. 1 (1986)-....</v>
      </c>
    </row>
    <row r="259" spans="1:9" x14ac:dyDescent="0.25">
      <c r="A259" t="str">
        <f>"039804933"</f>
        <v>039804933</v>
      </c>
      <c r="B259" t="str">
        <f t="shared" ref="B259:B322" si="39">TEXT(_xlfn.FILTERXML(_xlfn.WEBSERVICE("http://www.sudoc.fr/services/multiwhere/"&amp;A259),"//query/result/library/rcr"),"000000000")</f>
        <v>991385301</v>
      </c>
      <c r="C259" t="str">
        <f t="shared" si="32"/>
        <v>MONACO-Musée Océanographique</v>
      </c>
      <c r="D259" t="str">
        <f t="shared" si="33"/>
        <v>43.7310033</v>
      </c>
      <c r="E259" t="str">
        <f t="shared" si="34"/>
        <v>7.425491600000001</v>
      </c>
      <c r="F259" t="str">
        <f t="shared" si="35"/>
        <v>Drum and croaker  [Texte imprimé]</v>
      </c>
      <c r="G259" t="str">
        <f t="shared" si="36"/>
        <v>Drum and croaker</v>
      </c>
      <c r="H259" t="str">
        <f t="shared" si="37"/>
        <v>0846-8680</v>
      </c>
      <c r="I259" t="str">
        <f t="shared" si="38"/>
        <v>vol. 68 no. 1 (1968)-....</v>
      </c>
    </row>
    <row r="260" spans="1:9" x14ac:dyDescent="0.25">
      <c r="A260" t="str">
        <f>"04504757X"</f>
        <v>04504757X</v>
      </c>
      <c r="B260" t="str">
        <f t="shared" si="39"/>
        <v>991385201</v>
      </c>
      <c r="C260" t="str">
        <f t="shared" si="32"/>
        <v>MONACO-Jardin exotique</v>
      </c>
      <c r="D260" t="str">
        <f t="shared" si="33"/>
        <v>43.7310908</v>
      </c>
      <c r="E260" t="str">
        <f t="shared" si="34"/>
        <v>7.410747499999999</v>
      </c>
      <c r="F260" t="str">
        <f t="shared" si="35"/>
        <v>Calyx  [Texte imprimé]</v>
      </c>
      <c r="G260" t="str">
        <f t="shared" si="36"/>
        <v>Calyx</v>
      </c>
      <c r="H260" t="e">
        <f t="shared" si="37"/>
        <v>#VALUE!</v>
      </c>
      <c r="I260" t="str">
        <f t="shared" si="38"/>
        <v>vol. 1 no. 1 (1992) - vol. 5  no. 4  (1997)</v>
      </c>
    </row>
    <row r="261" spans="1:9" x14ac:dyDescent="0.25">
      <c r="A261" t="str">
        <f>"039140547"</f>
        <v>039140547</v>
      </c>
      <c r="B261" t="str">
        <f t="shared" si="39"/>
        <v>060845301</v>
      </c>
      <c r="C261" t="str">
        <f t="shared" si="32"/>
        <v>MOUANS SARTOUX-CRD Occitane</v>
      </c>
      <c r="D261" t="str">
        <f t="shared" si="33"/>
        <v>43.6188186</v>
      </c>
      <c r="E261" t="str">
        <f t="shared" si="34"/>
        <v>6.972011600000001</v>
      </c>
      <c r="F261" t="str">
        <f t="shared" si="35"/>
        <v>Cave canem !  [Texte imprimé]</v>
      </c>
      <c r="G261" t="str">
        <f t="shared" si="36"/>
        <v>Cave canem !</v>
      </c>
      <c r="H261" t="str">
        <f t="shared" si="37"/>
        <v>2023-7340</v>
      </c>
      <c r="I261" t="str">
        <f t="shared" si="38"/>
        <v>no. 21 (1954)</v>
      </c>
    </row>
    <row r="262" spans="1:9" x14ac:dyDescent="0.25">
      <c r="A262" t="str">
        <f>"040198332"</f>
        <v>040198332</v>
      </c>
      <c r="B262" t="str">
        <f t="shared" si="39"/>
        <v>060692301</v>
      </c>
      <c r="C262" t="str">
        <f t="shared" si="32"/>
        <v>GRASSE-Musée Art/Hist Provence</v>
      </c>
      <c r="D262" t="str">
        <f t="shared" si="33"/>
        <v>43.65761759999999</v>
      </c>
      <c r="E262" t="str">
        <f t="shared" si="34"/>
        <v>6.9224541</v>
      </c>
      <c r="F262" t="str">
        <f t="shared" si="35"/>
        <v>Bulletin trimestriel  [Texte imprimé]  / Société scientifique et littéraire de Cannes et de l'arrondissement de Grasse</v>
      </c>
      <c r="G262" t="str">
        <f t="shared" si="36"/>
        <v>Bulletin trimestriel</v>
      </c>
      <c r="H262" t="str">
        <f t="shared" si="37"/>
        <v>1250-7156</v>
      </c>
      <c r="I262" t="str">
        <f t="shared" si="38"/>
        <v>no. 89 (1992)-....</v>
      </c>
    </row>
    <row r="263" spans="1:9" x14ac:dyDescent="0.25">
      <c r="A263" t="str">
        <f>"045116105"</f>
        <v>045116105</v>
      </c>
      <c r="B263" t="str">
        <f t="shared" si="39"/>
        <v>831376201</v>
      </c>
      <c r="C263" t="str">
        <f t="shared" si="32"/>
        <v>TOULON-BM</v>
      </c>
      <c r="D263" t="str">
        <f t="shared" si="33"/>
        <v>43.0823215</v>
      </c>
      <c r="E263" t="str">
        <f t="shared" si="34"/>
        <v>5.920052699999999</v>
      </c>
      <c r="F263" t="str">
        <f t="shared" si="35"/>
        <v>Nice-matin, le Var  [Texte imprimé]</v>
      </c>
      <c r="G263" t="str">
        <f t="shared" si="36"/>
        <v>Nice-matin, le Var</v>
      </c>
      <c r="H263" t="e">
        <f t="shared" si="37"/>
        <v>#VALUE!</v>
      </c>
      <c r="I263" t="str">
        <f t="shared" si="38"/>
        <v>(1987) - (1998)</v>
      </c>
    </row>
    <row r="264" spans="1:9" x14ac:dyDescent="0.25">
      <c r="A264" t="str">
        <f>"150867875"</f>
        <v>150867875</v>
      </c>
      <c r="B264" t="str">
        <f t="shared" si="39"/>
        <v>060885109</v>
      </c>
      <c r="C264" t="str">
        <f t="shared" si="32"/>
        <v>NICE-Théâtre Photo. et Image</v>
      </c>
      <c r="D264" t="str">
        <f t="shared" si="33"/>
        <v>43.6958659</v>
      </c>
      <c r="E264" t="str">
        <f t="shared" si="34"/>
        <v>7.274715499999957</v>
      </c>
      <c r="F264" t="str">
        <f t="shared" si="35"/>
        <v>International photography  [Texte imprimé]  / Professional photography division of Eastman Kodak Company</v>
      </c>
      <c r="G264" t="str">
        <f t="shared" si="36"/>
        <v>International photography</v>
      </c>
      <c r="H264" t="e">
        <f t="shared" si="37"/>
        <v>#VALUE!</v>
      </c>
      <c r="I264" t="str">
        <f t="shared" si="38"/>
        <v>no. 1 (1987) - no. 1  (1989)</v>
      </c>
    </row>
    <row r="265" spans="1:9" x14ac:dyDescent="0.25">
      <c r="A265" t="str">
        <f>"037483455"</f>
        <v>037483455</v>
      </c>
      <c r="B265" t="str">
        <f t="shared" si="39"/>
        <v>060886101</v>
      </c>
      <c r="C265" t="str">
        <f t="shared" si="32"/>
        <v>NICE- BMVR Louis Nucéra</v>
      </c>
      <c r="D265" t="str">
        <f t="shared" si="33"/>
        <v>43.7015650</v>
      </c>
      <c r="E265" t="str">
        <f t="shared" si="34"/>
        <v>7.2786247</v>
      </c>
      <c r="F265" t="str">
        <f t="shared" si="35"/>
        <v>Annuario ufficiale della Regia Marina  [Texte imprimé]</v>
      </c>
      <c r="G265" t="str">
        <f t="shared" si="36"/>
        <v>Annuario ufficiale della Regia Marina</v>
      </c>
      <c r="H265" t="str">
        <f t="shared" si="37"/>
        <v>0393-6198</v>
      </c>
      <c r="I265" t="str">
        <f t="shared" si="38"/>
        <v>(1888) - (1910) [lac.50%]</v>
      </c>
    </row>
    <row r="266" spans="1:9" x14ac:dyDescent="0.25">
      <c r="A266" t="str">
        <f>"039022927"</f>
        <v>039022927</v>
      </c>
      <c r="B266" t="str">
        <f t="shared" si="39"/>
        <v>060886101</v>
      </c>
      <c r="C266" t="str">
        <f t="shared" si="32"/>
        <v>NICE- BMVR Louis Nucéra</v>
      </c>
      <c r="D266" t="str">
        <f t="shared" si="33"/>
        <v>43.7015650</v>
      </c>
      <c r="E266" t="str">
        <f t="shared" si="34"/>
        <v>7.2786247</v>
      </c>
      <c r="F266" t="str">
        <f t="shared" si="35"/>
        <v>Cours et conférences  [Texte imprimé]  / Centre Universitaire Méditerranéen</v>
      </c>
      <c r="G266" t="str">
        <f t="shared" si="36"/>
        <v>Cours et conférences</v>
      </c>
      <c r="H266" t="str">
        <f t="shared" si="37"/>
        <v>2024-3308</v>
      </c>
      <c r="I266" t="str">
        <f t="shared" si="38"/>
        <v>(1935) - (1966) [lac.30%]</v>
      </c>
    </row>
    <row r="267" spans="1:9" x14ac:dyDescent="0.25">
      <c r="A267" t="str">
        <f>"140209689"</f>
        <v>140209689</v>
      </c>
      <c r="B267" t="str">
        <f t="shared" si="39"/>
        <v>060885105</v>
      </c>
      <c r="C267" t="str">
        <f t="shared" si="32"/>
        <v>NICE-Bibl.Chevalier de Cessole</v>
      </c>
      <c r="D267" t="str">
        <f t="shared" si="33"/>
        <v>43.6956246</v>
      </c>
      <c r="E267" t="str">
        <f t="shared" si="34"/>
        <v>7.259380900000001</v>
      </c>
      <c r="F267" t="str">
        <f t="shared" si="35"/>
        <v>La Saison  [Texte imprimé]</v>
      </c>
      <c r="G267" t="str">
        <f t="shared" si="36"/>
        <v>La Saison</v>
      </c>
      <c r="H267" t="str">
        <f t="shared" si="37"/>
        <v>2137-7146</v>
      </c>
      <c r="I267" t="str">
        <f t="shared" si="38"/>
        <v>no. 12 (26-nov-1871)</v>
      </c>
    </row>
    <row r="268" spans="1:9" x14ac:dyDescent="0.25">
      <c r="A268" t="str">
        <f>"037919415"</f>
        <v>037919415</v>
      </c>
      <c r="B268" t="str">
        <f t="shared" si="39"/>
        <v>991385201</v>
      </c>
      <c r="C268" t="str">
        <f t="shared" si="32"/>
        <v>MONACO-Jardin exotique</v>
      </c>
      <c r="D268" t="str">
        <f t="shared" si="33"/>
        <v>43.7310908</v>
      </c>
      <c r="E268" t="str">
        <f t="shared" si="34"/>
        <v>7.410747499999999</v>
      </c>
      <c r="F268" t="str">
        <f t="shared" si="35"/>
        <v>Cactus journal  [Texte imprimé]</v>
      </c>
      <c r="G268" t="str">
        <f t="shared" si="36"/>
        <v>Cactus journal</v>
      </c>
      <c r="H268" t="str">
        <f t="shared" si="37"/>
        <v>0950-7949</v>
      </c>
      <c r="I268" t="str">
        <f t="shared" si="38"/>
        <v>vol. 1 no. 1 (1932) - vol. 8  no. 2  (1939) [Johnson reprint corp.,1967]</v>
      </c>
    </row>
    <row r="269" spans="1:9" x14ac:dyDescent="0.25">
      <c r="A269" t="str">
        <f>"039114015"</f>
        <v>039114015</v>
      </c>
      <c r="B269" t="str">
        <f t="shared" si="39"/>
        <v>060885101</v>
      </c>
      <c r="C269" t="str">
        <f t="shared" si="32"/>
        <v>NICE-Archives Municipales</v>
      </c>
      <c r="D269" t="str">
        <f t="shared" si="33"/>
        <v>43.68774699999999</v>
      </c>
      <c r="E269" t="str">
        <f t="shared" si="34"/>
        <v>7.235200000000001</v>
      </c>
      <c r="F269" t="str">
        <f t="shared" si="35"/>
        <v>Le Patriote soir  [Texte imprimé]</v>
      </c>
      <c r="G269" t="str">
        <f t="shared" si="36"/>
        <v>Le Patriote soir</v>
      </c>
      <c r="H269" t="str">
        <f t="shared" si="37"/>
        <v>2021-118X</v>
      </c>
      <c r="I269" t="str">
        <f t="shared" si="38"/>
        <v>no. 1 (1945) - no. 90  (12-dec-1945)</v>
      </c>
    </row>
    <row r="270" spans="1:9" x14ac:dyDescent="0.25">
      <c r="A270" t="str">
        <f>"192162209"</f>
        <v>192162209</v>
      </c>
      <c r="B270" t="str">
        <f t="shared" si="39"/>
        <v>060885105</v>
      </c>
      <c r="C270" t="str">
        <f t="shared" si="32"/>
        <v>NICE-Bibl.Chevalier de Cessole</v>
      </c>
      <c r="D270" t="str">
        <f t="shared" si="33"/>
        <v>43.6956246</v>
      </c>
      <c r="E270" t="str">
        <f t="shared" si="34"/>
        <v>7.259380900000001</v>
      </c>
      <c r="F270" t="str">
        <f t="shared" si="35"/>
        <v>Il Mattino illustrato  [Texte imprimé]</v>
      </c>
      <c r="G270" t="str">
        <f t="shared" si="36"/>
        <v>Il Mattino illustrato</v>
      </c>
      <c r="H270" t="str">
        <f t="shared" si="37"/>
        <v>1592-3959</v>
      </c>
      <c r="I270" t="str">
        <f t="shared" si="38"/>
        <v>no. 43 (27-oct-1930) ; no. 23 (13-jun-1932)</v>
      </c>
    </row>
    <row r="271" spans="1:9" x14ac:dyDescent="0.25">
      <c r="A271" t="str">
        <f>"039354466"</f>
        <v>039354466</v>
      </c>
      <c r="B271" t="str">
        <f t="shared" si="39"/>
        <v>991385301</v>
      </c>
      <c r="C271" t="str">
        <f t="shared" si="32"/>
        <v>MONACO-Musée Océanographique</v>
      </c>
      <c r="D271" t="str">
        <f t="shared" si="33"/>
        <v>43.7310033</v>
      </c>
      <c r="E271" t="str">
        <f t="shared" si="34"/>
        <v>7.425491600000001</v>
      </c>
      <c r="F271" t="str">
        <f t="shared" si="35"/>
        <v>Kumamoto Daigaku Rigakubu Fuzoku Aitsu Rinkai Jikkenjo gyōsekishū  [Texte imprimé]</v>
      </c>
      <c r="G271" t="str">
        <f t="shared" si="36"/>
        <v>Kumamoto Daigaku Rigakubu Fuzoku Aitsu Rinkai Jikkenjo gyōsekishū</v>
      </c>
      <c r="H271" t="str">
        <f t="shared" si="37"/>
        <v>0288-6235</v>
      </c>
      <c r="I271" t="str">
        <f t="shared" si="38"/>
        <v>(1968)-....</v>
      </c>
    </row>
    <row r="272" spans="1:9" x14ac:dyDescent="0.25">
      <c r="A272" t="str">
        <f>"045047081"</f>
        <v>045047081</v>
      </c>
      <c r="B272" t="str">
        <f t="shared" si="39"/>
        <v>991385201</v>
      </c>
      <c r="C272" t="str">
        <f t="shared" si="32"/>
        <v>MONACO-Jardin exotique</v>
      </c>
      <c r="D272" t="str">
        <f t="shared" si="33"/>
        <v>43.7310908</v>
      </c>
      <c r="E272" t="str">
        <f t="shared" si="34"/>
        <v>7.410747499999999</v>
      </c>
      <c r="F272" t="str">
        <f t="shared" si="35"/>
        <v>Avonia  [Texte imprimé]  : Journal der Fachgesellschaft andere Sukkulenten</v>
      </c>
      <c r="G272" t="str">
        <f t="shared" si="36"/>
        <v>Avonia</v>
      </c>
      <c r="H272" t="str">
        <f t="shared" si="37"/>
        <v>1615-0805</v>
      </c>
      <c r="I272" t="str">
        <f t="shared" si="38"/>
        <v>vol. 16 no. 1 (1998)-....</v>
      </c>
    </row>
    <row r="273" spans="1:9" x14ac:dyDescent="0.25">
      <c r="A273" t="str">
        <f>"036165352"</f>
        <v>036165352</v>
      </c>
      <c r="B273" t="str">
        <f t="shared" si="39"/>
        <v>060882303</v>
      </c>
      <c r="C273" t="str">
        <f t="shared" si="32"/>
        <v>NICE-Museum Hist.Naturelle</v>
      </c>
      <c r="D273" t="str">
        <f t="shared" si="33"/>
        <v>43.7017477</v>
      </c>
      <c r="E273" t="str">
        <f t="shared" si="34"/>
        <v>7.279483399999999</v>
      </c>
      <c r="F273" t="str">
        <f t="shared" si="35"/>
        <v>Alba  [Texte imprimé]</v>
      </c>
      <c r="G273" t="str">
        <f t="shared" si="36"/>
        <v>Alba</v>
      </c>
      <c r="H273" t="str">
        <f t="shared" si="37"/>
        <v>0002-4627</v>
      </c>
      <c r="I273" t="str">
        <f t="shared" si="38"/>
        <v>vol. 17 (1949) - vol. 36  (1968) ; vol. 53 (1985) - vol. 60  (1992) [lac.5%]</v>
      </c>
    </row>
    <row r="274" spans="1:9" x14ac:dyDescent="0.25">
      <c r="A274" t="str">
        <f>"037584820"</f>
        <v>037584820</v>
      </c>
      <c r="B274" t="str">
        <f t="shared" si="39"/>
        <v>991385301</v>
      </c>
      <c r="C274" t="str">
        <f t="shared" si="32"/>
        <v>MONACO-Musée Océanographique</v>
      </c>
      <c r="D274" t="str">
        <f t="shared" si="33"/>
        <v>43.7310033</v>
      </c>
      <c r="E274" t="str">
        <f t="shared" si="34"/>
        <v>7.425491600000001</v>
      </c>
      <c r="F274" t="e">
        <f t="shared" si="35"/>
        <v>#VALUE!</v>
      </c>
      <c r="G274" t="str">
        <f t="shared" si="36"/>
        <v>Paper</v>
      </c>
      <c r="H274" t="str">
        <f t="shared" si="37"/>
        <v>0590-9406</v>
      </c>
      <c r="I274" t="e">
        <f t="shared" si="38"/>
        <v>#VALUE!</v>
      </c>
    </row>
    <row r="275" spans="1:9" x14ac:dyDescent="0.25">
      <c r="A275" t="str">
        <f>"037823892"</f>
        <v>037823892</v>
      </c>
      <c r="B275" t="str">
        <f t="shared" si="39"/>
        <v>991385201</v>
      </c>
      <c r="C275" t="str">
        <f t="shared" si="32"/>
        <v>MONACO-Jardin exotique</v>
      </c>
      <c r="D275" t="str">
        <f t="shared" si="33"/>
        <v>43.7310908</v>
      </c>
      <c r="E275" t="str">
        <f t="shared" si="34"/>
        <v>7.410747499999999</v>
      </c>
      <c r="F275" t="str">
        <f t="shared" si="35"/>
        <v>Desert plant life  [Texte imprimé]</v>
      </c>
      <c r="G275" t="str">
        <f t="shared" si="36"/>
        <v>Desert plant life</v>
      </c>
      <c r="H275" t="str">
        <f t="shared" si="37"/>
        <v>0891-4907</v>
      </c>
      <c r="I275" t="str">
        <f t="shared" si="38"/>
        <v>vol. 19 no. 1 (1947) - vol. 20  no. 10  (1948) ; vol. 21 no. 3 (1949)</v>
      </c>
    </row>
    <row r="276" spans="1:9" x14ac:dyDescent="0.25">
      <c r="A276" t="str">
        <f>"039741923"</f>
        <v>039741923</v>
      </c>
      <c r="B276" t="str">
        <f t="shared" si="39"/>
        <v>991385201</v>
      </c>
      <c r="C276" t="str">
        <f t="shared" si="32"/>
        <v>MONACO-Jardin exotique</v>
      </c>
      <c r="D276" t="str">
        <f t="shared" si="33"/>
        <v>43.7310908</v>
      </c>
      <c r="E276" t="str">
        <f t="shared" si="34"/>
        <v>7.410747499999999</v>
      </c>
      <c r="F276" t="str">
        <f t="shared" si="35"/>
        <v>Tijdschrift voor liefhebbers van cactussen, vetplanten en kamerplanten  [Texte imprimé]</v>
      </c>
      <c r="G276" t="str">
        <f t="shared" si="36"/>
        <v>Tijdschrift voor liefhebbers van cactussen, vetplanten en kamerplanten</v>
      </c>
      <c r="H276" t="str">
        <f t="shared" si="37"/>
        <v>0779-4533</v>
      </c>
      <c r="I276" t="str">
        <f t="shared" si="38"/>
        <v>vol. 6 no. 1 (1993) - vol. 10  no. 11  (1997)</v>
      </c>
    </row>
    <row r="277" spans="1:9" x14ac:dyDescent="0.25">
      <c r="A277" t="str">
        <f>"104839848"</f>
        <v>104839848</v>
      </c>
      <c r="B277" t="str">
        <f t="shared" si="39"/>
        <v>060296201</v>
      </c>
      <c r="C277" t="str">
        <f t="shared" si="32"/>
        <v>CANNES-Médiathèque municipal</v>
      </c>
      <c r="D277" t="str">
        <f t="shared" si="33"/>
        <v>43.5508621</v>
      </c>
      <c r="E277" t="str">
        <f t="shared" si="34"/>
        <v>7.0033444</v>
      </c>
      <c r="F277" t="str">
        <f t="shared" si="35"/>
        <v>Riviera-Bijou  [Texte imprimé]  : Guide annuel illustré décrivant les stations de la Côte d'Azur...</v>
      </c>
      <c r="G277" t="str">
        <f t="shared" si="36"/>
        <v>Riviera-Bijou</v>
      </c>
      <c r="H277" t="e">
        <f t="shared" si="37"/>
        <v>#VALUE!</v>
      </c>
      <c r="I277" t="str">
        <f t="shared" si="38"/>
        <v>(1910) - (1914) [Lac : 1913]</v>
      </c>
    </row>
    <row r="278" spans="1:9" x14ac:dyDescent="0.25">
      <c r="A278" t="str">
        <f>"038378345"</f>
        <v>038378345</v>
      </c>
      <c r="B278" t="str">
        <f t="shared" si="39"/>
        <v>991385201</v>
      </c>
      <c r="C278" t="str">
        <f t="shared" si="32"/>
        <v>MONACO-Jardin exotique</v>
      </c>
      <c r="D278" t="str">
        <f t="shared" si="33"/>
        <v>43.7310908</v>
      </c>
      <c r="E278" t="str">
        <f t="shared" si="34"/>
        <v>7.410747499999999</v>
      </c>
      <c r="F278" t="str">
        <f t="shared" si="35"/>
        <v>Gekkan kakutasu kenkyū  [Texte imprimé]  = The Study of cacti :</v>
      </c>
      <c r="G278" t="str">
        <f t="shared" si="36"/>
        <v>Gekkan kakutasu kenkyū</v>
      </c>
      <c r="H278" t="e">
        <f t="shared" si="37"/>
        <v>#VALUE!</v>
      </c>
      <c r="I278" t="str">
        <f t="shared" si="38"/>
        <v>vol. 2 no. 9 (1956) - vol. 5  no. 1  (1959) ; no. 46 (1965) - no. 51  (1965) ; no. 54 (1966) [lac.30%(1956-1959)]</v>
      </c>
    </row>
    <row r="279" spans="1:9" x14ac:dyDescent="0.25">
      <c r="A279" t="str">
        <f>"039732304"</f>
        <v>039732304</v>
      </c>
      <c r="B279" t="str">
        <f t="shared" si="39"/>
        <v>991385201</v>
      </c>
      <c r="C279" t="str">
        <f t="shared" si="32"/>
        <v>MONACO-Jardin exotique</v>
      </c>
      <c r="D279" t="str">
        <f t="shared" si="33"/>
        <v>43.7310908</v>
      </c>
      <c r="E279" t="str">
        <f t="shared" si="34"/>
        <v>7.410747499999999</v>
      </c>
      <c r="F279" t="str">
        <f t="shared" si="35"/>
        <v>Cactusvrienden  [Texte imprimé]</v>
      </c>
      <c r="G279" t="str">
        <f t="shared" si="36"/>
        <v>Cactusvrienden</v>
      </c>
      <c r="H279" t="str">
        <f t="shared" si="37"/>
        <v>0774-6261</v>
      </c>
      <c r="I279" t="str">
        <f t="shared" si="38"/>
        <v>vol. 17 no. 1 (1977) - vol. 27  no. 12  (1987)</v>
      </c>
    </row>
    <row r="280" spans="1:9" x14ac:dyDescent="0.25">
      <c r="A280" t="str">
        <f>"036988227"</f>
        <v>036988227</v>
      </c>
      <c r="B280" t="str">
        <f t="shared" si="39"/>
        <v>991385201</v>
      </c>
      <c r="C280" t="str">
        <f t="shared" si="32"/>
        <v>MONACO-Jardin exotique</v>
      </c>
      <c r="D280" t="str">
        <f t="shared" si="33"/>
        <v>43.7310908</v>
      </c>
      <c r="E280" t="str">
        <f t="shared" si="34"/>
        <v>7.410747499999999</v>
      </c>
      <c r="F280" t="str">
        <f t="shared" si="35"/>
        <v>Boletin nakari  [Texte imprimé]</v>
      </c>
      <c r="G280" t="str">
        <f t="shared" si="36"/>
        <v>Boletin nakari</v>
      </c>
      <c r="H280" t="str">
        <f t="shared" si="37"/>
        <v>1405-1613</v>
      </c>
      <c r="I280" t="str">
        <f t="shared" si="38"/>
        <v>vol. 9 no. 3 (1998) ; vol. 11 no. 2 (2000) - vol. 12  no. 1  (2001) ; vol. 13 no. 1 (2002) - vol. 13  no. 2  (2002)</v>
      </c>
    </row>
    <row r="281" spans="1:9" x14ac:dyDescent="0.25">
      <c r="A281" t="str">
        <f>"048779385"</f>
        <v>048779385</v>
      </c>
      <c r="B281" t="str">
        <f t="shared" si="39"/>
        <v>061522308</v>
      </c>
      <c r="C281" t="str">
        <f t="shared" si="32"/>
        <v>SOPHIA/ANT.-Doc.Institut Eurecom</v>
      </c>
      <c r="D281" t="e">
        <f t="shared" si="33"/>
        <v>#VALUE!</v>
      </c>
      <c r="E281" t="e">
        <f t="shared" si="34"/>
        <v>#VALUE!</v>
      </c>
      <c r="F281" t="str">
        <f t="shared" si="35"/>
        <v>Computer &amp; communications security reviews  [Texte imprimé]</v>
      </c>
      <c r="G281" t="str">
        <f t="shared" si="36"/>
        <v>Computer &amp; communications security reviews</v>
      </c>
      <c r="H281" t="str">
        <f t="shared" si="37"/>
        <v>1352-6278</v>
      </c>
      <c r="I281" t="str">
        <f t="shared" si="38"/>
        <v>vol. 6 no. 4 (dec-1997) - (1999)</v>
      </c>
    </row>
    <row r="282" spans="1:9" x14ac:dyDescent="0.25">
      <c r="A282" t="str">
        <f>"14065965X"</f>
        <v>14065965X</v>
      </c>
      <c r="B282" t="str">
        <f t="shared" si="39"/>
        <v>060885105</v>
      </c>
      <c r="C282" t="str">
        <f t="shared" si="32"/>
        <v>NICE-Bibl.Chevalier de Cessole</v>
      </c>
      <c r="D282" t="str">
        <f t="shared" si="33"/>
        <v>43.6956246</v>
      </c>
      <c r="E282" t="str">
        <f t="shared" si="34"/>
        <v>7.259380900000001</v>
      </c>
      <c r="F282" t="str">
        <f t="shared" si="35"/>
        <v>Le Réveil de la montagne  [Texte imprimé]</v>
      </c>
      <c r="G282" t="str">
        <f t="shared" si="36"/>
        <v>Le Réveil de la montagne</v>
      </c>
      <c r="H282" t="str">
        <f t="shared" si="37"/>
        <v>2136-8309</v>
      </c>
      <c r="I282" t="str">
        <f t="shared" si="38"/>
        <v>no. 3 (24-jul-1893) - no. 52  (14-jan-1894) ; no. 61 (18-mar-1894) - no. 281  (3-mai-1898) [lacunes]</v>
      </c>
    </row>
    <row r="283" spans="1:9" x14ac:dyDescent="0.25">
      <c r="A283" t="str">
        <f>"037984926"</f>
        <v>037984926</v>
      </c>
      <c r="B283" t="str">
        <f t="shared" si="39"/>
        <v>991385201</v>
      </c>
      <c r="C283" t="str">
        <f t="shared" si="32"/>
        <v>MONACO-Jardin exotique</v>
      </c>
      <c r="D283" t="str">
        <f t="shared" si="33"/>
        <v>43.7310908</v>
      </c>
      <c r="E283" t="str">
        <f t="shared" si="34"/>
        <v>7.410747499999999</v>
      </c>
      <c r="F283" t="str">
        <f t="shared" si="35"/>
        <v>Monaco-cactus  [Texte imprimé]</v>
      </c>
      <c r="G283" t="str">
        <f t="shared" si="36"/>
        <v>Monaco-cactus</v>
      </c>
      <c r="H283" t="str">
        <f t="shared" si="37"/>
        <v>1022-3649</v>
      </c>
      <c r="I283" t="str">
        <f t="shared" si="38"/>
        <v>vol. 1 no. 1 (1938) - vol. 2  no. 2  (1939)</v>
      </c>
    </row>
    <row r="284" spans="1:9" x14ac:dyDescent="0.25">
      <c r="A284" t="str">
        <f>"039065537"</f>
        <v>039065537</v>
      </c>
      <c r="B284" t="str">
        <f t="shared" si="39"/>
        <v>831376201</v>
      </c>
      <c r="C284" t="str">
        <f t="shared" si="32"/>
        <v>TOULON-BM</v>
      </c>
      <c r="D284" t="str">
        <f t="shared" si="33"/>
        <v>43.0823215</v>
      </c>
      <c r="E284" t="str">
        <f t="shared" si="34"/>
        <v>5.920052699999999</v>
      </c>
      <c r="F284" t="str">
        <f t="shared" si="35"/>
        <v>Cronstadt Toulon  [Texte imprimé]</v>
      </c>
      <c r="G284" t="str">
        <f t="shared" si="36"/>
        <v>Cronstadt Toulon</v>
      </c>
      <c r="H284" t="str">
        <f t="shared" si="37"/>
        <v>2016-8357</v>
      </c>
      <c r="I284" t="str">
        <f t="shared" si="38"/>
        <v>(1891) - (1893)</v>
      </c>
    </row>
    <row r="285" spans="1:9" x14ac:dyDescent="0.25">
      <c r="A285" t="str">
        <f>"036225398"</f>
        <v>036225398</v>
      </c>
      <c r="B285" t="str">
        <f t="shared" si="39"/>
        <v>991385301</v>
      </c>
      <c r="C285" t="str">
        <f t="shared" si="32"/>
        <v>MONACO-Musée Océanographique</v>
      </c>
      <c r="D285" t="str">
        <f t="shared" si="33"/>
        <v>43.7310033</v>
      </c>
      <c r="E285" t="str">
        <f t="shared" si="34"/>
        <v>7.425491600000001</v>
      </c>
      <c r="F285" t="str">
        <f t="shared" si="35"/>
        <v>Cruise plan  [Texte imprimé]  / Commonwealth scientific and industrial research organization. Division of fisheries and oceanography</v>
      </c>
      <c r="G285" t="str">
        <f t="shared" si="36"/>
        <v>Cruise plan</v>
      </c>
      <c r="H285" t="e">
        <f t="shared" si="37"/>
        <v>#VALUE!</v>
      </c>
      <c r="I285" t="e">
        <f t="shared" si="38"/>
        <v>#VALUE!</v>
      </c>
    </row>
    <row r="286" spans="1:9" x14ac:dyDescent="0.25">
      <c r="A286" t="str">
        <f>"036954802"</f>
        <v>036954802</v>
      </c>
      <c r="B286" t="str">
        <f t="shared" si="39"/>
        <v>991385201</v>
      </c>
      <c r="C286" t="str">
        <f t="shared" si="32"/>
        <v>MONACO-Jardin exotique</v>
      </c>
      <c r="D286" t="str">
        <f t="shared" si="33"/>
        <v>43.7310908</v>
      </c>
      <c r="E286" t="str">
        <f t="shared" si="34"/>
        <v>7.410747499999999</v>
      </c>
      <c r="F286" t="str">
        <f t="shared" si="35"/>
        <v>Kaktus og andre sukkulenter  [Texte imprimé]</v>
      </c>
      <c r="G286" t="str">
        <f t="shared" si="36"/>
        <v>Kaktus og andre sukkulenter</v>
      </c>
      <c r="H286" t="str">
        <f t="shared" si="37"/>
        <v>1397-5633</v>
      </c>
      <c r="I286" t="str">
        <f t="shared" si="38"/>
        <v>vol. 32 no. 1 (1997) ; vol. 32 no. 3 (1997)-....</v>
      </c>
    </row>
    <row r="287" spans="1:9" x14ac:dyDescent="0.25">
      <c r="A287" t="str">
        <f>"037207555"</f>
        <v>037207555</v>
      </c>
      <c r="B287" t="str">
        <f t="shared" si="39"/>
        <v>991386201</v>
      </c>
      <c r="C287" t="str">
        <f t="shared" si="32"/>
        <v>MONACO-Bibl.Louis Notari</v>
      </c>
      <c r="D287" t="str">
        <f t="shared" si="33"/>
        <v>43.7351319</v>
      </c>
      <c r="E287" t="str">
        <f t="shared" si="34"/>
        <v>7.420563100000001</v>
      </c>
      <c r="F287" t="str">
        <f t="shared" si="35"/>
        <v>International automobile parade  [Texte imprimé]</v>
      </c>
      <c r="G287" t="str">
        <f t="shared" si="36"/>
        <v>International automobile parade</v>
      </c>
      <c r="H287" t="str">
        <f t="shared" si="37"/>
        <v>0259-8752</v>
      </c>
      <c r="I287" t="str">
        <f t="shared" si="38"/>
        <v>(1960) - (1963)</v>
      </c>
    </row>
    <row r="288" spans="1:9" x14ac:dyDescent="0.25">
      <c r="A288" t="str">
        <f>"037483382"</f>
        <v>037483382</v>
      </c>
      <c r="B288" t="str">
        <f t="shared" si="39"/>
        <v>060886101</v>
      </c>
      <c r="C288" t="str">
        <f t="shared" ref="C288:C351" si="40">_xlfn.FILTERXML(_xlfn.WEBSERVICE("http://www.sudoc.fr/services/multiwhere/"&amp;A288),"//query/result/library/shortname")</f>
        <v>NICE- BMVR Louis Nucéra</v>
      </c>
      <c r="D288" t="str">
        <f t="shared" ref="D288:D351" si="41">_xlfn.FILTERXML(_xlfn.WEBSERVICE("http://www.sudoc.fr/services/multiwhere/"&amp;A288),"//query/result/library/latitude")</f>
        <v>43.7015650</v>
      </c>
      <c r="E288" t="str">
        <f t="shared" ref="E288:E351" si="42">_xlfn.FILTERXML(_xlfn.WEBSERVICE("http://www.sudoc.fr/services/multiwhere/"&amp;A288),"//query/result/library/longitude")</f>
        <v>7.2786247</v>
      </c>
      <c r="F288" t="str">
        <f t="shared" ref="F288:F351" si="43">_xlfn.FILTERXML(_xlfn.WEBSERVICE("http://www.sudoc.fr/"&amp;A288&amp;".rdf"),"//bibo:Periodical/dc:title")</f>
        <v>Atti e notizie  [Texte imprimé]  / Societa' dantesca italiana</v>
      </c>
      <c r="G288" t="str">
        <f t="shared" ref="G288:G351" si="44">_xlfn.FILTERXML(_xlfn.WEBSERVICE("http://www.sudoc.fr/"&amp;A288&amp;".abes"),"//datafield[@tag='200']/subfield[@code='a']")</f>
        <v>Atti e notizie</v>
      </c>
      <c r="H288" t="str">
        <f t="shared" ref="H288:H351" si="45">_xlfn.FILTERXML(_xlfn.WEBSERVICE("http://www.sudoc.fr/"&amp;A288&amp;".abes"),"//datafield[@tag='011']/subfield[@code='a']")</f>
        <v>0393-6023</v>
      </c>
      <c r="I288" t="str">
        <f t="shared" ref="I288:I351" si="46">_xlfn.FILTERXML(_xlfn.WEBSERVICE("http://www.sudoc.fr/"&amp;A288&amp;".abes"),"//datafield[@tag='955']/subfield[@code='r']")</f>
        <v>no. 1 (1906) - no. 4  (1914)</v>
      </c>
    </row>
    <row r="289" spans="1:9" x14ac:dyDescent="0.25">
      <c r="A289" t="str">
        <f>"039034518"</f>
        <v>039034518</v>
      </c>
      <c r="B289" t="str">
        <f t="shared" si="39"/>
        <v>831376201</v>
      </c>
      <c r="C289" t="str">
        <f t="shared" si="40"/>
        <v>TOULON-BM</v>
      </c>
      <c r="D289" t="str">
        <f t="shared" si="41"/>
        <v>43.0823215</v>
      </c>
      <c r="E289" t="str">
        <f t="shared" si="42"/>
        <v>5.920052699999999</v>
      </c>
      <c r="F289" t="str">
        <f t="shared" si="43"/>
        <v>L'Écho mondain  [Texte imprimé]</v>
      </c>
      <c r="G289" t="str">
        <f t="shared" si="44"/>
        <v>L'Écho mondain</v>
      </c>
      <c r="H289" t="str">
        <f t="shared" si="45"/>
        <v>2017-0092</v>
      </c>
      <c r="I289" t="str">
        <f t="shared" si="46"/>
        <v>no. 2 (1892)</v>
      </c>
    </row>
    <row r="290" spans="1:9" x14ac:dyDescent="0.25">
      <c r="A290" t="str">
        <f>"039141365"</f>
        <v>039141365</v>
      </c>
      <c r="B290" t="str">
        <f t="shared" si="39"/>
        <v>831375101</v>
      </c>
      <c r="C290" t="str">
        <f t="shared" si="40"/>
        <v>TOULON-Serv.Historique Marine</v>
      </c>
      <c r="D290" t="str">
        <f t="shared" si="41"/>
        <v>43.124228</v>
      </c>
      <c r="E290" t="str">
        <f t="shared" si="42"/>
        <v>5.928</v>
      </c>
      <c r="F290" t="str">
        <f t="shared" si="43"/>
        <v>Annuaire de la marine marchande  [Texte imprimé]</v>
      </c>
      <c r="G290" t="str">
        <f t="shared" si="44"/>
        <v>Annuaire de la marine marchande</v>
      </c>
      <c r="H290" t="str">
        <f t="shared" si="45"/>
        <v>2023-7413</v>
      </c>
      <c r="I290">
        <f t="shared" si="46"/>
        <v>-1866</v>
      </c>
    </row>
    <row r="291" spans="1:9" x14ac:dyDescent="0.25">
      <c r="A291" t="str">
        <f>"058264310"</f>
        <v>058264310</v>
      </c>
      <c r="B291" t="str">
        <f t="shared" si="39"/>
        <v>061522308</v>
      </c>
      <c r="C291" t="str">
        <f t="shared" si="40"/>
        <v>SOPHIA/ANT.-Doc.Institut Eurecom</v>
      </c>
      <c r="D291" t="e">
        <f t="shared" si="41"/>
        <v>#VALUE!</v>
      </c>
      <c r="E291" t="e">
        <f t="shared" si="42"/>
        <v>#VALUE!</v>
      </c>
      <c r="F291" t="str">
        <f t="shared" si="43"/>
        <v>The Journal  [Texte imprimé]</v>
      </c>
      <c r="G291" t="str">
        <f t="shared" si="44"/>
        <v>The Journal</v>
      </c>
      <c r="H291" t="str">
        <f t="shared" si="45"/>
        <v>1470-5826</v>
      </c>
      <c r="I291" t="str">
        <f t="shared" si="46"/>
        <v>(2000) - (2002)</v>
      </c>
    </row>
    <row r="292" spans="1:9" x14ac:dyDescent="0.25">
      <c r="A292" t="str">
        <f>"038724790"</f>
        <v>038724790</v>
      </c>
      <c r="B292" t="str">
        <f t="shared" si="39"/>
        <v>991385301</v>
      </c>
      <c r="C292" t="str">
        <f t="shared" si="40"/>
        <v>MONACO-Musée Océanographique</v>
      </c>
      <c r="D292" t="str">
        <f t="shared" si="41"/>
        <v>43.7310033</v>
      </c>
      <c r="E292" t="str">
        <f t="shared" si="42"/>
        <v>7.425491600000001</v>
      </c>
      <c r="F292" t="str">
        <f t="shared" si="43"/>
        <v>List of books received from the U.S.S.R. and translated books  [Texte imprimé]</v>
      </c>
      <c r="G292" t="str">
        <f t="shared" si="44"/>
        <v>List of books received from the U.S.S.R. and translated books</v>
      </c>
      <c r="H292" t="e">
        <f t="shared" si="45"/>
        <v>#VALUE!</v>
      </c>
      <c r="I292" t="str">
        <f t="shared" si="46"/>
        <v>(1973) - (1974)</v>
      </c>
    </row>
    <row r="293" spans="1:9" x14ac:dyDescent="0.25">
      <c r="A293" t="str">
        <f>"038748738"</f>
        <v>038748738</v>
      </c>
      <c r="B293" t="str">
        <f t="shared" si="39"/>
        <v>831375101</v>
      </c>
      <c r="C293" t="str">
        <f t="shared" si="40"/>
        <v>TOULON-Serv.Historique Marine</v>
      </c>
      <c r="D293" t="str">
        <f t="shared" si="41"/>
        <v>43.124228</v>
      </c>
      <c r="E293" t="str">
        <f t="shared" si="42"/>
        <v>5.928</v>
      </c>
      <c r="F293" t="str">
        <f t="shared" si="43"/>
        <v>La Marina italiana  [Texte imprimé]</v>
      </c>
      <c r="G293" t="str">
        <f t="shared" si="44"/>
        <v>La Marina italiana</v>
      </c>
      <c r="H293" t="str">
        <f t="shared" si="45"/>
        <v>0025-309X</v>
      </c>
      <c r="I293" t="str">
        <f t="shared" si="46"/>
        <v>no. 1 (1953) - no. 12  (1956) [lac]</v>
      </c>
    </row>
    <row r="294" spans="1:9" x14ac:dyDescent="0.25">
      <c r="A294" t="str">
        <f>"090212460"</f>
        <v>090212460</v>
      </c>
      <c r="B294" t="str">
        <f t="shared" si="39"/>
        <v>060882303</v>
      </c>
      <c r="C294" t="str">
        <f t="shared" si="40"/>
        <v>NICE-Museum Hist.Naturelle</v>
      </c>
      <c r="D294" t="str">
        <f t="shared" si="41"/>
        <v>43.7017477</v>
      </c>
      <c r="E294" t="str">
        <f t="shared" si="42"/>
        <v>7.279483399999999</v>
      </c>
      <c r="F294" t="str">
        <f t="shared" si="43"/>
        <v>Fauna entomológica de Portugal  [Texte imprimé]  / Sociedade portuguesa de entomologia</v>
      </c>
      <c r="G294" t="str">
        <f t="shared" si="44"/>
        <v>Fauna entomológica de Portugal</v>
      </c>
      <c r="H294" t="str">
        <f t="shared" si="45"/>
        <v>0873-5417</v>
      </c>
      <c r="I294" t="str">
        <f t="shared" si="46"/>
        <v>no. 1 (1999)-....</v>
      </c>
    </row>
    <row r="295" spans="1:9" x14ac:dyDescent="0.25">
      <c r="A295" t="str">
        <f>"037764330"</f>
        <v>037764330</v>
      </c>
      <c r="B295" t="str">
        <f t="shared" si="39"/>
        <v>991385301</v>
      </c>
      <c r="C295" t="str">
        <f t="shared" si="40"/>
        <v>MONACO-Musée Océanographique</v>
      </c>
      <c r="D295" t="str">
        <f t="shared" si="41"/>
        <v>43.7310033</v>
      </c>
      <c r="E295" t="str">
        <f t="shared" si="42"/>
        <v>7.425491600000001</v>
      </c>
      <c r="F295" t="e">
        <f t="shared" si="43"/>
        <v>#VALUE!</v>
      </c>
      <c r="G295" t="str">
        <f t="shared" si="44"/>
        <v>Manuscript report series</v>
      </c>
      <c r="H295" t="str">
        <f t="shared" si="45"/>
        <v>0834-4949</v>
      </c>
      <c r="I295" t="e">
        <f t="shared" si="46"/>
        <v>#VALUE!</v>
      </c>
    </row>
    <row r="296" spans="1:9" x14ac:dyDescent="0.25">
      <c r="A296" t="str">
        <f>"039066207"</f>
        <v>039066207</v>
      </c>
      <c r="B296" t="str">
        <f t="shared" si="39"/>
        <v>831376201</v>
      </c>
      <c r="C296" t="str">
        <f t="shared" si="40"/>
        <v>TOULON-BM</v>
      </c>
      <c r="D296" t="str">
        <f t="shared" si="41"/>
        <v>43.0823215</v>
      </c>
      <c r="E296" t="str">
        <f t="shared" si="42"/>
        <v>5.920052699999999</v>
      </c>
      <c r="F296" t="str">
        <f t="shared" si="43"/>
        <v>Guide de Toulon Mondain et Pittoresque  [Texte imprimé]</v>
      </c>
      <c r="G296" t="str">
        <f t="shared" si="44"/>
        <v>Guide de Toulon Mondain et Pittoresque</v>
      </c>
      <c r="H296" t="str">
        <f t="shared" si="45"/>
        <v>2017-120X</v>
      </c>
      <c r="I296" t="str">
        <f t="shared" si="46"/>
        <v>(jan-1924) - (jan-1925)</v>
      </c>
    </row>
    <row r="297" spans="1:9" x14ac:dyDescent="0.25">
      <c r="A297" t="str">
        <f>"039140601"</f>
        <v>039140601</v>
      </c>
      <c r="B297" t="str">
        <f t="shared" si="39"/>
        <v>060845301</v>
      </c>
      <c r="C297" t="str">
        <f t="shared" si="40"/>
        <v>MOUANS SARTOUX-CRD Occitane</v>
      </c>
      <c r="D297" t="str">
        <f t="shared" si="41"/>
        <v>43.6188186</v>
      </c>
      <c r="E297" t="str">
        <f t="shared" si="42"/>
        <v>6.972011600000001</v>
      </c>
      <c r="F297" t="str">
        <f t="shared" si="43"/>
        <v>La Jouino Prouvènço  [Texte imprimé]</v>
      </c>
      <c r="G297" t="str">
        <f t="shared" si="44"/>
        <v>La Jouino Prouvènço</v>
      </c>
      <c r="H297" t="str">
        <f t="shared" si="45"/>
        <v>2025-122X</v>
      </c>
      <c r="I297" t="str">
        <f t="shared" si="46"/>
        <v>vol. 1 (1932)</v>
      </c>
    </row>
    <row r="298" spans="1:9" x14ac:dyDescent="0.25">
      <c r="A298" t="str">
        <f>"039347672"</f>
        <v>039347672</v>
      </c>
      <c r="B298" t="str">
        <f t="shared" si="39"/>
        <v>991385301</v>
      </c>
      <c r="C298" t="str">
        <f t="shared" si="40"/>
        <v>MONACO-Musée Océanographique</v>
      </c>
      <c r="D298" t="str">
        <f t="shared" si="41"/>
        <v>43.7310033</v>
      </c>
      <c r="E298" t="str">
        <f t="shared" si="42"/>
        <v>7.425491600000001</v>
      </c>
      <c r="F298" t="str">
        <f t="shared" si="43"/>
        <v>Publication  [Texte imprimé]  / Baltic Marine Biologists</v>
      </c>
      <c r="G298" t="str">
        <f t="shared" si="44"/>
        <v>Publication</v>
      </c>
      <c r="H298" t="str">
        <f t="shared" si="45"/>
        <v>0282-8839</v>
      </c>
      <c r="I298" t="str">
        <f t="shared" si="46"/>
        <v>vol. 1 (1976)-....</v>
      </c>
    </row>
    <row r="299" spans="1:9" x14ac:dyDescent="0.25">
      <c r="A299" t="str">
        <f>"040198642"</f>
        <v>040198642</v>
      </c>
      <c r="B299" t="str">
        <f t="shared" si="39"/>
        <v>060692301</v>
      </c>
      <c r="C299" t="str">
        <f t="shared" si="40"/>
        <v>GRASSE-Musée Art/Hist Provence</v>
      </c>
      <c r="D299" t="str">
        <f t="shared" si="41"/>
        <v>43.65761759999999</v>
      </c>
      <c r="E299" t="str">
        <f t="shared" si="42"/>
        <v>6.9224541</v>
      </c>
      <c r="F299" t="str">
        <f t="shared" si="43"/>
        <v>Bulletin municipal  [Texte imprimé]  / Mairie de Biot</v>
      </c>
      <c r="G299" t="str">
        <f t="shared" si="44"/>
        <v>Bulletin municipal</v>
      </c>
      <c r="H299" t="str">
        <f t="shared" si="45"/>
        <v>1250-7423</v>
      </c>
      <c r="I299" t="str">
        <f t="shared" si="46"/>
        <v>no. 1 (1989)-.... [lac]</v>
      </c>
    </row>
    <row r="300" spans="1:9" x14ac:dyDescent="0.25">
      <c r="A300" t="str">
        <f>"036463361"</f>
        <v>036463361</v>
      </c>
      <c r="B300" t="str">
        <f t="shared" si="39"/>
        <v>991385301</v>
      </c>
      <c r="C300" t="str">
        <f t="shared" si="40"/>
        <v>MONACO-Musée Océanographique</v>
      </c>
      <c r="D300" t="str">
        <f t="shared" si="41"/>
        <v>43.7310033</v>
      </c>
      <c r="E300" t="str">
        <f t="shared" si="42"/>
        <v>7.425491600000001</v>
      </c>
      <c r="F300" t="str">
        <f t="shared" si="43"/>
        <v>U[nited] S[tates]. Coast guard. Oceanographic report</v>
      </c>
      <c r="G300" t="str">
        <f t="shared" si="44"/>
        <v>U[nited] S[tates]. Coast guard. Oceanographic report</v>
      </c>
      <c r="H300" t="e">
        <f t="shared" si="45"/>
        <v>#VALUE!</v>
      </c>
      <c r="I300" t="e">
        <f t="shared" si="46"/>
        <v>#VALUE!</v>
      </c>
    </row>
    <row r="301" spans="1:9" x14ac:dyDescent="0.25">
      <c r="A301" t="str">
        <f>"039318885"</f>
        <v>039318885</v>
      </c>
      <c r="B301" t="str">
        <f t="shared" si="39"/>
        <v>061525404</v>
      </c>
      <c r="C301" t="str">
        <f t="shared" si="40"/>
        <v>SOPHIA/ANT.-Thales Und. Systems</v>
      </c>
      <c r="D301" t="e">
        <f t="shared" si="41"/>
        <v>#VALUE!</v>
      </c>
      <c r="E301" t="e">
        <f t="shared" si="42"/>
        <v>#VALUE!</v>
      </c>
      <c r="F301" t="str">
        <f t="shared" si="43"/>
        <v>Urethanes technology  [Texte imprimé]</v>
      </c>
      <c r="G301" t="str">
        <f t="shared" si="44"/>
        <v>Urethanes technology</v>
      </c>
      <c r="H301" t="str">
        <f t="shared" si="45"/>
        <v>0265-637X</v>
      </c>
      <c r="I301" t="str">
        <f t="shared" si="46"/>
        <v>(1994)-....</v>
      </c>
    </row>
    <row r="302" spans="1:9" x14ac:dyDescent="0.25">
      <c r="A302" t="str">
        <f>"039600289"</f>
        <v>039600289</v>
      </c>
      <c r="B302" t="str">
        <f t="shared" si="39"/>
        <v>991385201</v>
      </c>
      <c r="C302" t="str">
        <f t="shared" si="40"/>
        <v>MONACO-Jardin exotique</v>
      </c>
      <c r="D302" t="str">
        <f t="shared" si="41"/>
        <v>43.7310908</v>
      </c>
      <c r="E302" t="str">
        <f t="shared" si="42"/>
        <v>7.410747499999999</v>
      </c>
      <c r="F302" t="str">
        <f t="shared" si="43"/>
        <v>Piante grasse  [Texte imprimé]</v>
      </c>
      <c r="G302" t="str">
        <f t="shared" si="44"/>
        <v>Piante grasse</v>
      </c>
      <c r="H302" t="str">
        <f t="shared" si="45"/>
        <v>0394-9990</v>
      </c>
      <c r="I302" t="str">
        <f t="shared" si="46"/>
        <v>vol. 1 no. 1 (1981) - vol. 19  no. 1  (1999) ; vol. 19 no. 3 (1999)-....</v>
      </c>
    </row>
    <row r="303" spans="1:9" x14ac:dyDescent="0.25">
      <c r="A303" t="str">
        <f>"050921827"</f>
        <v>050921827</v>
      </c>
      <c r="B303" t="str">
        <f t="shared" si="39"/>
        <v>831375101</v>
      </c>
      <c r="C303" t="str">
        <f t="shared" si="40"/>
        <v>TOULON-Serv.Historique Marine</v>
      </c>
      <c r="D303" t="str">
        <f t="shared" si="41"/>
        <v>43.124228</v>
      </c>
      <c r="E303" t="str">
        <f t="shared" si="42"/>
        <v>5.928</v>
      </c>
      <c r="F303" t="str">
        <f t="shared" si="43"/>
        <v>Fiches d'information sur l'économie des pêches maritimes étrangères  [Texte imprimé]</v>
      </c>
      <c r="G303" t="str">
        <f t="shared" si="44"/>
        <v>Fiches d'information sur l'économie des pêches maritimes étrangères</v>
      </c>
      <c r="H303" t="str">
        <f t="shared" si="45"/>
        <v>2020-7832</v>
      </c>
      <c r="I303" t="str">
        <f t="shared" si="46"/>
        <v>(1968) - (1973) [lac.]</v>
      </c>
    </row>
    <row r="304" spans="1:9" x14ac:dyDescent="0.25">
      <c r="A304" t="str">
        <f>"036665339"</f>
        <v>036665339</v>
      </c>
      <c r="B304" t="str">
        <f t="shared" si="39"/>
        <v>991385301</v>
      </c>
      <c r="C304" t="str">
        <f t="shared" si="40"/>
        <v>MONACO-Musée Océanographique</v>
      </c>
      <c r="D304" t="str">
        <f t="shared" si="41"/>
        <v>43.7310033</v>
      </c>
      <c r="E304" t="str">
        <f t="shared" si="42"/>
        <v>7.425491600000001</v>
      </c>
      <c r="F304" t="str">
        <f t="shared" si="43"/>
        <v>Marine science communications  [Texte imprimé]</v>
      </c>
      <c r="G304" t="str">
        <f t="shared" si="44"/>
        <v>Marine science communications</v>
      </c>
      <c r="H304" t="str">
        <f t="shared" si="45"/>
        <v>0098-8383</v>
      </c>
      <c r="I304" t="str">
        <f t="shared" si="46"/>
        <v>(1975) - (1979)</v>
      </c>
    </row>
    <row r="305" spans="1:9" x14ac:dyDescent="0.25">
      <c r="A305" t="str">
        <f>"038415992"</f>
        <v>038415992</v>
      </c>
      <c r="B305" t="str">
        <f t="shared" si="39"/>
        <v>991385301</v>
      </c>
      <c r="C305" t="str">
        <f t="shared" si="40"/>
        <v>MONACO-Musée Océanographique</v>
      </c>
      <c r="D305" t="str">
        <f t="shared" si="41"/>
        <v>43.7310033</v>
      </c>
      <c r="E305" t="str">
        <f t="shared" si="42"/>
        <v>7.425491600000001</v>
      </c>
      <c r="F305" t="str">
        <f t="shared" si="43"/>
        <v>Gyogyô yôshokugyô seisan tôkei nenpô  [Texte imprimé]</v>
      </c>
      <c r="G305" t="str">
        <f t="shared" si="44"/>
        <v>Gyogyô yôshokugyô seisan tôkei nenpô</v>
      </c>
      <c r="H305" t="e">
        <f t="shared" si="45"/>
        <v>#VALUE!</v>
      </c>
      <c r="I305" t="str">
        <f t="shared" si="46"/>
        <v>(1974) - (1976) = (1972) - (1974) ; (1986) = (1985) ; (1990) = (1988)</v>
      </c>
    </row>
    <row r="306" spans="1:9" x14ac:dyDescent="0.25">
      <c r="A306" t="str">
        <f>"140581731"</f>
        <v>140581731</v>
      </c>
      <c r="B306" t="str">
        <f t="shared" si="39"/>
        <v>060885105</v>
      </c>
      <c r="C306" t="str">
        <f t="shared" si="40"/>
        <v>NICE-Bibl.Chevalier de Cessole</v>
      </c>
      <c r="D306" t="str">
        <f t="shared" si="41"/>
        <v>43.6956246</v>
      </c>
      <c r="E306" t="str">
        <f t="shared" si="42"/>
        <v>7.259380900000001</v>
      </c>
      <c r="F306" t="str">
        <f t="shared" si="43"/>
        <v>La Tinée  [Texte imprimé]</v>
      </c>
      <c r="G306" t="str">
        <f t="shared" si="44"/>
        <v>La Tinée</v>
      </c>
      <c r="H306" t="str">
        <f t="shared" si="45"/>
        <v>2138-634X</v>
      </c>
      <c r="I306" t="str">
        <f t="shared" si="46"/>
        <v>no. 1 (20-jun-1907) - no. 3  (4-jul-1907)</v>
      </c>
    </row>
    <row r="307" spans="1:9" x14ac:dyDescent="0.25">
      <c r="A307" t="str">
        <f>"038719118"</f>
        <v>038719118</v>
      </c>
      <c r="B307" t="str">
        <f t="shared" si="39"/>
        <v>060046201</v>
      </c>
      <c r="C307" t="str">
        <f t="shared" si="40"/>
        <v>ANTIBES-Mediath.A.Camus</v>
      </c>
      <c r="D307" t="str">
        <f t="shared" si="41"/>
        <v>43.58041799999999</v>
      </c>
      <c r="E307" t="str">
        <f t="shared" si="42"/>
        <v>7.125102</v>
      </c>
      <c r="F307" t="str">
        <f t="shared" si="43"/>
        <v>Homes and gardens  [Texte imprimé]</v>
      </c>
      <c r="G307" t="str">
        <f t="shared" si="44"/>
        <v>Homes and gardens</v>
      </c>
      <c r="H307" t="str">
        <f t="shared" si="45"/>
        <v>0018-4233</v>
      </c>
      <c r="I307" t="str">
        <f t="shared" si="46"/>
        <v>Conservé pendant 2 année(s)</v>
      </c>
    </row>
    <row r="308" spans="1:9" x14ac:dyDescent="0.25">
      <c r="A308" t="str">
        <f>"038902818"</f>
        <v>038902818</v>
      </c>
      <c r="B308" t="str">
        <f t="shared" si="39"/>
        <v>991385301</v>
      </c>
      <c r="C308" t="str">
        <f t="shared" si="40"/>
        <v>MONACO-Musée Océanographique</v>
      </c>
      <c r="D308" t="str">
        <f t="shared" si="41"/>
        <v>43.7310033</v>
      </c>
      <c r="E308" t="str">
        <f t="shared" si="42"/>
        <v>7.425491600000001</v>
      </c>
      <c r="F308" t="e">
        <f t="shared" si="43"/>
        <v>#VALUE!</v>
      </c>
      <c r="G308" t="str">
        <f t="shared" si="44"/>
        <v>Contribution</v>
      </c>
      <c r="H308" t="str">
        <f t="shared" si="45"/>
        <v>0097-0832</v>
      </c>
      <c r="I308" t="e">
        <f t="shared" si="46"/>
        <v>#VALUE!</v>
      </c>
    </row>
    <row r="309" spans="1:9" x14ac:dyDescent="0.25">
      <c r="A309" t="str">
        <f>"038989123"</f>
        <v>038989123</v>
      </c>
      <c r="B309" t="str">
        <f t="shared" si="39"/>
        <v>060696201</v>
      </c>
      <c r="C309" t="str">
        <f t="shared" si="40"/>
        <v>GRASSE-Villa St Hilaire</v>
      </c>
      <c r="D309" t="str">
        <f t="shared" si="41"/>
        <v>43.65711599999999</v>
      </c>
      <c r="E309" t="str">
        <f t="shared" si="42"/>
        <v>6.9183745</v>
      </c>
      <c r="F309" t="str">
        <f t="shared" si="43"/>
        <v>Le Communiste des Bouches-du-Rhône  [Texte imprimé]</v>
      </c>
      <c r="G309" t="str">
        <f t="shared" si="44"/>
        <v>Le Communiste des Bouches-du-Rhône</v>
      </c>
      <c r="H309" t="e">
        <f t="shared" si="45"/>
        <v>#VALUE!</v>
      </c>
      <c r="I309" t="str">
        <f t="shared" si="46"/>
        <v>(mar-1970) - (avr-1980)</v>
      </c>
    </row>
    <row r="310" spans="1:9" x14ac:dyDescent="0.25">
      <c r="A310" t="str">
        <f>"090237021"</f>
        <v>090237021</v>
      </c>
      <c r="B310" t="str">
        <f t="shared" si="39"/>
        <v>060882303</v>
      </c>
      <c r="C310" t="str">
        <f t="shared" si="40"/>
        <v>NICE-Museum Hist.Naturelle</v>
      </c>
      <c r="D310" t="str">
        <f t="shared" si="41"/>
        <v>43.7017477</v>
      </c>
      <c r="E310" t="str">
        <f t="shared" si="42"/>
        <v>7.279483399999999</v>
      </c>
      <c r="F310" t="str">
        <f t="shared" si="43"/>
        <v>In natura association  [Texte imprimé]  : bulletin trimestriel  : Faire comprendre la nature par l'art et la science</v>
      </c>
      <c r="G310" t="str">
        <f t="shared" si="44"/>
        <v>In natura association</v>
      </c>
      <c r="H310" t="str">
        <f t="shared" si="45"/>
        <v>1950-5299</v>
      </c>
      <c r="I310" t="str">
        <f t="shared" si="46"/>
        <v>no. 1 (2003)-....</v>
      </c>
    </row>
    <row r="311" spans="1:9" x14ac:dyDescent="0.25">
      <c r="A311" t="str">
        <f>"036351318"</f>
        <v>036351318</v>
      </c>
      <c r="B311" t="str">
        <f t="shared" si="39"/>
        <v>991385301</v>
      </c>
      <c r="C311" t="str">
        <f t="shared" si="40"/>
        <v>MONACO-Musée Océanographique</v>
      </c>
      <c r="D311" t="str">
        <f t="shared" si="41"/>
        <v>43.7310033</v>
      </c>
      <c r="E311" t="str">
        <f t="shared" si="42"/>
        <v>7.425491600000001</v>
      </c>
      <c r="F311" t="str">
        <f t="shared" si="43"/>
        <v>N.O.A.A. Publications list.</v>
      </c>
      <c r="G311" t="str">
        <f t="shared" si="44"/>
        <v>N.O.A.A. Publications list.</v>
      </c>
      <c r="H311" t="e">
        <f t="shared" si="45"/>
        <v>#VALUE!</v>
      </c>
      <c r="I311" t="str">
        <f t="shared" si="46"/>
        <v>(1973) - (1974)</v>
      </c>
    </row>
    <row r="312" spans="1:9" x14ac:dyDescent="0.25">
      <c r="A312" t="str">
        <f>"037192620"</f>
        <v>037192620</v>
      </c>
      <c r="B312" t="str">
        <f t="shared" si="39"/>
        <v>060886101</v>
      </c>
      <c r="C312" t="str">
        <f t="shared" si="40"/>
        <v>NICE- BMVR Louis Nucéra</v>
      </c>
      <c r="D312" t="str">
        <f t="shared" si="41"/>
        <v>43.7015650</v>
      </c>
      <c r="E312" t="str">
        <f t="shared" si="42"/>
        <v>7.2786247</v>
      </c>
      <c r="F312" t="str">
        <f t="shared" si="43"/>
        <v>La Satire chinoise politique et sociale  [Texte imprimé]</v>
      </c>
      <c r="G312" t="str">
        <f t="shared" si="44"/>
        <v>La Satire chinoise politique et sociale</v>
      </c>
      <c r="H312" t="str">
        <f t="shared" si="45"/>
        <v>0256-3495</v>
      </c>
      <c r="I312" t="str">
        <f t="shared" si="46"/>
        <v>(1927) - (1936)</v>
      </c>
    </row>
    <row r="313" spans="1:9" x14ac:dyDescent="0.25">
      <c r="A313" t="str">
        <f>"039052346"</f>
        <v>039052346</v>
      </c>
      <c r="B313" t="str">
        <f t="shared" si="39"/>
        <v>831376201</v>
      </c>
      <c r="C313" t="str">
        <f t="shared" si="40"/>
        <v>TOULON-BM</v>
      </c>
      <c r="D313" t="str">
        <f t="shared" si="41"/>
        <v>43.0823215</v>
      </c>
      <c r="E313" t="str">
        <f t="shared" si="42"/>
        <v>5.920052699999999</v>
      </c>
      <c r="F313" t="str">
        <f t="shared" si="43"/>
        <v>L'Électeur  [Texte imprimé]</v>
      </c>
      <c r="G313" t="str">
        <f t="shared" si="44"/>
        <v>L'Électeur</v>
      </c>
      <c r="H313" t="str">
        <f t="shared" si="45"/>
        <v>2017-0874</v>
      </c>
      <c r="I313" t="str">
        <f t="shared" si="46"/>
        <v>no. 2 (1908) - no. 10  (1908)</v>
      </c>
    </row>
    <row r="314" spans="1:9" x14ac:dyDescent="0.25">
      <c r="A314" t="str">
        <f>"037983997"</f>
        <v>037983997</v>
      </c>
      <c r="B314" t="str">
        <f t="shared" si="39"/>
        <v>991385301</v>
      </c>
      <c r="C314" t="str">
        <f t="shared" si="40"/>
        <v>MONACO-Musée Océanographique</v>
      </c>
      <c r="D314" t="str">
        <f t="shared" si="41"/>
        <v>43.7310033</v>
      </c>
      <c r="E314" t="str">
        <f t="shared" si="42"/>
        <v>7.425491600000001</v>
      </c>
      <c r="F314" t="str">
        <f t="shared" si="43"/>
        <v>Bulletin  [Texte imprimé]  / International Committee for Natural History Museums</v>
      </c>
      <c r="G314" t="str">
        <f t="shared" si="44"/>
        <v>Bulletin</v>
      </c>
      <c r="H314" t="str">
        <f t="shared" si="45"/>
        <v>1021-6936</v>
      </c>
      <c r="I314" t="str">
        <f t="shared" si="46"/>
        <v>no. 9 (1990)</v>
      </c>
    </row>
    <row r="315" spans="1:9" x14ac:dyDescent="0.25">
      <c r="A315" t="str">
        <f>"038535289"</f>
        <v>038535289</v>
      </c>
      <c r="B315" t="str">
        <f t="shared" si="39"/>
        <v>060696201</v>
      </c>
      <c r="C315" t="str">
        <f t="shared" si="40"/>
        <v>GRASSE-Villa St Hilaire</v>
      </c>
      <c r="D315" t="str">
        <f t="shared" si="41"/>
        <v>43.65711599999999</v>
      </c>
      <c r="E315" t="str">
        <f t="shared" si="42"/>
        <v>6.9183745</v>
      </c>
      <c r="F315" t="str">
        <f t="shared" si="43"/>
        <v>Lectures d'aujourd'hui  [Texte imprimé]</v>
      </c>
      <c r="G315" t="str">
        <f t="shared" si="44"/>
        <v>Lectures d'aujourd'hui</v>
      </c>
      <c r="H315" t="str">
        <f t="shared" si="45"/>
        <v>1147-1506</v>
      </c>
      <c r="I315" t="str">
        <f t="shared" si="46"/>
        <v>(nov-1962) - (dec-1964)</v>
      </c>
    </row>
    <row r="316" spans="1:9" x14ac:dyDescent="0.25">
      <c r="A316" t="str">
        <f>"039275078"</f>
        <v>039275078</v>
      </c>
      <c r="B316" t="str">
        <f t="shared" si="39"/>
        <v>991385301</v>
      </c>
      <c r="C316" t="str">
        <f t="shared" si="40"/>
        <v>MONACO-Musée Océanographique</v>
      </c>
      <c r="D316" t="str">
        <f t="shared" si="41"/>
        <v>43.7310033</v>
      </c>
      <c r="E316" t="str">
        <f t="shared" si="42"/>
        <v>7.425491600000001</v>
      </c>
      <c r="F316" t="str">
        <f t="shared" si="43"/>
        <v>Reef encounter  [Texte imprimé]</v>
      </c>
      <c r="G316" t="str">
        <f t="shared" si="44"/>
        <v>Reef encounter</v>
      </c>
      <c r="H316" t="str">
        <f t="shared" si="45"/>
        <v>0255-2787</v>
      </c>
      <c r="I316" t="str">
        <f t="shared" si="46"/>
        <v>no. 1 (1983)-....</v>
      </c>
    </row>
    <row r="317" spans="1:9" x14ac:dyDescent="0.25">
      <c r="A317" t="str">
        <f>"039968596"</f>
        <v>039968596</v>
      </c>
      <c r="B317" t="str">
        <f t="shared" si="39"/>
        <v>831376201</v>
      </c>
      <c r="C317" t="str">
        <f t="shared" si="40"/>
        <v>TOULON-BM</v>
      </c>
      <c r="D317" t="str">
        <f t="shared" si="41"/>
        <v>43.0823215</v>
      </c>
      <c r="E317" t="str">
        <f t="shared" si="42"/>
        <v>5.920052699999999</v>
      </c>
      <c r="F317" t="str">
        <f t="shared" si="43"/>
        <v>Enquête mensuelle de fréquentation hôtelière. Région Provence-Alpes-Côte-d'Azur  [Texte imprimé]</v>
      </c>
      <c r="G317" t="str">
        <f t="shared" si="44"/>
        <v>Enquête mensuelle de fréquentation hôtelière. Région Provence-Alpes-Côte-d'Azur</v>
      </c>
      <c r="H317" t="str">
        <f t="shared" si="45"/>
        <v>1163-5703</v>
      </c>
      <c r="I317" t="str">
        <f t="shared" si="46"/>
        <v>(oct-1981) - (jul-1991)</v>
      </c>
    </row>
    <row r="318" spans="1:9" x14ac:dyDescent="0.25">
      <c r="A318" t="str">
        <f>"11449858X"</f>
        <v>11449858X</v>
      </c>
      <c r="B318" t="str">
        <f t="shared" si="39"/>
        <v>830505302</v>
      </c>
      <c r="C318" t="str">
        <f t="shared" si="40"/>
        <v>DRAGUIGNAN-SESA</v>
      </c>
      <c r="D318" t="str">
        <f t="shared" si="41"/>
        <v>43.5366856</v>
      </c>
      <c r="E318" t="str">
        <f t="shared" si="42"/>
        <v>6.461841499999999</v>
      </c>
      <c r="F318" t="e">
        <f t="shared" si="43"/>
        <v>#VALUE!</v>
      </c>
      <c r="G318" t="str">
        <f t="shared" si="44"/>
        <v>Publications de la Société d'histoire de Fréjus et de sa région</v>
      </c>
      <c r="H318" t="str">
        <f t="shared" si="45"/>
        <v>1773-7796</v>
      </c>
      <c r="I318" t="str">
        <f t="shared" si="46"/>
        <v>no. 1 (2000) - no. 2  (2016)</v>
      </c>
    </row>
    <row r="319" spans="1:9" x14ac:dyDescent="0.25">
      <c r="A319" t="str">
        <f>"136600360"</f>
        <v>136600360</v>
      </c>
      <c r="B319" t="str">
        <f t="shared" si="39"/>
        <v>060885105</v>
      </c>
      <c r="C319" t="str">
        <f t="shared" si="40"/>
        <v>NICE-Bibl.Chevalier de Cessole</v>
      </c>
      <c r="D319" t="str">
        <f t="shared" si="41"/>
        <v>43.6956246</v>
      </c>
      <c r="E319" t="str">
        <f t="shared" si="42"/>
        <v>7.259380900000001</v>
      </c>
      <c r="F319" t="str">
        <f t="shared" si="43"/>
        <v>Le Cri de Nice  [Texte imprimé]</v>
      </c>
      <c r="G319" t="str">
        <f t="shared" si="44"/>
        <v>Le Cri de Nice</v>
      </c>
      <c r="H319" t="str">
        <f t="shared" si="45"/>
        <v>2125-0642</v>
      </c>
      <c r="I319" t="str">
        <f t="shared" si="46"/>
        <v>no. 1 (1-jan-1921) - no. 2  (7-jan-1921)</v>
      </c>
    </row>
    <row r="320" spans="1:9" x14ac:dyDescent="0.25">
      <c r="A320" t="str">
        <f>"04025898X"</f>
        <v>04025898X</v>
      </c>
      <c r="B320" t="str">
        <f t="shared" si="39"/>
        <v>061525404</v>
      </c>
      <c r="C320" t="str">
        <f t="shared" si="40"/>
        <v>SOPHIA/ANT.-Thales Und. Systems</v>
      </c>
      <c r="D320" t="e">
        <f t="shared" si="41"/>
        <v>#VALUE!</v>
      </c>
      <c r="E320" t="e">
        <f t="shared" si="42"/>
        <v>#VALUE!</v>
      </c>
      <c r="F320" t="str">
        <f t="shared" si="43"/>
        <v>CommunicationsWeek international  [Texte imprimé]</v>
      </c>
      <c r="G320" t="str">
        <f t="shared" si="44"/>
        <v>CommunicationsWeek international</v>
      </c>
      <c r="H320" t="str">
        <f t="shared" si="45"/>
        <v>1042-6086</v>
      </c>
      <c r="I320" t="str">
        <f t="shared" si="46"/>
        <v>(1990)-....</v>
      </c>
    </row>
    <row r="321" spans="1:9" x14ac:dyDescent="0.25">
      <c r="A321" t="str">
        <f>"124278728"</f>
        <v>124278728</v>
      </c>
      <c r="B321" t="str">
        <f t="shared" si="39"/>
        <v>060885105</v>
      </c>
      <c r="C321" t="str">
        <f t="shared" si="40"/>
        <v>NICE-Bibl.Chevalier de Cessole</v>
      </c>
      <c r="D321" t="str">
        <f t="shared" si="41"/>
        <v>43.6956246</v>
      </c>
      <c r="E321" t="str">
        <f t="shared" si="42"/>
        <v>7.259380900000001</v>
      </c>
      <c r="F321" t="str">
        <f t="shared" si="43"/>
        <v>Le Réveil de Nice  [Texte imprimé]</v>
      </c>
      <c r="G321" t="str">
        <f t="shared" si="44"/>
        <v>Le Réveil de Nice</v>
      </c>
      <c r="H321" t="str">
        <f t="shared" si="45"/>
        <v>1963-8914</v>
      </c>
      <c r="I321" t="str">
        <f t="shared" si="46"/>
        <v>no. 1 (1-aou-1885) - no. 89  (28-oct-1885) [lacunes]</v>
      </c>
    </row>
    <row r="322" spans="1:9" x14ac:dyDescent="0.25">
      <c r="A322" t="str">
        <f>"039035018"</f>
        <v>039035018</v>
      </c>
      <c r="B322" t="str">
        <f t="shared" si="39"/>
        <v>831376201</v>
      </c>
      <c r="C322" t="str">
        <f t="shared" si="40"/>
        <v>TOULON-BM</v>
      </c>
      <c r="D322" t="str">
        <f t="shared" si="41"/>
        <v>43.0823215</v>
      </c>
      <c r="E322" t="str">
        <f t="shared" si="42"/>
        <v>5.920052699999999</v>
      </c>
      <c r="F322" t="str">
        <f t="shared" si="43"/>
        <v>Journal des Fêtes du Carnaval...  [Texte imprimé]</v>
      </c>
      <c r="G322" t="str">
        <f t="shared" si="44"/>
        <v>Journal des Fêtes du Carnaval...</v>
      </c>
      <c r="H322" t="str">
        <f t="shared" si="45"/>
        <v>2017-3482</v>
      </c>
      <c r="I322" t="str">
        <f t="shared" si="46"/>
        <v>(1889) - (1891) ; (1893) - (1894)</v>
      </c>
    </row>
    <row r="323" spans="1:9" x14ac:dyDescent="0.25">
      <c r="A323" t="str">
        <f>"039052222"</f>
        <v>039052222</v>
      </c>
      <c r="B323" t="str">
        <f t="shared" ref="B323:B386" si="47">TEXT(_xlfn.FILTERXML(_xlfn.WEBSERVICE("http://www.sudoc.fr/services/multiwhere/"&amp;A323),"//query/result/library/rcr"),"000000000")</f>
        <v>831376201</v>
      </c>
      <c r="C323" t="str">
        <f t="shared" si="40"/>
        <v>TOULON-BM</v>
      </c>
      <c r="D323" t="str">
        <f t="shared" si="41"/>
        <v>43.0823215</v>
      </c>
      <c r="E323" t="str">
        <f t="shared" si="42"/>
        <v>5.920052699999999</v>
      </c>
      <c r="F323" t="str">
        <f t="shared" si="43"/>
        <v>Le Var sportif et artistique  [Texte imprimé]  : Organe des sociétés du département</v>
      </c>
      <c r="G323" t="str">
        <f t="shared" si="44"/>
        <v>Le Var sportif et artistique</v>
      </c>
      <c r="H323" t="str">
        <f t="shared" si="45"/>
        <v>2018-6355</v>
      </c>
      <c r="I323" t="str">
        <f t="shared" si="46"/>
        <v>no. 153 (1924)</v>
      </c>
    </row>
    <row r="324" spans="1:9" x14ac:dyDescent="0.25">
      <c r="A324" t="str">
        <f>"050921924"</f>
        <v>050921924</v>
      </c>
      <c r="B324" t="str">
        <f t="shared" si="47"/>
        <v>831375101</v>
      </c>
      <c r="C324" t="str">
        <f t="shared" si="40"/>
        <v>TOULON-Serv.Historique Marine</v>
      </c>
      <c r="D324" t="str">
        <f t="shared" si="41"/>
        <v>43.124228</v>
      </c>
      <c r="E324" t="str">
        <f t="shared" si="42"/>
        <v>5.928</v>
      </c>
      <c r="F324" t="str">
        <f t="shared" si="43"/>
        <v>La Revue maritime  [Texte imprimé]</v>
      </c>
      <c r="G324" t="str">
        <f t="shared" si="44"/>
        <v>La Revue maritime</v>
      </c>
      <c r="H324" t="str">
        <f t="shared" si="45"/>
        <v>2020-7905</v>
      </c>
      <c r="I324" t="str">
        <f t="shared" si="46"/>
        <v>no. 1 (1920) - no. 7  (1925)</v>
      </c>
    </row>
    <row r="325" spans="1:9" x14ac:dyDescent="0.25">
      <c r="A325" t="str">
        <f>"036177474"</f>
        <v>036177474</v>
      </c>
      <c r="B325" t="str">
        <f t="shared" si="47"/>
        <v>991385301</v>
      </c>
      <c r="C325" t="str">
        <f t="shared" si="40"/>
        <v>MONACO-Musée Océanographique</v>
      </c>
      <c r="D325" t="str">
        <f t="shared" si="41"/>
        <v>43.7310033</v>
      </c>
      <c r="E325" t="str">
        <f t="shared" si="42"/>
        <v>7.425491600000001</v>
      </c>
      <c r="F325" t="str">
        <f t="shared" si="43"/>
        <v>Australian fisheries education  [Texte imprimé]</v>
      </c>
      <c r="G325" t="str">
        <f t="shared" si="44"/>
        <v>Australian fisheries education</v>
      </c>
      <c r="H325" t="e">
        <f t="shared" si="45"/>
        <v>#VALUE!</v>
      </c>
      <c r="I325" t="str">
        <f t="shared" si="46"/>
        <v>(1969) - (1971)</v>
      </c>
    </row>
    <row r="326" spans="1:9" x14ac:dyDescent="0.25">
      <c r="A326" t="str">
        <f>"136589995"</f>
        <v>136589995</v>
      </c>
      <c r="B326" t="str">
        <f t="shared" si="47"/>
        <v>060885105</v>
      </c>
      <c r="C326" t="str">
        <f t="shared" si="40"/>
        <v>NICE-Bibl.Chevalier de Cessole</v>
      </c>
      <c r="D326" t="str">
        <f t="shared" si="41"/>
        <v>43.6956246</v>
      </c>
      <c r="E326" t="str">
        <f t="shared" si="42"/>
        <v>7.259380900000001</v>
      </c>
      <c r="F326" t="str">
        <f t="shared" si="43"/>
        <v>La Colonie étrangère  [Texte imprimé]</v>
      </c>
      <c r="G326" t="str">
        <f t="shared" si="44"/>
        <v>La Colonie étrangère</v>
      </c>
      <c r="H326" t="str">
        <f t="shared" si="45"/>
        <v>2124-0566</v>
      </c>
      <c r="I326" t="str">
        <f t="shared" si="46"/>
        <v>no. 324 (fev-1883)</v>
      </c>
    </row>
    <row r="327" spans="1:9" x14ac:dyDescent="0.25">
      <c r="A327" t="str">
        <f>"040158136"</f>
        <v>040158136</v>
      </c>
      <c r="B327" t="str">
        <f t="shared" si="47"/>
        <v>061525404</v>
      </c>
      <c r="C327" t="str">
        <f t="shared" si="40"/>
        <v>SOPHIA/ANT.-Thales Und. Systems</v>
      </c>
      <c r="D327" t="e">
        <f t="shared" si="41"/>
        <v>#VALUE!</v>
      </c>
      <c r="E327" t="e">
        <f t="shared" si="42"/>
        <v>#VALUE!</v>
      </c>
      <c r="F327" t="str">
        <f t="shared" si="43"/>
        <v>Journal of parametrics  [Texte imprimé]</v>
      </c>
      <c r="G327" t="str">
        <f t="shared" si="44"/>
        <v>Journal of parametrics</v>
      </c>
      <c r="H327" t="str">
        <f t="shared" si="45"/>
        <v>1015-7891</v>
      </c>
      <c r="I327" t="str">
        <f t="shared" si="46"/>
        <v>(1985)-....</v>
      </c>
    </row>
    <row r="328" spans="1:9" x14ac:dyDescent="0.25">
      <c r="A328" t="str">
        <f>"140575510"</f>
        <v>140575510</v>
      </c>
      <c r="B328" t="str">
        <f t="shared" si="47"/>
        <v>060885105</v>
      </c>
      <c r="C328" t="str">
        <f t="shared" si="40"/>
        <v>NICE-Bibl.Chevalier de Cessole</v>
      </c>
      <c r="D328" t="str">
        <f t="shared" si="41"/>
        <v>43.6956246</v>
      </c>
      <c r="E328" t="str">
        <f t="shared" si="42"/>
        <v>7.259380900000001</v>
      </c>
      <c r="F328" t="str">
        <f t="shared" si="43"/>
        <v>La Semaine niçoise  [Texte imprimé]</v>
      </c>
      <c r="G328" t="str">
        <f t="shared" si="44"/>
        <v>La Semaine niçoise</v>
      </c>
      <c r="H328" t="str">
        <f t="shared" si="45"/>
        <v>2137-9610</v>
      </c>
      <c r="I328" t="str">
        <f t="shared" si="46"/>
        <v>no. 6 (3-dec-1898) - no. 24  (8-avr-1899)</v>
      </c>
    </row>
    <row r="329" spans="1:9" x14ac:dyDescent="0.25">
      <c r="A329" t="str">
        <f>"140587225"</f>
        <v>140587225</v>
      </c>
      <c r="B329" t="str">
        <f t="shared" si="47"/>
        <v>060885105</v>
      </c>
      <c r="C329" t="str">
        <f t="shared" si="40"/>
        <v>NICE-Bibl.Chevalier de Cessole</v>
      </c>
      <c r="D329" t="str">
        <f t="shared" si="41"/>
        <v>43.6956246</v>
      </c>
      <c r="E329" t="str">
        <f t="shared" si="42"/>
        <v>7.259380900000001</v>
      </c>
      <c r="F329" t="str">
        <f t="shared" si="43"/>
        <v>La Trompette niçoise  [Texte imprimé]</v>
      </c>
      <c r="G329" t="str">
        <f t="shared" si="44"/>
        <v>La Trompette niçoise</v>
      </c>
      <c r="H329" t="str">
        <f t="shared" si="45"/>
        <v>2139-2102</v>
      </c>
      <c r="I329" t="str">
        <f t="shared" si="46"/>
        <v>no. 1 (2-fev-1890) - no. 18  (22-jun-1890)</v>
      </c>
    </row>
    <row r="330" spans="1:9" x14ac:dyDescent="0.25">
      <c r="A330" t="str">
        <f>"038416018"</f>
        <v>038416018</v>
      </c>
      <c r="B330" t="str">
        <f t="shared" si="47"/>
        <v>991385301</v>
      </c>
      <c r="C330" t="str">
        <f t="shared" si="40"/>
        <v>MONACO-Musée Océanographique</v>
      </c>
      <c r="D330" t="str">
        <f t="shared" si="41"/>
        <v>43.7310033</v>
      </c>
      <c r="E330" t="str">
        <f t="shared" si="42"/>
        <v>7.425491600000001</v>
      </c>
      <c r="F330" t="str">
        <f t="shared" si="43"/>
        <v>Tavole per il calcolo delle rette d'altezza  [Texte imprimé]</v>
      </c>
      <c r="G330" t="str">
        <f t="shared" si="44"/>
        <v>Tavole per il calcolo delle rette d'altezza</v>
      </c>
      <c r="H330" t="e">
        <f t="shared" si="45"/>
        <v>#VALUE!</v>
      </c>
      <c r="I330">
        <f t="shared" si="46"/>
        <v>-1953</v>
      </c>
    </row>
    <row r="331" spans="1:9" x14ac:dyDescent="0.25">
      <c r="A331" t="str">
        <f>"039051838"</f>
        <v>039051838</v>
      </c>
      <c r="B331" t="str">
        <f t="shared" si="47"/>
        <v>831376201</v>
      </c>
      <c r="C331" t="str">
        <f t="shared" si="40"/>
        <v>TOULON-BM</v>
      </c>
      <c r="D331" t="str">
        <f t="shared" si="41"/>
        <v>43.0823215</v>
      </c>
      <c r="E331" t="str">
        <f t="shared" si="42"/>
        <v>5.920052699999999</v>
      </c>
      <c r="F331" t="str">
        <f t="shared" si="43"/>
        <v>Le Cri de Toulon  [Texte imprimé]</v>
      </c>
      <c r="G331" t="str">
        <f t="shared" si="44"/>
        <v>Le Cri de Toulon</v>
      </c>
      <c r="H331" t="str">
        <f t="shared" si="45"/>
        <v>2016-8209</v>
      </c>
      <c r="I331" t="str">
        <f t="shared" si="46"/>
        <v>no. 1 (1924) - no. 10  (1924)</v>
      </c>
    </row>
    <row r="332" spans="1:9" x14ac:dyDescent="0.25">
      <c r="A332" t="str">
        <f>"040130738"</f>
        <v>040130738</v>
      </c>
      <c r="B332" t="str">
        <f t="shared" si="47"/>
        <v>991386201</v>
      </c>
      <c r="C332" t="str">
        <f t="shared" si="40"/>
        <v>MONACO-Bibl.Louis Notari</v>
      </c>
      <c r="D332" t="str">
        <f t="shared" si="41"/>
        <v>43.7351319</v>
      </c>
      <c r="E332" t="str">
        <f t="shared" si="42"/>
        <v>7.420563100000001</v>
      </c>
      <c r="F332" t="str">
        <f t="shared" si="43"/>
        <v>Monaco actualité  [Texte imprimé]</v>
      </c>
      <c r="G332" t="str">
        <f t="shared" si="44"/>
        <v>Monaco actualité</v>
      </c>
      <c r="H332" t="str">
        <f t="shared" si="45"/>
        <v>1010-4321</v>
      </c>
      <c r="I332" t="str">
        <f t="shared" si="46"/>
        <v>no. 1 (mai-1985)-.... [lac.26%]</v>
      </c>
    </row>
    <row r="333" spans="1:9" x14ac:dyDescent="0.25">
      <c r="A333" t="str">
        <f>"039347435"</f>
        <v>039347435</v>
      </c>
      <c r="B333" t="str">
        <f t="shared" si="47"/>
        <v>060885109</v>
      </c>
      <c r="C333" t="str">
        <f t="shared" si="40"/>
        <v>NICE-Théâtre Photo. et Image</v>
      </c>
      <c r="D333" t="str">
        <f t="shared" si="41"/>
        <v>43.6958659</v>
      </c>
      <c r="E333" t="str">
        <f t="shared" si="42"/>
        <v>7.274715499999957</v>
      </c>
      <c r="F333" t="str">
        <f t="shared" si="43"/>
        <v>Hasselblad forum  [Texte imprimé]</v>
      </c>
      <c r="G333" t="str">
        <f t="shared" si="44"/>
        <v>Hasselblad forum</v>
      </c>
      <c r="H333" t="str">
        <f t="shared" si="45"/>
        <v>0282-5457</v>
      </c>
      <c r="I333" t="str">
        <f t="shared" si="46"/>
        <v>vol. 24 no. 1 (mar-1988) - vol. 40  no. 1  (mar-2004) [lacunes 1991-1997]</v>
      </c>
    </row>
    <row r="334" spans="1:9" x14ac:dyDescent="0.25">
      <c r="A334" t="str">
        <f>"03841600X"</f>
        <v>03841600X</v>
      </c>
      <c r="B334" t="str">
        <f t="shared" si="47"/>
        <v>991385301</v>
      </c>
      <c r="C334" t="str">
        <f t="shared" si="40"/>
        <v>MONACO-Musée Océanographique</v>
      </c>
      <c r="D334" t="str">
        <f t="shared" si="41"/>
        <v>43.7310033</v>
      </c>
      <c r="E334" t="str">
        <f t="shared" si="42"/>
        <v>7.425491600000001</v>
      </c>
      <c r="F334" t="str">
        <f t="shared" si="43"/>
        <v>Gyogyô yôshokugyô gyokaku tôkei hyô  [Texte imprimé]</v>
      </c>
      <c r="G334" t="str">
        <f t="shared" si="44"/>
        <v>Gyogyô yôshokugyô gyokaku tôkei hyô</v>
      </c>
      <c r="H334" t="e">
        <f t="shared" si="45"/>
        <v>#VALUE!</v>
      </c>
      <c r="I334" t="str">
        <f t="shared" si="46"/>
        <v>(1959) - (1961) = (1958) - (1960) ; (1963) - (1964) = (1962) - (1963) ; (1968) - (1973) = (1966) - (1971)</v>
      </c>
    </row>
    <row r="335" spans="1:9" x14ac:dyDescent="0.25">
      <c r="A335" t="str">
        <f>"055778836"</f>
        <v>055778836</v>
      </c>
      <c r="B335" t="str">
        <f t="shared" si="47"/>
        <v>831375101</v>
      </c>
      <c r="C335" t="str">
        <f t="shared" si="40"/>
        <v>TOULON-Serv.Historique Marine</v>
      </c>
      <c r="D335" t="str">
        <f t="shared" si="41"/>
        <v>43.124228</v>
      </c>
      <c r="E335" t="str">
        <f t="shared" si="42"/>
        <v>5.928</v>
      </c>
      <c r="F335" t="str">
        <f t="shared" si="43"/>
        <v>Statistique du commerce maritime du port de Rouen  [Texte imprimé]</v>
      </c>
      <c r="G335" t="str">
        <f t="shared" si="44"/>
        <v>Statistique du commerce maritime du port de Rouen</v>
      </c>
      <c r="H335" t="str">
        <f t="shared" si="45"/>
        <v>2021-1546</v>
      </c>
      <c r="I335">
        <f t="shared" si="46"/>
        <v>-1851</v>
      </c>
    </row>
    <row r="336" spans="1:9" x14ac:dyDescent="0.25">
      <c r="A336" t="str">
        <f>"137887108"</f>
        <v>137887108</v>
      </c>
      <c r="B336" t="str">
        <f t="shared" si="47"/>
        <v>060885105</v>
      </c>
      <c r="C336" t="str">
        <f t="shared" si="40"/>
        <v>NICE-Bibl.Chevalier de Cessole</v>
      </c>
      <c r="D336" t="str">
        <f t="shared" si="41"/>
        <v>43.6956246</v>
      </c>
      <c r="E336" t="str">
        <f t="shared" si="42"/>
        <v>7.259380900000001</v>
      </c>
      <c r="F336" t="str">
        <f t="shared" si="43"/>
        <v>Le Journal des décavés  [Texte imprimé]</v>
      </c>
      <c r="G336" t="str">
        <f t="shared" si="44"/>
        <v>Le Journal des décavés</v>
      </c>
      <c r="H336" t="str">
        <f t="shared" si="45"/>
        <v>2130-7202</v>
      </c>
      <c r="I336" t="str">
        <f t="shared" si="46"/>
        <v>no. 17 (11-aou-1872) - no. 134  (19-mar-1876) [lacunes]</v>
      </c>
    </row>
    <row r="337" spans="1:9" x14ac:dyDescent="0.25">
      <c r="A337" t="str">
        <f>"140292500"</f>
        <v>140292500</v>
      </c>
      <c r="B337" t="str">
        <f t="shared" si="47"/>
        <v>831375101</v>
      </c>
      <c r="C337" t="str">
        <f t="shared" si="40"/>
        <v>TOULON-Serv.Historique Marine</v>
      </c>
      <c r="D337" t="str">
        <f t="shared" si="41"/>
        <v>43.124228</v>
      </c>
      <c r="E337" t="str">
        <f t="shared" si="42"/>
        <v>5.928</v>
      </c>
      <c r="F337" t="str">
        <f t="shared" si="43"/>
        <v>L'Acomarin  [Texte imprimé]</v>
      </c>
      <c r="G337" t="str">
        <f t="shared" si="44"/>
        <v>L'Acomarin</v>
      </c>
      <c r="H337" t="str">
        <f t="shared" si="45"/>
        <v>2104-1024</v>
      </c>
      <c r="I337" t="str">
        <f t="shared" si="46"/>
        <v>no. 226 (2010)-.... [Lacunes : n°1 à 225 ; 228.]</v>
      </c>
    </row>
    <row r="338" spans="1:9" x14ac:dyDescent="0.25">
      <c r="A338" t="str">
        <f>"048881899"</f>
        <v>048881899</v>
      </c>
      <c r="B338" t="str">
        <f t="shared" si="47"/>
        <v>831375101</v>
      </c>
      <c r="C338" t="str">
        <f t="shared" si="40"/>
        <v>TOULON-Serv.Historique Marine</v>
      </c>
      <c r="D338" t="str">
        <f t="shared" si="41"/>
        <v>43.124228</v>
      </c>
      <c r="E338" t="str">
        <f t="shared" si="42"/>
        <v>5.928</v>
      </c>
      <c r="F338" t="str">
        <f t="shared" si="43"/>
        <v>Bulletin d'information du Génie maritime  [Texte imprimé]</v>
      </c>
      <c r="G338" t="str">
        <f t="shared" si="44"/>
        <v>Bulletin d'information du Génie maritime</v>
      </c>
      <c r="H338" t="str">
        <f t="shared" si="45"/>
        <v>2020-4876</v>
      </c>
      <c r="I338" t="str">
        <f t="shared" si="46"/>
        <v>no. 1 (1925) - no. 22  (1938)</v>
      </c>
    </row>
    <row r="339" spans="1:9" x14ac:dyDescent="0.25">
      <c r="A339" t="str">
        <f>"136049486"</f>
        <v>136049486</v>
      </c>
      <c r="B339" t="str">
        <f t="shared" si="47"/>
        <v>060885105</v>
      </c>
      <c r="C339" t="str">
        <f t="shared" si="40"/>
        <v>NICE-Bibl.Chevalier de Cessole</v>
      </c>
      <c r="D339" t="str">
        <f t="shared" si="41"/>
        <v>43.6956246</v>
      </c>
      <c r="E339" t="str">
        <f t="shared" si="42"/>
        <v>7.259380900000001</v>
      </c>
      <c r="F339" t="str">
        <f t="shared" si="43"/>
        <v>Le Carillon de Nice  [Texte imprimé]</v>
      </c>
      <c r="G339" t="str">
        <f t="shared" si="44"/>
        <v>Le Carillon de Nice</v>
      </c>
      <c r="H339" t="str">
        <f t="shared" si="45"/>
        <v>2123-4728</v>
      </c>
      <c r="I339" t="str">
        <f t="shared" si="46"/>
        <v>no. 1 (22-jul-1896) - no. 11  (4-oct-1896)</v>
      </c>
    </row>
    <row r="340" spans="1:9" x14ac:dyDescent="0.25">
      <c r="A340" t="str">
        <f>"036333948"</f>
        <v>036333948</v>
      </c>
      <c r="B340" t="str">
        <f t="shared" si="47"/>
        <v>991385301</v>
      </c>
      <c r="C340" t="str">
        <f t="shared" si="40"/>
        <v>MONACO-Musée Océanographique</v>
      </c>
      <c r="D340" t="str">
        <f t="shared" si="41"/>
        <v>43.7310033</v>
      </c>
      <c r="E340" t="str">
        <f t="shared" si="42"/>
        <v>7.425491600000001</v>
      </c>
      <c r="F340" t="str">
        <f t="shared" si="43"/>
        <v>Meddelelser fra det Zoologiske museum  [Texte imprimé]</v>
      </c>
      <c r="G340" t="str">
        <f t="shared" si="44"/>
        <v>Meddelelser fra det Zoologiske museum</v>
      </c>
      <c r="H340" t="e">
        <f t="shared" si="45"/>
        <v>#VALUE!</v>
      </c>
      <c r="I340" t="e">
        <f t="shared" si="46"/>
        <v>#VALUE!</v>
      </c>
    </row>
    <row r="341" spans="1:9" x14ac:dyDescent="0.25">
      <c r="A341" t="str">
        <f>"037540998"</f>
        <v>037540998</v>
      </c>
      <c r="B341" t="str">
        <f t="shared" si="47"/>
        <v>991385301</v>
      </c>
      <c r="C341" t="str">
        <f t="shared" si="40"/>
        <v>MONACO-Musée Océanographique</v>
      </c>
      <c r="D341" t="str">
        <f t="shared" si="41"/>
        <v>43.7310033</v>
      </c>
      <c r="E341" t="str">
        <f t="shared" si="42"/>
        <v>7.425491600000001</v>
      </c>
      <c r="F341" t="str">
        <f t="shared" si="43"/>
        <v>Prirodno-matematichki Fakultet Univerziteta u Beogradu. Geografski Zavod. Zbornik Radova  [Texte imprimé]</v>
      </c>
      <c r="G341" t="str">
        <f t="shared" si="44"/>
        <v>Prirodno-matematichki Fakultet Univerziteta u Beogradu. Geografski Zavod. Zbornik Radova</v>
      </c>
      <c r="H341" t="str">
        <f t="shared" si="45"/>
        <v>0522-8492</v>
      </c>
      <c r="I341" t="e">
        <f t="shared" si="46"/>
        <v>#VALUE!</v>
      </c>
    </row>
    <row r="342" spans="1:9" x14ac:dyDescent="0.25">
      <c r="A342" t="str">
        <f>"038550156"</f>
        <v>038550156</v>
      </c>
      <c r="B342" t="str">
        <f t="shared" si="47"/>
        <v>060882303</v>
      </c>
      <c r="C342" t="str">
        <f t="shared" si="40"/>
        <v>NICE-Museum Hist.Naturelle</v>
      </c>
      <c r="D342" t="str">
        <f t="shared" si="41"/>
        <v>43.7017477</v>
      </c>
      <c r="E342" t="str">
        <f t="shared" si="42"/>
        <v>7.279483399999999</v>
      </c>
      <c r="F342" t="str">
        <f t="shared" si="43"/>
        <v>Annales du museum d'histoire naturelle de marseille</v>
      </c>
      <c r="G342" t="str">
        <f t="shared" si="44"/>
        <v>Annales du museum d'histoire naturelle de marseille</v>
      </c>
      <c r="H342" t="e">
        <f t="shared" si="45"/>
        <v>#VALUE!</v>
      </c>
      <c r="I342" t="str">
        <f t="shared" si="46"/>
        <v>vol. 7 (1902) - vol. 10  (1906) ; vol. 25 (1932) - vol. 28  (1936) [lacunes vol. 8 et 9]</v>
      </c>
    </row>
    <row r="343" spans="1:9" x14ac:dyDescent="0.25">
      <c r="A343" t="str">
        <f>"039052176"</f>
        <v>039052176</v>
      </c>
      <c r="B343" t="str">
        <f t="shared" si="47"/>
        <v>831376201</v>
      </c>
      <c r="C343" t="str">
        <f t="shared" si="40"/>
        <v>TOULON-BM</v>
      </c>
      <c r="D343" t="str">
        <f t="shared" si="41"/>
        <v>43.0823215</v>
      </c>
      <c r="E343" t="str">
        <f t="shared" si="42"/>
        <v>5.920052699999999</v>
      </c>
      <c r="F343" t="str">
        <f t="shared" si="43"/>
        <v>La Semaine judiciaire &amp; commerciale  [Texte imprimé]</v>
      </c>
      <c r="G343" t="str">
        <f t="shared" si="44"/>
        <v>La Semaine judiciaire &amp; commerciale</v>
      </c>
      <c r="H343" t="str">
        <f t="shared" si="45"/>
        <v>2015-0733</v>
      </c>
      <c r="I343" t="str">
        <f t="shared" si="46"/>
        <v>no. 57 (1898)</v>
      </c>
    </row>
    <row r="344" spans="1:9" x14ac:dyDescent="0.25">
      <c r="A344" t="str">
        <f>"039095878"</f>
        <v>039095878</v>
      </c>
      <c r="B344" t="str">
        <f t="shared" si="47"/>
        <v>831376201</v>
      </c>
      <c r="C344" t="str">
        <f t="shared" si="40"/>
        <v>TOULON-BM</v>
      </c>
      <c r="D344" t="str">
        <f t="shared" si="41"/>
        <v>43.0823215</v>
      </c>
      <c r="E344" t="str">
        <f t="shared" si="42"/>
        <v>5.920052699999999</v>
      </c>
      <c r="F344" t="str">
        <f t="shared" si="43"/>
        <v>Le Ménagier français  [Texte imprimé]</v>
      </c>
      <c r="G344" t="str">
        <f t="shared" si="44"/>
        <v>Le Ménagier français</v>
      </c>
      <c r="H344" t="str">
        <f t="shared" si="45"/>
        <v>2017-5450</v>
      </c>
      <c r="I344" t="str">
        <f t="shared" si="46"/>
        <v>(1857) - (1859)</v>
      </c>
    </row>
    <row r="345" spans="1:9" x14ac:dyDescent="0.25">
      <c r="A345" t="str">
        <f>"190996374"</f>
        <v>190996374</v>
      </c>
      <c r="B345" t="str">
        <f t="shared" si="47"/>
        <v>060696201</v>
      </c>
      <c r="C345" t="str">
        <f t="shared" si="40"/>
        <v>GRASSE-Villa St Hilaire</v>
      </c>
      <c r="D345" t="str">
        <f t="shared" si="41"/>
        <v>43.65711599999999</v>
      </c>
      <c r="E345" t="str">
        <f t="shared" si="42"/>
        <v>6.9183745</v>
      </c>
      <c r="F345" t="str">
        <f t="shared" si="43"/>
        <v>Grand Pavois  : revue de l'International sporting club de Cannes</v>
      </c>
      <c r="G345" t="str">
        <f t="shared" si="44"/>
        <v>Grand Pavois</v>
      </c>
      <c r="H345" t="str">
        <f t="shared" si="45"/>
        <v>2555-249X</v>
      </c>
      <c r="I345" t="str">
        <f t="shared" si="46"/>
        <v>(dec-1965) - (dec-1968) [Lacunaire]</v>
      </c>
    </row>
    <row r="346" spans="1:9" x14ac:dyDescent="0.25">
      <c r="A346" t="str">
        <f>"055390218"</f>
        <v>055390218</v>
      </c>
      <c r="B346" t="str">
        <f t="shared" si="47"/>
        <v>060885101</v>
      </c>
      <c r="C346" t="str">
        <f t="shared" si="40"/>
        <v>NICE-Archives Municipales</v>
      </c>
      <c r="D346" t="str">
        <f t="shared" si="41"/>
        <v>43.68774699999999</v>
      </c>
      <c r="E346" t="str">
        <f t="shared" si="42"/>
        <v>7.235200000000001</v>
      </c>
      <c r="F346" t="str">
        <f t="shared" si="43"/>
        <v>Nouostre clouquié  [Texte imprimé]  : Bullletin de la Société du Gonfalon dite "Archiconfrérie de Ste-Croix"</v>
      </c>
      <c r="G346" t="str">
        <f t="shared" si="44"/>
        <v>Nouostre clouquié</v>
      </c>
      <c r="H346" t="str">
        <f t="shared" si="45"/>
        <v>1627-3559</v>
      </c>
      <c r="I346" t="str">
        <f t="shared" si="46"/>
        <v>no. 8 (1972) - no. 18  (1975) [lac.n°14,17]</v>
      </c>
    </row>
    <row r="347" spans="1:9" x14ac:dyDescent="0.25">
      <c r="A347" t="str">
        <f>"05092706X"</f>
        <v>05092706X</v>
      </c>
      <c r="B347" t="str">
        <f t="shared" si="47"/>
        <v>831375101</v>
      </c>
      <c r="C347" t="str">
        <f t="shared" si="40"/>
        <v>TOULON-Serv.Historique Marine</v>
      </c>
      <c r="D347" t="str">
        <f t="shared" si="41"/>
        <v>43.124228</v>
      </c>
      <c r="E347" t="str">
        <f t="shared" si="42"/>
        <v>5.928</v>
      </c>
      <c r="F347" t="str">
        <f t="shared" si="43"/>
        <v>Situation de la flotte française de pêche  [Texte imprimé]</v>
      </c>
      <c r="G347" t="str">
        <f t="shared" si="44"/>
        <v>Situation de la flotte française de pêche</v>
      </c>
      <c r="H347" t="str">
        <f t="shared" si="45"/>
        <v>1623-6599</v>
      </c>
      <c r="I347" t="str">
        <f t="shared" si="46"/>
        <v>(1969) - (1971)</v>
      </c>
    </row>
    <row r="348" spans="1:9" x14ac:dyDescent="0.25">
      <c r="A348" t="str">
        <f>"045047138"</f>
        <v>045047138</v>
      </c>
      <c r="B348" t="str">
        <f t="shared" si="47"/>
        <v>991385201</v>
      </c>
      <c r="C348" t="str">
        <f t="shared" si="40"/>
        <v>MONACO-Jardin exotique</v>
      </c>
      <c r="D348" t="str">
        <f t="shared" si="41"/>
        <v>43.7310908</v>
      </c>
      <c r="E348" t="str">
        <f t="shared" si="42"/>
        <v>7.410747499999999</v>
      </c>
      <c r="F348" t="str">
        <f t="shared" si="43"/>
        <v>EPIG. Interessengemeinschaft Epiphytische Kakteen  [Texte imprimé]</v>
      </c>
      <c r="G348" t="str">
        <f t="shared" si="44"/>
        <v>EPIG. Interessengemeinschaft Epiphytische Kakteen</v>
      </c>
      <c r="H348" t="e">
        <f t="shared" si="45"/>
        <v>#VALUE!</v>
      </c>
      <c r="I348" t="str">
        <f t="shared" si="46"/>
        <v>vol. 5 no. 4 (1993)-....</v>
      </c>
    </row>
    <row r="349" spans="1:9" x14ac:dyDescent="0.25">
      <c r="A349" t="str">
        <f>"036419273"</f>
        <v>036419273</v>
      </c>
      <c r="B349" t="str">
        <f t="shared" si="47"/>
        <v>991385301</v>
      </c>
      <c r="C349" t="str">
        <f t="shared" si="40"/>
        <v>MONACO-Musée Océanographique</v>
      </c>
      <c r="D349" t="str">
        <f t="shared" si="41"/>
        <v>43.7310033</v>
      </c>
      <c r="E349" t="str">
        <f t="shared" si="42"/>
        <v>7.425491600000001</v>
      </c>
      <c r="F349" t="str">
        <f t="shared" si="43"/>
        <v>Sea grant information bulletin.  [Texte imprimé]</v>
      </c>
      <c r="G349" t="str">
        <f t="shared" si="44"/>
        <v>Sea grant information bulletin.</v>
      </c>
      <c r="H349" t="e">
        <f t="shared" si="45"/>
        <v>#VALUE!</v>
      </c>
      <c r="I349" t="str">
        <f t="shared" si="46"/>
        <v>(1970)-....</v>
      </c>
    </row>
    <row r="350" spans="1:9" x14ac:dyDescent="0.25">
      <c r="A350" t="str">
        <f>"048886998"</f>
        <v>048886998</v>
      </c>
      <c r="B350" t="str">
        <f t="shared" si="47"/>
        <v>831375101</v>
      </c>
      <c r="C350" t="str">
        <f t="shared" si="40"/>
        <v>TOULON-Serv.Historique Marine</v>
      </c>
      <c r="D350" t="str">
        <f t="shared" si="41"/>
        <v>43.124228</v>
      </c>
      <c r="E350" t="str">
        <f t="shared" si="42"/>
        <v>5.928</v>
      </c>
      <c r="F350" t="str">
        <f t="shared" si="43"/>
        <v>Bulletin hebdomadaire  [Texte imprimé]  / 3e région maritime</v>
      </c>
      <c r="G350" t="str">
        <f t="shared" si="44"/>
        <v>Bulletin hebdomadaire</v>
      </c>
      <c r="H350" t="str">
        <f t="shared" si="45"/>
        <v>0984-7804</v>
      </c>
      <c r="I350" t="str">
        <f t="shared" si="46"/>
        <v>(1970) - (1974)</v>
      </c>
    </row>
    <row r="351" spans="1:9" x14ac:dyDescent="0.25">
      <c r="A351" t="str">
        <f>"180497561"</f>
        <v>180497561</v>
      </c>
      <c r="B351" t="str">
        <f t="shared" si="47"/>
        <v>060885215</v>
      </c>
      <c r="C351" t="str">
        <f t="shared" si="40"/>
        <v>NICE-Musée des Beaux-Arts</v>
      </c>
      <c r="D351" t="str">
        <f t="shared" si="41"/>
        <v>43.694748</v>
      </c>
      <c r="E351" t="str">
        <f t="shared" si="42"/>
        <v>7.2491359</v>
      </c>
      <c r="F351" t="e">
        <f t="shared" si="43"/>
        <v>#VALUE!</v>
      </c>
      <c r="G351" t="str">
        <f t="shared" si="44"/>
        <v>Les Saisons des musées</v>
      </c>
      <c r="H351" t="str">
        <f t="shared" si="45"/>
        <v>2274-6528</v>
      </c>
      <c r="I351" t="str">
        <f t="shared" si="46"/>
        <v>no. 7 (2015)</v>
      </c>
    </row>
    <row r="352" spans="1:9" x14ac:dyDescent="0.25">
      <c r="A352" t="str">
        <f>"038632438"</f>
        <v>038632438</v>
      </c>
      <c r="B352" t="str">
        <f t="shared" si="47"/>
        <v>831376201</v>
      </c>
      <c r="C352" t="str">
        <f t="shared" ref="C352:C415" si="48">_xlfn.FILTERXML(_xlfn.WEBSERVICE("http://www.sudoc.fr/services/multiwhere/"&amp;A352),"//query/result/library/shortname")</f>
        <v>TOULON-BM</v>
      </c>
      <c r="D352" t="str">
        <f t="shared" ref="D352:D415" si="49">_xlfn.FILTERXML(_xlfn.WEBSERVICE("http://www.sudoc.fr/services/multiwhere/"&amp;A352),"//query/result/library/latitude")</f>
        <v>43.0823215</v>
      </c>
      <c r="E352" t="str">
        <f t="shared" ref="E352:E415" si="50">_xlfn.FILTERXML(_xlfn.WEBSERVICE("http://www.sudoc.fr/services/multiwhere/"&amp;A352),"//query/result/library/longitude")</f>
        <v>5.920052699999999</v>
      </c>
      <c r="F352" t="str">
        <f t="shared" ref="F352:F415" si="51">_xlfn.FILTERXML(_xlfn.WEBSERVICE("http://www.sudoc.fr/"&amp;A352&amp;".rdf"),"//bibo:Periodical/dc:title")</f>
        <v>Panorama de l'actualité  [Texte imprimé]  / Chambre de commerce et d'industrie du Var</v>
      </c>
      <c r="G352" t="str">
        <f t="shared" ref="G352:G415" si="52">_xlfn.FILTERXML(_xlfn.WEBSERVICE("http://www.sudoc.fr/"&amp;A352&amp;".abes"),"//datafield[@tag='200']/subfield[@code='a']")</f>
        <v>Panorama de l'actualité</v>
      </c>
      <c r="H352" t="str">
        <f t="shared" ref="H352:H415" si="53">_xlfn.FILTERXML(_xlfn.WEBSERVICE("http://www.sudoc.fr/"&amp;A352&amp;".abes"),"//datafield[@tag='011']/subfield[@code='a']")</f>
        <v>1158-3002</v>
      </c>
      <c r="I352" t="str">
        <f t="shared" ref="I352:I415" si="54">_xlfn.FILTERXML(_xlfn.WEBSERVICE("http://www.sudoc.fr/"&amp;A352&amp;".abes"),"//datafield[@tag='955']/subfield[@code='r']")</f>
        <v>no. 1 (mai-1977) - no. 3  (mai-1979)</v>
      </c>
    </row>
    <row r="353" spans="1:9" x14ac:dyDescent="0.25">
      <c r="A353" t="str">
        <f>"038890585"</f>
        <v>038890585</v>
      </c>
      <c r="B353" t="str">
        <f t="shared" si="47"/>
        <v>060885102</v>
      </c>
      <c r="C353" t="str">
        <f t="shared" si="48"/>
        <v>NICE-Archives Départementales</v>
      </c>
      <c r="D353" t="str">
        <f t="shared" si="49"/>
        <v>43.6877482</v>
      </c>
      <c r="E353" t="str">
        <f t="shared" si="50"/>
        <v>7.2113605</v>
      </c>
      <c r="F353" t="str">
        <f t="shared" si="51"/>
        <v>Dynamiques sociales  [Texte imprimé]</v>
      </c>
      <c r="G353" t="str">
        <f t="shared" si="52"/>
        <v>Dynamiques sociales</v>
      </c>
      <c r="H353" t="str">
        <f t="shared" si="53"/>
        <v>1274-6142</v>
      </c>
      <c r="I353">
        <f t="shared" si="54"/>
        <v>-1995</v>
      </c>
    </row>
    <row r="354" spans="1:9" x14ac:dyDescent="0.25">
      <c r="A354" t="str">
        <f>"050921800"</f>
        <v>050921800</v>
      </c>
      <c r="B354" t="str">
        <f t="shared" si="47"/>
        <v>831375101</v>
      </c>
      <c r="C354" t="str">
        <f t="shared" si="48"/>
        <v>TOULON-Serv.Historique Marine</v>
      </c>
      <c r="D354" t="str">
        <f t="shared" si="49"/>
        <v>43.124228</v>
      </c>
      <c r="E354" t="str">
        <f t="shared" si="50"/>
        <v>5.928</v>
      </c>
      <c r="F354" t="str">
        <f t="shared" si="51"/>
        <v>Engineering directory  [Texte imprimé]</v>
      </c>
      <c r="G354" t="str">
        <f t="shared" si="52"/>
        <v>Engineering directory</v>
      </c>
      <c r="H354" t="e">
        <f t="shared" si="53"/>
        <v>#VALUE!</v>
      </c>
      <c r="I354" t="str">
        <f t="shared" si="54"/>
        <v>(1915) - (1938) [lac.]</v>
      </c>
    </row>
    <row r="355" spans="1:9" x14ac:dyDescent="0.25">
      <c r="A355" t="str">
        <f>"124278825"</f>
        <v>124278825</v>
      </c>
      <c r="B355" t="str">
        <f t="shared" si="47"/>
        <v>060885105</v>
      </c>
      <c r="C355" t="str">
        <f t="shared" si="48"/>
        <v>NICE-Bibl.Chevalier de Cessole</v>
      </c>
      <c r="D355" t="str">
        <f t="shared" si="49"/>
        <v>43.6956246</v>
      </c>
      <c r="E355" t="str">
        <f t="shared" si="50"/>
        <v>7.259380900000001</v>
      </c>
      <c r="F355" t="str">
        <f t="shared" si="51"/>
        <v>Le Soleil de Nice  [Texte imprimé]</v>
      </c>
      <c r="G355" t="str">
        <f t="shared" si="52"/>
        <v>Le Soleil de Nice</v>
      </c>
      <c r="H355" t="str">
        <f t="shared" si="53"/>
        <v>1963-9015</v>
      </c>
      <c r="I355" t="str">
        <f t="shared" si="54"/>
        <v>no. 1 (4-fev-1886) - no. 2  (14-fev-1886)</v>
      </c>
    </row>
    <row r="356" spans="1:9" x14ac:dyDescent="0.25">
      <c r="A356" t="str">
        <f>"036418668"</f>
        <v>036418668</v>
      </c>
      <c r="B356" t="str">
        <f t="shared" si="47"/>
        <v>991385301</v>
      </c>
      <c r="C356" t="str">
        <f t="shared" si="48"/>
        <v>MONACO-Musée Océanographique</v>
      </c>
      <c r="D356" t="str">
        <f t="shared" si="49"/>
        <v>43.7310033</v>
      </c>
      <c r="E356" t="str">
        <f t="shared" si="50"/>
        <v>7.425491600000001</v>
      </c>
      <c r="F356" t="str">
        <f t="shared" si="51"/>
        <v>Scientific results of the Brategg expedition, 1947-48</v>
      </c>
      <c r="G356" t="str">
        <f t="shared" si="52"/>
        <v>Scientific results of the Brategg expedition, 1947-48</v>
      </c>
      <c r="H356" t="e">
        <f t="shared" si="53"/>
        <v>#VALUE!</v>
      </c>
      <c r="I356" t="e">
        <f t="shared" si="54"/>
        <v>#VALUE!</v>
      </c>
    </row>
    <row r="357" spans="1:9" x14ac:dyDescent="0.25">
      <c r="A357" t="str">
        <f>"040079090"</f>
        <v>040079090</v>
      </c>
      <c r="B357" t="str">
        <f t="shared" si="47"/>
        <v>061525404</v>
      </c>
      <c r="C357" t="str">
        <f t="shared" si="48"/>
        <v>SOPHIA/ANT.-Thales Und. Systems</v>
      </c>
      <c r="D357" t="e">
        <f t="shared" si="49"/>
        <v>#VALUE!</v>
      </c>
      <c r="E357" t="e">
        <f t="shared" si="50"/>
        <v>#VALUE!</v>
      </c>
      <c r="F357" t="str">
        <f t="shared" si="51"/>
        <v>COI. Countertrade and offset intelligence  [Texte imprimé]</v>
      </c>
      <c r="G357" t="str">
        <f t="shared" si="52"/>
        <v>COI. Countertrade and offset intelligence</v>
      </c>
      <c r="H357" t="str">
        <f t="shared" si="53"/>
        <v>0950-916X</v>
      </c>
      <c r="I357" t="str">
        <f t="shared" si="54"/>
        <v>(1988)-....</v>
      </c>
    </row>
    <row r="358" spans="1:9" x14ac:dyDescent="0.25">
      <c r="A358" t="str">
        <f>"136618723"</f>
        <v>136618723</v>
      </c>
      <c r="B358" t="str">
        <f t="shared" si="47"/>
        <v>060885105</v>
      </c>
      <c r="C358" t="str">
        <f t="shared" si="48"/>
        <v>NICE-Bibl.Chevalier de Cessole</v>
      </c>
      <c r="D358" t="str">
        <f t="shared" si="49"/>
        <v>43.6956246</v>
      </c>
      <c r="E358" t="str">
        <f t="shared" si="50"/>
        <v>7.259380900000001</v>
      </c>
      <c r="F358" t="str">
        <f t="shared" si="51"/>
        <v>L'Eclair de Nice et des Alpes-Maritimes  [Texte imprimé]</v>
      </c>
      <c r="G358" t="str">
        <f t="shared" si="52"/>
        <v>L'Eclair de Nice et des Alpes-Maritimes</v>
      </c>
      <c r="H358" t="str">
        <f t="shared" si="53"/>
        <v>2126-8711</v>
      </c>
      <c r="I358" t="str">
        <f t="shared" si="54"/>
        <v>no. 6 (31-mar-1935) - no. 7  (20-avr-1935) [lacunes]</v>
      </c>
    </row>
    <row r="359" spans="1:9" x14ac:dyDescent="0.25">
      <c r="A359" t="str">
        <f>"050923315"</f>
        <v>050923315</v>
      </c>
      <c r="B359" t="str">
        <f t="shared" si="47"/>
        <v>831375101</v>
      </c>
      <c r="C359" t="str">
        <f t="shared" si="48"/>
        <v>TOULON-Serv.Historique Marine</v>
      </c>
      <c r="D359" t="str">
        <f t="shared" si="49"/>
        <v>43.124228</v>
      </c>
      <c r="E359" t="str">
        <f t="shared" si="50"/>
        <v>5.928</v>
      </c>
      <c r="F359" t="str">
        <f t="shared" si="51"/>
        <v>Revue bretonne et maritime  [Texte imprimé]</v>
      </c>
      <c r="G359" t="str">
        <f t="shared" si="52"/>
        <v>Revue bretonne et maritime</v>
      </c>
      <c r="H359" t="str">
        <f t="shared" si="53"/>
        <v>2020-8529</v>
      </c>
      <c r="I359">
        <f t="shared" si="54"/>
        <v>-1846</v>
      </c>
    </row>
    <row r="360" spans="1:9" x14ac:dyDescent="0.25">
      <c r="A360" t="str">
        <f>"03903478X"</f>
        <v>03903478X</v>
      </c>
      <c r="B360" t="str">
        <f t="shared" si="47"/>
        <v>831376201</v>
      </c>
      <c r="C360" t="str">
        <f t="shared" si="48"/>
        <v>TOULON-BM</v>
      </c>
      <c r="D360" t="str">
        <f t="shared" si="49"/>
        <v>43.0823215</v>
      </c>
      <c r="E360" t="str">
        <f t="shared" si="50"/>
        <v>5.920052699999999</v>
      </c>
      <c r="F360" t="str">
        <f t="shared" si="51"/>
        <v>Affiches, annonces et avis divers de la ville de Toulon  [Texte imprimé]</v>
      </c>
      <c r="G360" t="str">
        <f t="shared" si="52"/>
        <v>Affiches, annonces et avis divers de la ville de Toulon</v>
      </c>
      <c r="H360" t="str">
        <f t="shared" si="53"/>
        <v>2015-6278</v>
      </c>
      <c r="I360" t="str">
        <f t="shared" si="54"/>
        <v>no. 1 (1811) - no. 103  (1834)</v>
      </c>
    </row>
    <row r="361" spans="1:9" x14ac:dyDescent="0.25">
      <c r="A361" t="str">
        <f>"037950584"</f>
        <v>037950584</v>
      </c>
      <c r="B361" t="str">
        <f t="shared" si="47"/>
        <v>991386201</v>
      </c>
      <c r="C361" t="str">
        <f t="shared" si="48"/>
        <v>MONACO-Bibl.Louis Notari</v>
      </c>
      <c r="D361" t="str">
        <f t="shared" si="49"/>
        <v>43.7351319</v>
      </c>
      <c r="E361" t="str">
        <f t="shared" si="50"/>
        <v>7.420563100000001</v>
      </c>
      <c r="F361" t="str">
        <f t="shared" si="51"/>
        <v>L'Eveil démocratique de Monaco  [Texte imprimé]</v>
      </c>
      <c r="G361" t="str">
        <f t="shared" si="52"/>
        <v>L'Eveil démocratique de Monaco</v>
      </c>
      <c r="H361" t="str">
        <f t="shared" si="53"/>
        <v>1011-1425</v>
      </c>
      <c r="I361" t="str">
        <f t="shared" si="54"/>
        <v>no. 1 (dec-1930) - no. 9  (fev-1935)</v>
      </c>
    </row>
    <row r="362" spans="1:9" x14ac:dyDescent="0.25">
      <c r="A362" t="str">
        <f>"039034151"</f>
        <v>039034151</v>
      </c>
      <c r="B362" t="str">
        <f t="shared" si="47"/>
        <v>831376201</v>
      </c>
      <c r="C362" t="str">
        <f t="shared" si="48"/>
        <v>TOULON-BM</v>
      </c>
      <c r="D362" t="str">
        <f t="shared" si="49"/>
        <v>43.0823215</v>
      </c>
      <c r="E362" t="str">
        <f t="shared" si="50"/>
        <v>5.920052699999999</v>
      </c>
      <c r="F362" t="str">
        <f t="shared" si="51"/>
        <v>L'Électeur  [Texte imprimé]  : Organe du Comité républicain, démocratique d'intérêt local</v>
      </c>
      <c r="G362" t="str">
        <f t="shared" si="52"/>
        <v>L'Électeur</v>
      </c>
      <c r="H362" t="e">
        <f t="shared" si="53"/>
        <v>#VALUE!</v>
      </c>
      <c r="I362" t="str">
        <f t="shared" si="54"/>
        <v>no. 1 (1925) - no. 3  (1925)</v>
      </c>
    </row>
    <row r="363" spans="1:9" x14ac:dyDescent="0.25">
      <c r="A363" t="str">
        <f>"038020041"</f>
        <v>038020041</v>
      </c>
      <c r="B363" t="str">
        <f t="shared" si="47"/>
        <v>061525404</v>
      </c>
      <c r="C363" t="str">
        <f t="shared" si="48"/>
        <v>SOPHIA/ANT.-Thales Und. Systems</v>
      </c>
      <c r="D363" t="e">
        <f t="shared" si="49"/>
        <v>#VALUE!</v>
      </c>
      <c r="E363" t="e">
        <f t="shared" si="50"/>
        <v>#VALUE!</v>
      </c>
      <c r="F363" t="str">
        <f t="shared" si="51"/>
        <v>International electronic design  [Texte imprimé]</v>
      </c>
      <c r="G363" t="str">
        <f t="shared" si="52"/>
        <v>International electronic design</v>
      </c>
      <c r="H363" t="str">
        <f t="shared" si="53"/>
        <v>1047-5931</v>
      </c>
      <c r="I363" t="str">
        <f t="shared" si="54"/>
        <v>(1988)-....</v>
      </c>
    </row>
    <row r="364" spans="1:9" x14ac:dyDescent="0.25">
      <c r="A364" t="str">
        <f>"038775301"</f>
        <v>038775301</v>
      </c>
      <c r="B364" t="str">
        <f t="shared" si="47"/>
        <v>060885101</v>
      </c>
      <c r="C364" t="str">
        <f t="shared" si="48"/>
        <v>NICE-Archives Municipales</v>
      </c>
      <c r="D364" t="str">
        <f t="shared" si="49"/>
        <v>43.68774699999999</v>
      </c>
      <c r="E364" t="str">
        <f t="shared" si="50"/>
        <v>7.235200000000001</v>
      </c>
      <c r="F364" t="str">
        <f t="shared" si="51"/>
        <v>Le Messager des Alpes-maritimes  [Texte imprimé]</v>
      </c>
      <c r="G364" t="str">
        <f t="shared" si="52"/>
        <v>Le Messager des Alpes-maritimes</v>
      </c>
      <c r="H364" t="str">
        <f t="shared" si="53"/>
        <v>1248-4490</v>
      </c>
      <c r="I364" t="str">
        <f t="shared" si="54"/>
        <v>no. 4 (1856) - no. 12  (1856)</v>
      </c>
    </row>
    <row r="365" spans="1:9" x14ac:dyDescent="0.25">
      <c r="A365" t="str">
        <f>"044691572"</f>
        <v>044691572</v>
      </c>
      <c r="B365" t="str">
        <f t="shared" si="47"/>
        <v>991385201</v>
      </c>
      <c r="C365" t="str">
        <f t="shared" si="48"/>
        <v>MONACO-Jardin exotique</v>
      </c>
      <c r="D365" t="str">
        <f t="shared" si="49"/>
        <v>43.7310908</v>
      </c>
      <c r="E365" t="str">
        <f t="shared" si="50"/>
        <v>7.410747499999999</v>
      </c>
      <c r="F365" t="str">
        <f t="shared" si="51"/>
        <v>The Journal of the Sempervivum Society  [Texte imprimé]</v>
      </c>
      <c r="G365" t="str">
        <f t="shared" si="52"/>
        <v>The Journal of the Sempervivum Society</v>
      </c>
      <c r="H365" t="str">
        <f t="shared" si="53"/>
        <v>0950-9798</v>
      </c>
      <c r="I365" t="str">
        <f t="shared" si="54"/>
        <v>vol. 9 no. 1 (1978) - vol. 10  no. 3  (1979)</v>
      </c>
    </row>
    <row r="366" spans="1:9" x14ac:dyDescent="0.25">
      <c r="A366" t="str">
        <f>"136611451"</f>
        <v>136611451</v>
      </c>
      <c r="B366" t="str">
        <f t="shared" si="47"/>
        <v>060885105</v>
      </c>
      <c r="C366" t="str">
        <f t="shared" si="48"/>
        <v>NICE-Bibl.Chevalier de Cessole</v>
      </c>
      <c r="D366" t="str">
        <f t="shared" si="49"/>
        <v>43.6956246</v>
      </c>
      <c r="E366" t="str">
        <f t="shared" si="50"/>
        <v>7.259380900000001</v>
      </c>
      <c r="F366" t="str">
        <f t="shared" si="51"/>
        <v>L'Echo de Castellar  [Texte imprimé]</v>
      </c>
      <c r="G366" t="str">
        <f t="shared" si="52"/>
        <v>L'Echo de Castellar</v>
      </c>
      <c r="H366" t="str">
        <f t="shared" si="53"/>
        <v>2126-1547</v>
      </c>
      <c r="I366" t="str">
        <f t="shared" si="54"/>
        <v>no. 1 (2-oct-1929) - no. 2  (5-nov-1929)</v>
      </c>
    </row>
    <row r="367" spans="1:9" x14ac:dyDescent="0.25">
      <c r="A367" t="str">
        <f>"040269264"</f>
        <v>040269264</v>
      </c>
      <c r="B367" t="str">
        <f t="shared" si="47"/>
        <v>991385301</v>
      </c>
      <c r="C367" t="str">
        <f t="shared" si="48"/>
        <v>MONACO-Musée Océanographique</v>
      </c>
      <c r="D367" t="str">
        <f t="shared" si="49"/>
        <v>43.7310033</v>
      </c>
      <c r="E367" t="str">
        <f t="shared" si="50"/>
        <v>7.425491600000001</v>
      </c>
      <c r="F367" t="str">
        <f t="shared" si="51"/>
        <v>Annual report  [Texte imprimé]  / Bigelow Laboratory for Ocean Sciences</v>
      </c>
      <c r="G367" t="str">
        <f t="shared" si="52"/>
        <v>Annual report</v>
      </c>
      <c r="H367" t="str">
        <f t="shared" si="53"/>
        <v>1048-616X</v>
      </c>
      <c r="I367" t="str">
        <f t="shared" si="54"/>
        <v>(1975/76)-....</v>
      </c>
    </row>
    <row r="368" spans="1:9" x14ac:dyDescent="0.25">
      <c r="A368" t="str">
        <f>"050926659"</f>
        <v>050926659</v>
      </c>
      <c r="B368" t="str">
        <f t="shared" si="47"/>
        <v>831375101</v>
      </c>
      <c r="C368" t="str">
        <f t="shared" si="48"/>
        <v>TOULON-Serv.Historique Marine</v>
      </c>
      <c r="D368" t="str">
        <f t="shared" si="49"/>
        <v>43.124228</v>
      </c>
      <c r="E368" t="str">
        <f t="shared" si="50"/>
        <v>5.928</v>
      </c>
      <c r="F368" t="str">
        <f t="shared" si="51"/>
        <v>Mémorial des travaux hydrauliques de la marine  [Texte imprimé]</v>
      </c>
      <c r="G368" t="str">
        <f t="shared" si="52"/>
        <v>Mémorial des travaux hydrauliques de la marine</v>
      </c>
      <c r="H368" t="str">
        <f t="shared" si="53"/>
        <v>2020-9878</v>
      </c>
      <c r="I368" t="str">
        <f t="shared" si="54"/>
        <v>(1860) - (1863) ; (1869)</v>
      </c>
    </row>
    <row r="369" spans="1:9" x14ac:dyDescent="0.25">
      <c r="A369" t="str">
        <f>"13621455X"</f>
        <v>13621455X</v>
      </c>
      <c r="B369" t="str">
        <f t="shared" si="47"/>
        <v>060885105</v>
      </c>
      <c r="C369" t="str">
        <f t="shared" si="48"/>
        <v>NICE-Bibl.Chevalier de Cessole</v>
      </c>
      <c r="D369" t="str">
        <f t="shared" si="49"/>
        <v>43.6956246</v>
      </c>
      <c r="E369" t="str">
        <f t="shared" si="50"/>
        <v>7.259380900000001</v>
      </c>
      <c r="F369" t="str">
        <f t="shared" si="51"/>
        <v>L'Avenir de Nice et du Sud-Est  [Texte imprimé]</v>
      </c>
      <c r="G369" t="str">
        <f t="shared" si="52"/>
        <v>L'Avenir de Nice et du Sud-Est</v>
      </c>
      <c r="H369" t="str">
        <f t="shared" si="53"/>
        <v>2121-5154</v>
      </c>
      <c r="I369" t="str">
        <f t="shared" si="54"/>
        <v>no. 2 (25-avr-1932)</v>
      </c>
    </row>
    <row r="370" spans="1:9" x14ac:dyDescent="0.25">
      <c r="A370" t="str">
        <f>"050921762"</f>
        <v>050921762</v>
      </c>
      <c r="B370" t="str">
        <f t="shared" si="47"/>
        <v>831375101</v>
      </c>
      <c r="C370" t="str">
        <f t="shared" si="48"/>
        <v>TOULON-Serv.Historique Marine</v>
      </c>
      <c r="D370" t="str">
        <f t="shared" si="49"/>
        <v>43.124228</v>
      </c>
      <c r="E370" t="str">
        <f t="shared" si="50"/>
        <v>5.928</v>
      </c>
      <c r="F370" t="str">
        <f t="shared" si="51"/>
        <v>Diffusion des informations techniques  [Texte imprimé]</v>
      </c>
      <c r="G370" t="str">
        <f t="shared" si="52"/>
        <v>Diffusion des informations techniques</v>
      </c>
      <c r="H370" t="str">
        <f t="shared" si="53"/>
        <v>2020-7816</v>
      </c>
      <c r="I370" t="str">
        <f t="shared" si="54"/>
        <v>no. 63 (1953) - no. 100  (1964) [lac.]</v>
      </c>
    </row>
    <row r="371" spans="1:9" x14ac:dyDescent="0.25">
      <c r="A371" t="str">
        <f>"136607667"</f>
        <v>136607667</v>
      </c>
      <c r="B371" t="str">
        <f t="shared" si="47"/>
        <v>060885105</v>
      </c>
      <c r="C371" t="str">
        <f t="shared" si="48"/>
        <v>NICE-Bibl.Chevalier de Cessole</v>
      </c>
      <c r="D371" t="str">
        <f t="shared" si="49"/>
        <v>43.6956246</v>
      </c>
      <c r="E371" t="str">
        <f t="shared" si="50"/>
        <v>7.259380900000001</v>
      </c>
      <c r="F371" t="str">
        <f t="shared" si="51"/>
        <v>La Dépêche de Nice  [Texte imprimé]</v>
      </c>
      <c r="G371" t="str">
        <f t="shared" si="52"/>
        <v>La Dépêche de Nice</v>
      </c>
      <c r="H371" t="str">
        <f t="shared" si="53"/>
        <v>2125-7833</v>
      </c>
      <c r="I371" t="str">
        <f t="shared" si="54"/>
        <v>no. 640 (7-oct-1908) - (5-nov-1910) [lacunes]</v>
      </c>
    </row>
    <row r="372" spans="1:9" x14ac:dyDescent="0.25">
      <c r="A372" t="str">
        <f>"191197661"</f>
        <v>191197661</v>
      </c>
      <c r="B372" t="str">
        <f t="shared" si="47"/>
        <v>060696201</v>
      </c>
      <c r="C372" t="str">
        <f t="shared" si="48"/>
        <v>GRASSE-Villa St Hilaire</v>
      </c>
      <c r="D372" t="str">
        <f t="shared" si="49"/>
        <v>43.65711599999999</v>
      </c>
      <c r="E372" t="str">
        <f t="shared" si="50"/>
        <v>6.9183745</v>
      </c>
      <c r="F372" t="str">
        <f t="shared" si="51"/>
        <v>Chambre syndicale de la Propriété Bâtie de la région de Grasse affiliée à l'Union de la Propriété Bâtie de France  : bulletin trimestriel</v>
      </c>
      <c r="G372" t="str">
        <f t="shared" si="52"/>
        <v>Chambre syndicale de la Propriété Bâtie de la région de Grasse affiliée à l'Union de la Propriété Bâtie de France</v>
      </c>
      <c r="H372" t="str">
        <f t="shared" si="53"/>
        <v>2555-2325</v>
      </c>
      <c r="I372" t="str">
        <f t="shared" si="54"/>
        <v>(1962) - (1968) [Lacunaire]</v>
      </c>
    </row>
    <row r="373" spans="1:9" x14ac:dyDescent="0.25">
      <c r="A373" t="str">
        <f>"187258767"</f>
        <v>187258767</v>
      </c>
      <c r="B373" t="str">
        <f t="shared" si="47"/>
        <v>060696201</v>
      </c>
      <c r="C373" t="str">
        <f t="shared" si="48"/>
        <v>GRASSE-Villa St Hilaire</v>
      </c>
      <c r="D373" t="str">
        <f t="shared" si="49"/>
        <v>43.65711599999999</v>
      </c>
      <c r="E373" t="str">
        <f t="shared" si="50"/>
        <v>6.9183745</v>
      </c>
      <c r="F373" t="str">
        <f t="shared" si="51"/>
        <v>Le Petit Grassois  [Ressource électronique]</v>
      </c>
      <c r="G373" t="str">
        <f t="shared" si="52"/>
        <v>Le Petit Grassois</v>
      </c>
      <c r="H373" t="str">
        <f t="shared" si="53"/>
        <v>2461-9787</v>
      </c>
      <c r="I373" t="str">
        <f t="shared" si="54"/>
        <v>no. 2 (14-jan-1893) - no. 38  (2-sep-1893)</v>
      </c>
    </row>
    <row r="374" spans="1:9" x14ac:dyDescent="0.25">
      <c r="A374" t="str">
        <f>"039113825"</f>
        <v>039113825</v>
      </c>
      <c r="B374" t="str">
        <f t="shared" si="47"/>
        <v>060885101</v>
      </c>
      <c r="C374" t="str">
        <f t="shared" si="48"/>
        <v>NICE-Archives Municipales</v>
      </c>
      <c r="D374" t="str">
        <f t="shared" si="49"/>
        <v>43.68774699999999</v>
      </c>
      <c r="E374" t="str">
        <f t="shared" si="50"/>
        <v>7.235200000000001</v>
      </c>
      <c r="F374" t="str">
        <f t="shared" si="51"/>
        <v>Interservices - Personnel municipal  [Texte imprimé]</v>
      </c>
      <c r="G374" t="str">
        <f t="shared" si="52"/>
        <v>Interservices - Personnel municipal</v>
      </c>
      <c r="H374" t="e">
        <f t="shared" si="53"/>
        <v>#VALUE!</v>
      </c>
      <c r="I374" t="str">
        <f t="shared" si="54"/>
        <v>no. 1 (1978) - no. 2  (1978)</v>
      </c>
    </row>
    <row r="375" spans="1:9" x14ac:dyDescent="0.25">
      <c r="A375" t="str">
        <f>"092972071"</f>
        <v>092972071</v>
      </c>
      <c r="B375" t="str">
        <f t="shared" si="47"/>
        <v>060696201</v>
      </c>
      <c r="C375" t="str">
        <f t="shared" si="48"/>
        <v>GRASSE-Villa St Hilaire</v>
      </c>
      <c r="D375" t="str">
        <f t="shared" si="49"/>
        <v>43.65711599999999</v>
      </c>
      <c r="E375" t="str">
        <f t="shared" si="50"/>
        <v>6.9183745</v>
      </c>
      <c r="F375" t="str">
        <f t="shared" si="51"/>
        <v>Sunset  [Texte imprimé]</v>
      </c>
      <c r="G375" t="str">
        <f t="shared" si="52"/>
        <v>Sunset</v>
      </c>
      <c r="H375" t="str">
        <f t="shared" si="53"/>
        <v>0039-5404</v>
      </c>
      <c r="I375" t="str">
        <f t="shared" si="54"/>
        <v>(jul-1976) - (1979) [Lacunaire]</v>
      </c>
    </row>
    <row r="376" spans="1:9" x14ac:dyDescent="0.25">
      <c r="A376" t="str">
        <f>"140650830"</f>
        <v>140650830</v>
      </c>
      <c r="B376" t="str">
        <f t="shared" si="47"/>
        <v>060885105</v>
      </c>
      <c r="C376" t="str">
        <f t="shared" si="48"/>
        <v>NICE-Bibl.Chevalier de Cessole</v>
      </c>
      <c r="D376" t="str">
        <f t="shared" si="49"/>
        <v>43.6956246</v>
      </c>
      <c r="E376" t="str">
        <f t="shared" si="50"/>
        <v>7.259380900000001</v>
      </c>
      <c r="F376" t="str">
        <f t="shared" si="51"/>
        <v>Le Ralliement  [Texte imprimé]</v>
      </c>
      <c r="G376" t="str">
        <f t="shared" si="52"/>
        <v>Le Ralliement</v>
      </c>
      <c r="H376" t="str">
        <f t="shared" si="53"/>
        <v>2135-9032</v>
      </c>
      <c r="I376" t="str">
        <f t="shared" si="54"/>
        <v>no. 1 (10-mai-1890) - no. 15  (25-mai-1890)</v>
      </c>
    </row>
    <row r="377" spans="1:9" x14ac:dyDescent="0.25">
      <c r="A377" t="str">
        <f>"050926748"</f>
        <v>050926748</v>
      </c>
      <c r="B377" t="str">
        <f t="shared" si="47"/>
        <v>831375101</v>
      </c>
      <c r="C377" t="str">
        <f t="shared" si="48"/>
        <v>TOULON-Serv.Historique Marine</v>
      </c>
      <c r="D377" t="str">
        <f t="shared" si="49"/>
        <v>43.124228</v>
      </c>
      <c r="E377" t="str">
        <f t="shared" si="50"/>
        <v>5.928</v>
      </c>
      <c r="F377" t="str">
        <f t="shared" si="51"/>
        <v>The United services and empire review  [Texte imprimé]</v>
      </c>
      <c r="G377" t="str">
        <f t="shared" si="52"/>
        <v>The United services and empire review</v>
      </c>
      <c r="H377" t="e">
        <f t="shared" si="53"/>
        <v>#VALUE!</v>
      </c>
      <c r="I377" t="str">
        <f t="shared" si="54"/>
        <v>vol. 83 no. 4296 (1947) - (1952)</v>
      </c>
    </row>
    <row r="378" spans="1:9" x14ac:dyDescent="0.25">
      <c r="A378" t="str">
        <f>"140581650"</f>
        <v>140581650</v>
      </c>
      <c r="B378" t="str">
        <f t="shared" si="47"/>
        <v>060885105</v>
      </c>
      <c r="C378" t="str">
        <f t="shared" si="48"/>
        <v>NICE-Bibl.Chevalier de Cessole</v>
      </c>
      <c r="D378" t="str">
        <f t="shared" si="49"/>
        <v>43.6956246</v>
      </c>
      <c r="E378" t="str">
        <f t="shared" si="50"/>
        <v>7.259380900000001</v>
      </c>
      <c r="F378" t="str">
        <f t="shared" si="51"/>
        <v>Les Théâtres de Nice  [Texte imprimé]</v>
      </c>
      <c r="G378" t="str">
        <f t="shared" si="52"/>
        <v>Les Théâtres de Nice</v>
      </c>
      <c r="H378" t="str">
        <f t="shared" si="53"/>
        <v>2138-6269</v>
      </c>
      <c r="I378" t="str">
        <f t="shared" si="54"/>
        <v>no. 26 (24-avr-1875)</v>
      </c>
    </row>
    <row r="379" spans="1:9" x14ac:dyDescent="0.25">
      <c r="A379" t="str">
        <f>"187259054"</f>
        <v>187259054</v>
      </c>
      <c r="B379" t="str">
        <f t="shared" si="47"/>
        <v>060696201</v>
      </c>
      <c r="C379" t="str">
        <f t="shared" si="48"/>
        <v>GRASSE-Villa St Hilaire</v>
      </c>
      <c r="D379" t="str">
        <f t="shared" si="49"/>
        <v>43.65711599999999</v>
      </c>
      <c r="E379" t="str">
        <f t="shared" si="50"/>
        <v>6.9183745</v>
      </c>
      <c r="F379" t="str">
        <f t="shared" si="51"/>
        <v>Le Progrès de Grasse  [Ressource électronique]</v>
      </c>
      <c r="G379" t="str">
        <f t="shared" si="52"/>
        <v>Le Progrès de Grasse</v>
      </c>
      <c r="H379" t="str">
        <f t="shared" si="53"/>
        <v>2462-0068</v>
      </c>
      <c r="I379" t="str">
        <f t="shared" si="54"/>
        <v>no. 1 (19-sep-1936) - no. 12  (25-mar-1939)</v>
      </c>
    </row>
    <row r="380" spans="1:9" x14ac:dyDescent="0.25">
      <c r="A380" t="str">
        <f>"048884251"</f>
        <v>048884251</v>
      </c>
      <c r="B380" t="str">
        <f t="shared" si="47"/>
        <v>831375101</v>
      </c>
      <c r="C380" t="str">
        <f t="shared" si="48"/>
        <v>TOULON-Serv.Historique Marine</v>
      </c>
      <c r="D380" t="str">
        <f t="shared" si="49"/>
        <v>43.124228</v>
      </c>
      <c r="E380" t="str">
        <f t="shared" si="50"/>
        <v>5.928</v>
      </c>
      <c r="F380" t="str">
        <f t="shared" si="51"/>
        <v>Annuario  [Texte imprimé]  / Istituto universitario navale Napoli</v>
      </c>
      <c r="G380" t="str">
        <f t="shared" si="52"/>
        <v>Annuario</v>
      </c>
      <c r="H380" t="str">
        <f t="shared" si="53"/>
        <v>1590-9190</v>
      </c>
      <c r="I380" t="str">
        <f t="shared" si="54"/>
        <v>(1972/73) - (1976/77)</v>
      </c>
    </row>
    <row r="381" spans="1:9" x14ac:dyDescent="0.25">
      <c r="A381" t="str">
        <f>"039023036"</f>
        <v>039023036</v>
      </c>
      <c r="B381" t="str">
        <f t="shared" si="47"/>
        <v>831376201</v>
      </c>
      <c r="C381" t="str">
        <f t="shared" si="48"/>
        <v>TOULON-BM</v>
      </c>
      <c r="D381" t="str">
        <f t="shared" si="49"/>
        <v>43.0823215</v>
      </c>
      <c r="E381" t="str">
        <f t="shared" si="50"/>
        <v>5.920052699999999</v>
      </c>
      <c r="F381" t="str">
        <f t="shared" si="51"/>
        <v>L'Éclaireur de la Méditerranée  [Texte imprimé]</v>
      </c>
      <c r="G381" t="str">
        <f t="shared" si="52"/>
        <v>L'Éclaireur de la Méditerranée</v>
      </c>
      <c r="H381" t="str">
        <f t="shared" si="53"/>
        <v>2016-9698</v>
      </c>
      <c r="I381" t="str">
        <f t="shared" si="54"/>
        <v>no. 1 (1832) - no. 122  (1833) [lac.]</v>
      </c>
    </row>
    <row r="382" spans="1:9" x14ac:dyDescent="0.25">
      <c r="A382" t="str">
        <f>"05093712X"</f>
        <v>05093712X</v>
      </c>
      <c r="B382" t="str">
        <f t="shared" si="47"/>
        <v>831376201</v>
      </c>
      <c r="C382" t="str">
        <f t="shared" si="48"/>
        <v>TOULON-BM</v>
      </c>
      <c r="D382" t="str">
        <f t="shared" si="49"/>
        <v>43.0823215</v>
      </c>
      <c r="E382" t="str">
        <f t="shared" si="50"/>
        <v>5.920052699999999</v>
      </c>
      <c r="F382" t="str">
        <f t="shared" si="51"/>
        <v>Le Consommateur  [Texte imprimé]</v>
      </c>
      <c r="G382" t="str">
        <f t="shared" si="52"/>
        <v>Le Consommateur</v>
      </c>
      <c r="H382" t="str">
        <f t="shared" si="53"/>
        <v>2016-7784</v>
      </c>
      <c r="I382" t="str">
        <f t="shared" si="54"/>
        <v>no. 1 (1916) - no. 13  (1917)</v>
      </c>
    </row>
    <row r="383" spans="1:9" x14ac:dyDescent="0.25">
      <c r="A383" t="str">
        <f>"124278809"</f>
        <v>124278809</v>
      </c>
      <c r="B383" t="str">
        <f t="shared" si="47"/>
        <v>060885105</v>
      </c>
      <c r="C383" t="str">
        <f t="shared" si="48"/>
        <v>NICE-Bibl.Chevalier de Cessole</v>
      </c>
      <c r="D383" t="str">
        <f t="shared" si="49"/>
        <v>43.6956246</v>
      </c>
      <c r="E383" t="str">
        <f t="shared" si="50"/>
        <v>7.259380900000001</v>
      </c>
      <c r="F383" t="str">
        <f t="shared" si="51"/>
        <v>La Situation de Nice et des Alpes-Maritimes  [Texte imprimé]</v>
      </c>
      <c r="G383" t="str">
        <f t="shared" si="52"/>
        <v>La Situation de Nice et des Alpes-Maritimes</v>
      </c>
      <c r="H383" t="str">
        <f t="shared" si="53"/>
        <v>1963-899X</v>
      </c>
      <c r="I383" t="str">
        <f t="shared" si="54"/>
        <v>no. 1 (23-jun-1871) - no. 7  (1-jul-1871)</v>
      </c>
    </row>
    <row r="384" spans="1:9" x14ac:dyDescent="0.25">
      <c r="A384" t="str">
        <f>"187259143"</f>
        <v>187259143</v>
      </c>
      <c r="B384" t="str">
        <f t="shared" si="47"/>
        <v>060696201</v>
      </c>
      <c r="C384" t="str">
        <f t="shared" si="48"/>
        <v>GRASSE-Villa St Hilaire</v>
      </c>
      <c r="D384" t="str">
        <f t="shared" si="49"/>
        <v>43.65711599999999</v>
      </c>
      <c r="E384" t="str">
        <f t="shared" si="50"/>
        <v>6.9183745</v>
      </c>
      <c r="F384" t="str">
        <f t="shared" si="51"/>
        <v>Le Progrès provençal  [Ressource électronique]</v>
      </c>
      <c r="G384" t="str">
        <f t="shared" si="52"/>
        <v>Le Progrès provençal</v>
      </c>
      <c r="H384" t="str">
        <f t="shared" si="53"/>
        <v>2462-0149</v>
      </c>
      <c r="I384" t="str">
        <f t="shared" si="54"/>
        <v>no. 13 (1-avr-1939) - no. 189  (12-aou-1944)</v>
      </c>
    </row>
    <row r="385" spans="1:9" x14ac:dyDescent="0.25">
      <c r="A385" t="str">
        <f>"037741020"</f>
        <v>037741020</v>
      </c>
      <c r="B385" t="str">
        <f t="shared" si="47"/>
        <v>991385201</v>
      </c>
      <c r="C385" t="str">
        <f t="shared" si="48"/>
        <v>MONACO-Jardin exotique</v>
      </c>
      <c r="D385" t="str">
        <f t="shared" si="49"/>
        <v>43.7310908</v>
      </c>
      <c r="E385" t="str">
        <f t="shared" si="50"/>
        <v>7.410747499999999</v>
      </c>
      <c r="F385" t="str">
        <f t="shared" si="51"/>
        <v>Anacampseros : the Australian national cactus and succulent journal  [Texte imprimé]</v>
      </c>
      <c r="G385" t="str">
        <f t="shared" si="52"/>
        <v>Anacampseros : the Australian national cactus and succulent journal</v>
      </c>
      <c r="H385" t="str">
        <f t="shared" si="53"/>
        <v>0814-4397</v>
      </c>
      <c r="I385" t="str">
        <f t="shared" si="54"/>
        <v>vol. 1 no. 1 (1984) - vol. 6  no. 4  (1990)</v>
      </c>
    </row>
    <row r="386" spans="1:9" x14ac:dyDescent="0.25">
      <c r="A386" t="str">
        <f>"037824414"</f>
        <v>037824414</v>
      </c>
      <c r="B386" t="str">
        <f t="shared" si="47"/>
        <v>991385301</v>
      </c>
      <c r="C386" t="str">
        <f t="shared" si="48"/>
        <v>MONACO-Musée Océanographique</v>
      </c>
      <c r="D386" t="str">
        <f t="shared" si="49"/>
        <v>43.7310033</v>
      </c>
      <c r="E386" t="str">
        <f t="shared" si="50"/>
        <v>7.425491600000001</v>
      </c>
      <c r="F386" t="str">
        <f t="shared" si="51"/>
        <v>BIOSIS previews memo  [Texte imprimé]</v>
      </c>
      <c r="G386" t="str">
        <f t="shared" si="52"/>
        <v>BIOSIS previews memo</v>
      </c>
      <c r="H386" t="str">
        <f t="shared" si="53"/>
        <v>0891-706X</v>
      </c>
      <c r="I386" t="str">
        <f t="shared" si="54"/>
        <v>vol. 4 no. 1 (1982) - no. 4  (1982)</v>
      </c>
    </row>
    <row r="387" spans="1:9" x14ac:dyDescent="0.25">
      <c r="A387" t="str">
        <f>"037824392"</f>
        <v>037824392</v>
      </c>
      <c r="B387" t="str">
        <f t="shared" ref="B387:B450" si="55">TEXT(_xlfn.FILTERXML(_xlfn.WEBSERVICE("http://www.sudoc.fr/services/multiwhere/"&amp;A387),"//query/result/library/rcr"),"000000000")</f>
        <v>991385301</v>
      </c>
      <c r="C387" t="str">
        <f t="shared" si="48"/>
        <v>MONACO-Musée Océanographique</v>
      </c>
      <c r="D387" t="str">
        <f t="shared" si="49"/>
        <v>43.7310033</v>
      </c>
      <c r="E387" t="str">
        <f t="shared" si="50"/>
        <v>7.425491600000001</v>
      </c>
      <c r="F387" t="str">
        <f t="shared" si="51"/>
        <v>U.S. WOCE planning report  [Texte imprimé]</v>
      </c>
      <c r="G387" t="str">
        <f t="shared" si="52"/>
        <v>U.S. WOCE planning report</v>
      </c>
      <c r="H387" t="str">
        <f t="shared" si="53"/>
        <v>0891-7051</v>
      </c>
      <c r="I387" t="str">
        <f t="shared" si="54"/>
        <v>no. 1 (1985)-....</v>
      </c>
    </row>
    <row r="388" spans="1:9" x14ac:dyDescent="0.25">
      <c r="A388" t="str">
        <f>"038897458"</f>
        <v>038897458</v>
      </c>
      <c r="B388" t="str">
        <f t="shared" si="55"/>
        <v>991385301</v>
      </c>
      <c r="C388" t="str">
        <f t="shared" si="48"/>
        <v>MONACO-Musée Océanographique</v>
      </c>
      <c r="D388" t="str">
        <f t="shared" si="49"/>
        <v>43.7310033</v>
      </c>
      <c r="E388" t="str">
        <f t="shared" si="50"/>
        <v>7.425491600000001</v>
      </c>
      <c r="F388" t="str">
        <f t="shared" si="51"/>
        <v>Industrial fishery products. Market review and outlook  [Texte imprimé]</v>
      </c>
      <c r="G388" t="str">
        <f t="shared" si="52"/>
        <v>Industrial fishery products. Market review and outlook</v>
      </c>
      <c r="H388" t="str">
        <f t="shared" si="53"/>
        <v>0093-8327</v>
      </c>
      <c r="I388">
        <f t="shared" si="54"/>
        <v>-1973</v>
      </c>
    </row>
    <row r="389" spans="1:9" x14ac:dyDescent="0.25">
      <c r="A389" t="str">
        <f>"040139514"</f>
        <v>040139514</v>
      </c>
      <c r="B389" t="str">
        <f t="shared" si="55"/>
        <v>061525404</v>
      </c>
      <c r="C389" t="str">
        <f t="shared" si="48"/>
        <v>SOPHIA/ANT.-Thales Und. Systems</v>
      </c>
      <c r="D389" t="e">
        <f t="shared" si="49"/>
        <v>#VALUE!</v>
      </c>
      <c r="E389" t="e">
        <f t="shared" si="50"/>
        <v>#VALUE!</v>
      </c>
      <c r="F389" t="str">
        <f t="shared" si="51"/>
        <v>Coil winding international  [Texte imprimé]</v>
      </c>
      <c r="G389" t="str">
        <f t="shared" si="52"/>
        <v>Coil winding international</v>
      </c>
      <c r="H389" t="str">
        <f t="shared" si="53"/>
        <v>1012-0939</v>
      </c>
      <c r="I389" t="str">
        <f t="shared" si="54"/>
        <v>(1985) - (1987)</v>
      </c>
    </row>
    <row r="390" spans="1:9" x14ac:dyDescent="0.25">
      <c r="A390" t="str">
        <f>"037983180"</f>
        <v>037983180</v>
      </c>
      <c r="B390" t="str">
        <f t="shared" si="55"/>
        <v>991385301</v>
      </c>
      <c r="C390" t="str">
        <f t="shared" si="48"/>
        <v>MONACO-Musée Océanographique</v>
      </c>
      <c r="D390" t="str">
        <f t="shared" si="49"/>
        <v>43.7310033</v>
      </c>
      <c r="E390" t="str">
        <f t="shared" si="50"/>
        <v>7.425491600000001</v>
      </c>
      <c r="F390" t="str">
        <f t="shared" si="51"/>
        <v>Iraqi journal of marine science  [Texte imprimé]</v>
      </c>
      <c r="G390" t="str">
        <f t="shared" si="52"/>
        <v>Iraqi journal of marine science</v>
      </c>
      <c r="H390" t="str">
        <f t="shared" si="53"/>
        <v>1021-1853</v>
      </c>
      <c r="I390" t="str">
        <f t="shared" si="54"/>
        <v>vol. 1 no. 1 (1982)</v>
      </c>
    </row>
    <row r="391" spans="1:9" x14ac:dyDescent="0.25">
      <c r="A391" t="str">
        <f>"040130851"</f>
        <v>040130851</v>
      </c>
      <c r="B391" t="str">
        <f t="shared" si="55"/>
        <v>991386201</v>
      </c>
      <c r="C391" t="str">
        <f t="shared" si="48"/>
        <v>MONACO-Bibl.Louis Notari</v>
      </c>
      <c r="D391" t="str">
        <f t="shared" si="49"/>
        <v>43.7351319</v>
      </c>
      <c r="E391" t="str">
        <f t="shared" si="50"/>
        <v>7.420563100000001</v>
      </c>
      <c r="F391" t="str">
        <f t="shared" si="51"/>
        <v>ACM  [Texte imprimé]  : revue officielle de l'automobile club de Monaco</v>
      </c>
      <c r="G391" t="str">
        <f t="shared" si="52"/>
        <v>ACM</v>
      </c>
      <c r="H391" t="str">
        <f t="shared" si="53"/>
        <v>1010-4380</v>
      </c>
      <c r="I391" t="str">
        <f t="shared" si="54"/>
        <v>vol. 1 (dec-1983)-.... [3%]</v>
      </c>
    </row>
    <row r="392" spans="1:9" x14ac:dyDescent="0.25">
      <c r="A392" t="str">
        <f>"037948776"</f>
        <v>037948776</v>
      </c>
      <c r="B392" t="str">
        <f t="shared" si="55"/>
        <v>991386201</v>
      </c>
      <c r="C392" t="str">
        <f t="shared" si="48"/>
        <v>MONACO-Bibl.Louis Notari</v>
      </c>
      <c r="D392" t="str">
        <f t="shared" si="49"/>
        <v>43.7351319</v>
      </c>
      <c r="E392" t="str">
        <f t="shared" si="50"/>
        <v>7.420563100000001</v>
      </c>
      <c r="F392" t="str">
        <f t="shared" si="51"/>
        <v>L'Echo monégasque  [Texte imprimé]</v>
      </c>
      <c r="G392" t="str">
        <f t="shared" si="52"/>
        <v>L'Echo monégasque</v>
      </c>
      <c r="H392" t="str">
        <f t="shared" si="53"/>
        <v>1010-8645</v>
      </c>
      <c r="I392" t="str">
        <f t="shared" si="54"/>
        <v>vol. 1 (1929) - (1936)</v>
      </c>
    </row>
    <row r="393" spans="1:9" x14ac:dyDescent="0.25">
      <c r="A393" t="str">
        <f>"039035395"</f>
        <v>039035395</v>
      </c>
      <c r="B393" t="str">
        <f t="shared" si="55"/>
        <v>831376201</v>
      </c>
      <c r="C393" t="str">
        <f t="shared" si="48"/>
        <v>TOULON-BM</v>
      </c>
      <c r="D393" t="str">
        <f t="shared" si="49"/>
        <v>43.0823215</v>
      </c>
      <c r="E393" t="str">
        <f t="shared" si="50"/>
        <v>5.920052699999999</v>
      </c>
      <c r="F393" t="str">
        <f t="shared" si="51"/>
        <v>Oeuvres &amp; créations du petit Polyte  [Texte imprimé]</v>
      </c>
      <c r="G393" t="str">
        <f t="shared" si="52"/>
        <v>Oeuvres &amp; créations du petit Polyte</v>
      </c>
      <c r="H393" t="str">
        <f t="shared" si="53"/>
        <v>2017-8611</v>
      </c>
      <c r="I393" t="str">
        <f t="shared" si="54"/>
        <v>no. 1 (1902) - no. 6  (1902)</v>
      </c>
    </row>
    <row r="394" spans="1:9" x14ac:dyDescent="0.25">
      <c r="A394" t="str">
        <f>"03914139X"</f>
        <v>03914139X</v>
      </c>
      <c r="B394" t="str">
        <f t="shared" si="55"/>
        <v>831375101</v>
      </c>
      <c r="C394" t="str">
        <f t="shared" si="48"/>
        <v>TOULON-Serv.Historique Marine</v>
      </c>
      <c r="D394" t="str">
        <f t="shared" si="49"/>
        <v>43.124228</v>
      </c>
      <c r="E394" t="str">
        <f t="shared" si="50"/>
        <v>5.928</v>
      </c>
      <c r="F394" t="str">
        <f t="shared" si="51"/>
        <v>Annuaire des administrateurs civils  [Texte imprimé]</v>
      </c>
      <c r="G394" t="str">
        <f t="shared" si="52"/>
        <v>Annuaire des administrateurs civils</v>
      </c>
      <c r="H394" t="e">
        <f t="shared" si="53"/>
        <v>#VALUE!</v>
      </c>
      <c r="I394">
        <f t="shared" si="54"/>
        <v>-1985</v>
      </c>
    </row>
    <row r="395" spans="1:9" x14ac:dyDescent="0.25">
      <c r="A395" t="str">
        <f>"037396331"</f>
        <v>037396331</v>
      </c>
      <c r="B395" t="str">
        <f t="shared" si="55"/>
        <v>991385301</v>
      </c>
      <c r="C395" t="str">
        <f t="shared" si="48"/>
        <v>MONACO-Musée Océanographique</v>
      </c>
      <c r="D395" t="str">
        <f t="shared" si="49"/>
        <v>43.7310033</v>
      </c>
      <c r="E395" t="str">
        <f t="shared" si="50"/>
        <v>7.425491600000001</v>
      </c>
      <c r="F395" t="str">
        <f t="shared" si="51"/>
        <v>Marin pabirion  [Texte imprimé]</v>
      </c>
      <c r="G395" t="str">
        <f t="shared" si="52"/>
        <v>Marin pabirion</v>
      </c>
      <c r="H395" t="str">
        <f t="shared" si="53"/>
        <v>1341-6928</v>
      </c>
      <c r="I395" t="str">
        <f t="shared" si="54"/>
        <v>vol. 1 no. 1 (1971)-....</v>
      </c>
    </row>
    <row r="396" spans="1:9" x14ac:dyDescent="0.25">
      <c r="A396" t="str">
        <f>"037787381"</f>
        <v>037787381</v>
      </c>
      <c r="B396" t="str">
        <f t="shared" si="55"/>
        <v>991385201</v>
      </c>
      <c r="C396" t="str">
        <f t="shared" si="48"/>
        <v>MONACO-Jardin exotique</v>
      </c>
      <c r="D396" t="str">
        <f t="shared" si="49"/>
        <v>43.7310908</v>
      </c>
      <c r="E396" t="str">
        <f t="shared" si="50"/>
        <v>7.410747499999999</v>
      </c>
      <c r="F396" t="str">
        <f t="shared" si="51"/>
        <v>Świat Kaktusów  [Texte imprimé]</v>
      </c>
      <c r="G396" t="str">
        <f t="shared" si="52"/>
        <v>Świat Kaktusów</v>
      </c>
      <c r="H396" t="str">
        <f t="shared" si="53"/>
        <v>0860-3820</v>
      </c>
      <c r="I396" t="str">
        <f t="shared" si="54"/>
        <v>(1966) - (1969) ; (1971) - (1977) ; (1979)</v>
      </c>
    </row>
    <row r="397" spans="1:9" x14ac:dyDescent="0.25">
      <c r="A397" t="str">
        <f>"040192695"</f>
        <v>040192695</v>
      </c>
      <c r="B397" t="str">
        <f t="shared" si="55"/>
        <v>991385201</v>
      </c>
      <c r="C397" t="str">
        <f t="shared" si="48"/>
        <v>MONACO-Jardin exotique</v>
      </c>
      <c r="D397" t="str">
        <f t="shared" si="49"/>
        <v>43.7310908</v>
      </c>
      <c r="E397" t="str">
        <f t="shared" si="50"/>
        <v>7.410747499999999</v>
      </c>
      <c r="F397" t="str">
        <f t="shared" si="51"/>
        <v>Quepo  [Texte imprimé]</v>
      </c>
      <c r="G397" t="str">
        <f t="shared" si="52"/>
        <v>Quepo</v>
      </c>
      <c r="H397" t="str">
        <f t="shared" si="53"/>
        <v>1022-5897</v>
      </c>
      <c r="I397" t="str">
        <f t="shared" si="54"/>
        <v>vol. 1 no. 1 (1987)-....</v>
      </c>
    </row>
    <row r="398" spans="1:9" x14ac:dyDescent="0.25">
      <c r="A398" t="str">
        <f>"140129367"</f>
        <v>140129367</v>
      </c>
      <c r="B398" t="str">
        <f t="shared" si="55"/>
        <v>830616201</v>
      </c>
      <c r="C398" t="str">
        <f t="shared" si="48"/>
        <v>FREJUS-Médiathèque Villa-Mar</v>
      </c>
      <c r="D398" t="e">
        <f t="shared" si="49"/>
        <v>#VALUE!</v>
      </c>
      <c r="E398" t="e">
        <f t="shared" si="50"/>
        <v>#VALUE!</v>
      </c>
      <c r="F398" t="str">
        <f t="shared" si="51"/>
        <v>Playstation le magazine officiel  [Texte imprimé]</v>
      </c>
      <c r="G398" t="str">
        <f t="shared" si="52"/>
        <v>Playstation le magazine officiel</v>
      </c>
      <c r="H398" t="str">
        <f t="shared" si="53"/>
        <v>2104-8800</v>
      </c>
      <c r="I398" t="str">
        <f t="shared" si="54"/>
        <v>no. 1 (2008)-....</v>
      </c>
    </row>
    <row r="399" spans="1:9" x14ac:dyDescent="0.25">
      <c r="A399" t="str">
        <f>"198106335"</f>
        <v>198106335</v>
      </c>
      <c r="B399" t="str">
        <f t="shared" si="55"/>
        <v>060885105</v>
      </c>
      <c r="C399" t="str">
        <f t="shared" si="48"/>
        <v>NICE-Bibl.Chevalier de Cessole</v>
      </c>
      <c r="D399" t="str">
        <f t="shared" si="49"/>
        <v>43.6956246</v>
      </c>
      <c r="E399" t="str">
        <f t="shared" si="50"/>
        <v>7.259380900000001</v>
      </c>
      <c r="F399" t="str">
        <f t="shared" si="51"/>
        <v>Gazette des étrangers  : petit courrier de Nice</v>
      </c>
      <c r="G399" t="str">
        <f t="shared" si="52"/>
        <v>Gazette des étrangers</v>
      </c>
      <c r="H399" t="str">
        <f t="shared" si="53"/>
        <v>2552-7487</v>
      </c>
      <c r="I399" t="str">
        <f t="shared" si="54"/>
        <v>no. 1 (30-nov-1867)</v>
      </c>
    </row>
    <row r="400" spans="1:9" x14ac:dyDescent="0.25">
      <c r="A400" t="str">
        <f>"039023362"</f>
        <v>039023362</v>
      </c>
      <c r="B400" t="str">
        <f t="shared" si="55"/>
        <v>831376201</v>
      </c>
      <c r="C400" t="str">
        <f t="shared" si="48"/>
        <v>TOULON-BM</v>
      </c>
      <c r="D400" t="str">
        <f t="shared" si="49"/>
        <v>43.0823215</v>
      </c>
      <c r="E400" t="str">
        <f t="shared" si="50"/>
        <v>5.920052699999999</v>
      </c>
      <c r="F400" t="str">
        <f t="shared" si="51"/>
        <v>La Semaine politique et sociale  [Texte imprimé]</v>
      </c>
      <c r="G400" t="str">
        <f t="shared" si="52"/>
        <v>La Semaine politique et sociale</v>
      </c>
      <c r="H400" t="str">
        <f t="shared" si="53"/>
        <v>2018-2600</v>
      </c>
      <c r="I400" t="str">
        <f t="shared" si="54"/>
        <v>no. 496 (1921) - no. 498  (1921)</v>
      </c>
    </row>
    <row r="401" spans="1:9" x14ac:dyDescent="0.25">
      <c r="A401" t="str">
        <f>"039140857"</f>
        <v>039140857</v>
      </c>
      <c r="B401" t="str">
        <f t="shared" si="55"/>
        <v>060692301</v>
      </c>
      <c r="C401" t="str">
        <f t="shared" si="48"/>
        <v>GRASSE-Musée Art/Hist Provence</v>
      </c>
      <c r="D401" t="str">
        <f t="shared" si="49"/>
        <v>43.65761759999999</v>
      </c>
      <c r="E401" t="str">
        <f t="shared" si="50"/>
        <v>6.9224541</v>
      </c>
      <c r="F401" t="str">
        <f t="shared" si="51"/>
        <v>Affiches, annonces et avis divers de la ville de Grasse  [Texte imprimé]</v>
      </c>
      <c r="G401" t="str">
        <f t="shared" si="52"/>
        <v>Affiches, annonces et avis divers de la ville de Grasse</v>
      </c>
      <c r="H401" t="str">
        <f t="shared" si="53"/>
        <v>2023-0370</v>
      </c>
      <c r="I401" t="str">
        <f t="shared" si="54"/>
        <v>no. 46 (1813) - no. 644  (1838) [lac]</v>
      </c>
    </row>
    <row r="402" spans="1:9" x14ac:dyDescent="0.25">
      <c r="A402" t="str">
        <f>"038427222"</f>
        <v>038427222</v>
      </c>
      <c r="B402" t="str">
        <f t="shared" si="55"/>
        <v>991385201</v>
      </c>
      <c r="C402" t="str">
        <f t="shared" si="48"/>
        <v>MONACO-Jardin exotique</v>
      </c>
      <c r="D402" t="str">
        <f t="shared" si="49"/>
        <v>43.7310908</v>
      </c>
      <c r="E402" t="str">
        <f t="shared" si="50"/>
        <v>7.410747499999999</v>
      </c>
      <c r="F402" t="str">
        <f t="shared" si="51"/>
        <v>Blühende Sukkulenten  [Texte imprimé]</v>
      </c>
      <c r="G402" t="str">
        <f t="shared" si="52"/>
        <v>Blühende Sukkulenten</v>
      </c>
      <c r="H402" t="e">
        <f t="shared" si="53"/>
        <v>#VALUE!</v>
      </c>
      <c r="I402" t="str">
        <f t="shared" si="54"/>
        <v>vol. 2 (1930) - vol. 5  (1931)</v>
      </c>
    </row>
    <row r="403" spans="1:9" x14ac:dyDescent="0.25">
      <c r="A403" t="str">
        <f>"03842729X"</f>
        <v>03842729X</v>
      </c>
      <c r="B403" t="str">
        <f t="shared" si="55"/>
        <v>991385201</v>
      </c>
      <c r="C403" t="str">
        <f t="shared" si="48"/>
        <v>MONACO-Jardin exotique</v>
      </c>
      <c r="D403" t="str">
        <f t="shared" si="49"/>
        <v>43.7310908</v>
      </c>
      <c r="E403" t="str">
        <f t="shared" si="50"/>
        <v>7.410747499999999</v>
      </c>
      <c r="F403" t="str">
        <f t="shared" si="51"/>
        <v>Beiträge zur Sukkulentenkunde und-pflege  [Texte imprimé]</v>
      </c>
      <c r="G403" t="str">
        <f t="shared" si="52"/>
        <v>Beiträge zur Sukkulentenkunde und-pflege</v>
      </c>
      <c r="H403" t="e">
        <f t="shared" si="53"/>
        <v>#VALUE!</v>
      </c>
      <c r="I403" t="str">
        <f t="shared" si="54"/>
        <v>no. 3 (1942) - no. 1  (1943)</v>
      </c>
    </row>
    <row r="404" spans="1:9" x14ac:dyDescent="0.25">
      <c r="A404" t="str">
        <f>"039066126"</f>
        <v>039066126</v>
      </c>
      <c r="B404" t="str">
        <f t="shared" si="55"/>
        <v>831376201</v>
      </c>
      <c r="C404" t="str">
        <f t="shared" si="48"/>
        <v>TOULON-BM</v>
      </c>
      <c r="D404" t="str">
        <f t="shared" si="49"/>
        <v>43.0823215</v>
      </c>
      <c r="E404" t="str">
        <f t="shared" si="50"/>
        <v>5.920052699999999</v>
      </c>
      <c r="F404" t="str">
        <f t="shared" si="51"/>
        <v>Le Petit Var  [Texte imprimé]</v>
      </c>
      <c r="G404" t="str">
        <f t="shared" si="52"/>
        <v>Le Petit Var</v>
      </c>
      <c r="H404" t="str">
        <f t="shared" si="53"/>
        <v>2017-960X</v>
      </c>
      <c r="I404">
        <f t="shared" si="54"/>
        <v>-1889</v>
      </c>
    </row>
    <row r="405" spans="1:9" x14ac:dyDescent="0.25">
      <c r="A405" t="str">
        <f>"039096424"</f>
        <v>039096424</v>
      </c>
      <c r="B405" t="str">
        <f t="shared" si="55"/>
        <v>831376201</v>
      </c>
      <c r="C405" t="str">
        <f t="shared" si="48"/>
        <v>TOULON-BM</v>
      </c>
      <c r="D405" t="str">
        <f t="shared" si="49"/>
        <v>43.0823215</v>
      </c>
      <c r="E405" t="str">
        <f t="shared" si="50"/>
        <v>5.920052699999999</v>
      </c>
      <c r="F405" t="str">
        <f t="shared" si="51"/>
        <v>Le Troubadour  [Texte imprimé]  : Journal hebdomadaire</v>
      </c>
      <c r="G405" t="str">
        <f t="shared" si="52"/>
        <v>Le Troubadour</v>
      </c>
      <c r="H405" t="str">
        <f t="shared" si="53"/>
        <v>2018-6983</v>
      </c>
      <c r="I405" t="str">
        <f t="shared" si="54"/>
        <v>no. 1 (jan-1874) - no. 30  (oct-1874)</v>
      </c>
    </row>
    <row r="406" spans="1:9" x14ac:dyDescent="0.25">
      <c r="A406" t="str">
        <f>"039096599"</f>
        <v>039096599</v>
      </c>
      <c r="B406" t="str">
        <f t="shared" si="55"/>
        <v>831376201</v>
      </c>
      <c r="C406" t="str">
        <f t="shared" si="48"/>
        <v>TOULON-BM</v>
      </c>
      <c r="D406" t="str">
        <f t="shared" si="49"/>
        <v>43.0823215</v>
      </c>
      <c r="E406" t="str">
        <f t="shared" si="50"/>
        <v>5.920052699999999</v>
      </c>
      <c r="F406" t="str">
        <f t="shared" si="51"/>
        <v>Bulletin paroissial de Le Val  [Texte imprimé]</v>
      </c>
      <c r="G406" t="str">
        <f t="shared" si="52"/>
        <v>Bulletin paroissial de Le Val</v>
      </c>
      <c r="H406" t="str">
        <f t="shared" si="53"/>
        <v>2019-4277</v>
      </c>
      <c r="I406" t="str">
        <f t="shared" si="54"/>
        <v>(mar-1909) - (dec-1909)</v>
      </c>
    </row>
    <row r="407" spans="1:9" x14ac:dyDescent="0.25">
      <c r="A407" t="str">
        <f>"039282147"</f>
        <v>039282147</v>
      </c>
      <c r="B407" t="str">
        <f t="shared" si="55"/>
        <v>991386201</v>
      </c>
      <c r="C407" t="str">
        <f t="shared" si="48"/>
        <v>MONACO-Bibl.Louis Notari</v>
      </c>
      <c r="D407" t="str">
        <f t="shared" si="49"/>
        <v>43.7351319</v>
      </c>
      <c r="E407" t="str">
        <f t="shared" si="50"/>
        <v>7.420563100000001</v>
      </c>
      <c r="F407" t="str">
        <f t="shared" si="51"/>
        <v>Gazette Monaco Côte d'azur  [Texte imprimé]</v>
      </c>
      <c r="G407" t="str">
        <f t="shared" si="52"/>
        <v>Gazette Monaco Côte d'azur</v>
      </c>
      <c r="H407" t="str">
        <f t="shared" si="53"/>
        <v>0256-2812</v>
      </c>
      <c r="I407" t="str">
        <f t="shared" si="54"/>
        <v>no. 1 (1980)-.... [Lac. : no.126 (1985), no.276 (1995), no.293 (1997)]</v>
      </c>
    </row>
    <row r="408" spans="1:9" x14ac:dyDescent="0.25">
      <c r="A408" t="str">
        <f>"039287297"</f>
        <v>039287297</v>
      </c>
      <c r="B408" t="str">
        <f t="shared" si="55"/>
        <v>991386201</v>
      </c>
      <c r="C408" t="str">
        <f t="shared" si="48"/>
        <v>MONACO-Bibl.Louis Notari</v>
      </c>
      <c r="D408" t="str">
        <f t="shared" si="49"/>
        <v>43.7351319</v>
      </c>
      <c r="E408" t="str">
        <f t="shared" si="50"/>
        <v>7.420563100000001</v>
      </c>
      <c r="F408" t="str">
        <f t="shared" si="51"/>
        <v>Monte-Carlo tennis  [Texte imprimé]</v>
      </c>
      <c r="G408" t="str">
        <f t="shared" si="52"/>
        <v>Monte-Carlo tennis</v>
      </c>
      <c r="H408" t="str">
        <f t="shared" si="53"/>
        <v>0256-9515</v>
      </c>
      <c r="I408" t="str">
        <f t="shared" si="54"/>
        <v>no. 1 (1980)-....</v>
      </c>
    </row>
    <row r="409" spans="1:9" x14ac:dyDescent="0.25">
      <c r="A409" t="str">
        <f>"036213993"</f>
        <v>036213993</v>
      </c>
      <c r="B409" t="str">
        <f t="shared" si="55"/>
        <v>991385301</v>
      </c>
      <c r="C409" t="str">
        <f t="shared" si="48"/>
        <v>MONACO-Musée Océanographique</v>
      </c>
      <c r="D409" t="str">
        <f t="shared" si="49"/>
        <v>43.7310033</v>
      </c>
      <c r="E409" t="str">
        <f t="shared" si="50"/>
        <v>7.425491600000001</v>
      </c>
      <c r="F409" t="str">
        <f t="shared" si="51"/>
        <v>Rapport  / Centre de recherches océanographiques de Dakar-Thiaroye</v>
      </c>
      <c r="G409" t="str">
        <f t="shared" si="52"/>
        <v>Rapport</v>
      </c>
      <c r="H409" t="e">
        <f t="shared" si="53"/>
        <v>#VALUE!</v>
      </c>
      <c r="I409">
        <f t="shared" si="54"/>
        <v>-1972</v>
      </c>
    </row>
    <row r="410" spans="1:9" x14ac:dyDescent="0.25">
      <c r="A410" t="str">
        <f>"036521493"</f>
        <v>036521493</v>
      </c>
      <c r="B410" t="str">
        <f t="shared" si="55"/>
        <v>991385301</v>
      </c>
      <c r="C410" t="str">
        <f t="shared" si="48"/>
        <v>MONACO-Musée Océanographique</v>
      </c>
      <c r="D410" t="str">
        <f t="shared" si="49"/>
        <v>43.7310033</v>
      </c>
      <c r="E410" t="str">
        <f t="shared" si="50"/>
        <v>7.425491600000001</v>
      </c>
      <c r="F410" t="str">
        <f t="shared" si="51"/>
        <v>Boletim  [Texte imprimé]  / Instituto de Biologia Marinha, Universidade Federal do Rio Grande do Norte</v>
      </c>
      <c r="G410" t="str">
        <f t="shared" si="52"/>
        <v>Boletim</v>
      </c>
      <c r="H410" t="str">
        <f t="shared" si="53"/>
        <v>0041-8927</v>
      </c>
      <c r="I410" t="e">
        <f t="shared" si="54"/>
        <v>#VALUE!</v>
      </c>
    </row>
    <row r="411" spans="1:9" x14ac:dyDescent="0.25">
      <c r="A411" t="str">
        <f>"036631035"</f>
        <v>036631035</v>
      </c>
      <c r="B411" t="str">
        <f t="shared" si="55"/>
        <v>991385301</v>
      </c>
      <c r="C411" t="str">
        <f t="shared" si="48"/>
        <v>MONACO-Musée Océanographique</v>
      </c>
      <c r="D411" t="str">
        <f t="shared" si="49"/>
        <v>43.7310033</v>
      </c>
      <c r="E411" t="str">
        <f t="shared" si="50"/>
        <v>7.425491600000001</v>
      </c>
      <c r="F411" t="str">
        <f t="shared" si="51"/>
        <v>Report  [Texte imprimé]  / Great Lakes Institute. University of Toronto</v>
      </c>
      <c r="G411" t="str">
        <f t="shared" si="52"/>
        <v>Report</v>
      </c>
      <c r="H411" t="str">
        <f t="shared" si="53"/>
        <v>0082-5220</v>
      </c>
      <c r="I411" t="e">
        <f t="shared" si="54"/>
        <v>#VALUE!</v>
      </c>
    </row>
    <row r="412" spans="1:9" x14ac:dyDescent="0.25">
      <c r="A412" t="str">
        <f>"156152746"</f>
        <v>156152746</v>
      </c>
      <c r="B412" t="str">
        <f t="shared" si="55"/>
        <v>060885105</v>
      </c>
      <c r="C412" t="str">
        <f t="shared" si="48"/>
        <v>NICE-Bibl.Chevalier de Cessole</v>
      </c>
      <c r="D412" t="str">
        <f t="shared" si="49"/>
        <v>43.6956246</v>
      </c>
      <c r="E412" t="str">
        <f t="shared" si="50"/>
        <v>7.259380900000001</v>
      </c>
      <c r="F412" t="str">
        <f t="shared" si="51"/>
        <v>La Presse libre de Nice  [Texte imprimé]</v>
      </c>
      <c r="G412" t="str">
        <f t="shared" si="52"/>
        <v>La Presse libre de Nice</v>
      </c>
      <c r="H412" t="str">
        <f t="shared" si="53"/>
        <v>2135-2313</v>
      </c>
      <c r="I412" t="str">
        <f t="shared" si="54"/>
        <v>no. 2 (19-mar-1894) - no. 48  (5-mai-1894) [lacunes]</v>
      </c>
    </row>
    <row r="413" spans="1:9" x14ac:dyDescent="0.25">
      <c r="A413" t="str">
        <f>"03645494X"</f>
        <v>03645494X</v>
      </c>
      <c r="B413" t="str">
        <f t="shared" si="55"/>
        <v>991385301</v>
      </c>
      <c r="C413" t="str">
        <f t="shared" si="48"/>
        <v>MONACO-Musée Océanographique</v>
      </c>
      <c r="D413" t="str">
        <f t="shared" si="49"/>
        <v>43.7310033</v>
      </c>
      <c r="E413" t="str">
        <f t="shared" si="50"/>
        <v>7.425491600000001</v>
      </c>
      <c r="F413" t="str">
        <f t="shared" si="51"/>
        <v>Tropical Atlantic biological laboratory. Contribution.</v>
      </c>
      <c r="G413" t="str">
        <f t="shared" si="52"/>
        <v>Tropical Atlantic biological laboratory. Contribution.</v>
      </c>
      <c r="H413" t="e">
        <f t="shared" si="53"/>
        <v>#VALUE!</v>
      </c>
      <c r="I413" t="e">
        <f t="shared" si="54"/>
        <v>#VALUE!</v>
      </c>
    </row>
    <row r="414" spans="1:9" x14ac:dyDescent="0.25">
      <c r="A414" t="str">
        <f>"036345415"</f>
        <v>036345415</v>
      </c>
      <c r="B414" t="str">
        <f t="shared" si="55"/>
        <v>991385301</v>
      </c>
      <c r="C414" t="str">
        <f t="shared" si="48"/>
        <v>MONACO-Musée Océanographique</v>
      </c>
      <c r="D414" t="str">
        <f t="shared" si="49"/>
        <v>43.7310033</v>
      </c>
      <c r="E414" t="str">
        <f t="shared" si="50"/>
        <v>7.425491600000001</v>
      </c>
      <c r="F414" t="str">
        <f t="shared" si="51"/>
        <v>Moss Landing marine laboratory. Newsletter</v>
      </c>
      <c r="G414" t="str">
        <f t="shared" si="52"/>
        <v>Moss Landing marine laboratory. Newsletter</v>
      </c>
      <c r="H414" t="e">
        <f t="shared" si="53"/>
        <v>#VALUE!</v>
      </c>
      <c r="I414" t="e">
        <f t="shared" si="54"/>
        <v>#VALUE!</v>
      </c>
    </row>
    <row r="415" spans="1:9" x14ac:dyDescent="0.25">
      <c r="A415" t="str">
        <f>"037270303"</f>
        <v>037270303</v>
      </c>
      <c r="B415" t="str">
        <f t="shared" si="55"/>
        <v>991385301</v>
      </c>
      <c r="C415" t="str">
        <f t="shared" si="48"/>
        <v>MONACO-Musée Océanographique</v>
      </c>
      <c r="D415" t="str">
        <f t="shared" si="49"/>
        <v>43.7310033</v>
      </c>
      <c r="E415" t="str">
        <f t="shared" si="50"/>
        <v>7.425491600000001</v>
      </c>
      <c r="F415" t="str">
        <f t="shared" si="51"/>
        <v>British Library Science Reference Library SRL news  [Texte imprimé]</v>
      </c>
      <c r="G415" t="str">
        <f t="shared" si="52"/>
        <v>British Library Science Reference Library SRL news</v>
      </c>
      <c r="H415" t="str">
        <f t="shared" si="53"/>
        <v>0306-428X</v>
      </c>
      <c r="I415" t="str">
        <f t="shared" si="54"/>
        <v>no. 32 (1984) - no. 40  (1986)</v>
      </c>
    </row>
    <row r="416" spans="1:9" x14ac:dyDescent="0.25">
      <c r="A416" t="str">
        <f>"037566334"</f>
        <v>037566334</v>
      </c>
      <c r="B416" t="str">
        <f t="shared" si="55"/>
        <v>991385301</v>
      </c>
      <c r="C416" t="str">
        <f t="shared" ref="C416:C479" si="56">_xlfn.FILTERXML(_xlfn.WEBSERVICE("http://www.sudoc.fr/services/multiwhere/"&amp;A416),"//query/result/library/shortname")</f>
        <v>MONACO-Musée Océanographique</v>
      </c>
      <c r="D416" t="str">
        <f t="shared" ref="D416:D479" si="57">_xlfn.FILTERXML(_xlfn.WEBSERVICE("http://www.sudoc.fr/services/multiwhere/"&amp;A416),"//query/result/library/latitude")</f>
        <v>43.7310033</v>
      </c>
      <c r="E416" t="str">
        <f t="shared" ref="E416:E479" si="58">_xlfn.FILTERXML(_xlfn.WEBSERVICE("http://www.sudoc.fr/services/multiwhere/"&amp;A416),"//query/result/library/longitude")</f>
        <v>7.425491600000001</v>
      </c>
      <c r="F416" t="str">
        <f t="shared" ref="F416:F479" si="59">_xlfn.FILTERXML(_xlfn.WEBSERVICE("http://www.sudoc.fr/"&amp;A416&amp;".rdf"),"//bibo:Periodical/dc:title")</f>
        <v>Preliminary report  [Texte imprimé]  / Great Lakes Institute. University of Toronto</v>
      </c>
      <c r="G416" t="str">
        <f t="shared" ref="G416:G479" si="60">_xlfn.FILTERXML(_xlfn.WEBSERVICE("http://www.sudoc.fr/"&amp;A416&amp;".abes"),"//datafield[@tag='200']/subfield[@code='a']")</f>
        <v>Preliminary report</v>
      </c>
      <c r="H416" t="str">
        <f t="shared" ref="H416:H479" si="61">_xlfn.FILTERXML(_xlfn.WEBSERVICE("http://www.sudoc.fr/"&amp;A416&amp;".abes"),"//datafield[@tag='011']/subfield[@code='a']")</f>
        <v>0563-9328</v>
      </c>
      <c r="I416" t="e">
        <f t="shared" ref="I416:I479" si="62">_xlfn.FILTERXML(_xlfn.WEBSERVICE("http://www.sudoc.fr/"&amp;A416&amp;".abes"),"//datafield[@tag='955']/subfield[@code='r']")</f>
        <v>#VALUE!</v>
      </c>
    </row>
    <row r="417" spans="1:9" x14ac:dyDescent="0.25">
      <c r="A417" t="str">
        <f>"037935526"</f>
        <v>037935526</v>
      </c>
      <c r="B417" t="str">
        <f t="shared" si="55"/>
        <v>061525404</v>
      </c>
      <c r="C417" t="str">
        <f t="shared" si="56"/>
        <v>SOPHIA/ANT.-Thales Und. Systems</v>
      </c>
      <c r="D417" t="e">
        <f t="shared" si="57"/>
        <v>#VALUE!</v>
      </c>
      <c r="E417" t="e">
        <f t="shared" si="58"/>
        <v>#VALUE!</v>
      </c>
      <c r="F417" t="str">
        <f t="shared" si="59"/>
        <v>ABC world airways guide  [Texte imprimé]</v>
      </c>
      <c r="G417" t="str">
        <f t="shared" si="60"/>
        <v>ABC world airways guide</v>
      </c>
      <c r="H417" t="str">
        <f t="shared" si="61"/>
        <v>0966-1840</v>
      </c>
      <c r="I417" t="str">
        <f t="shared" si="62"/>
        <v>(1988)-....</v>
      </c>
    </row>
    <row r="418" spans="1:9" x14ac:dyDescent="0.25">
      <c r="A418" t="str">
        <f>"048882933"</f>
        <v>048882933</v>
      </c>
      <c r="B418" t="str">
        <f t="shared" si="55"/>
        <v>831375101</v>
      </c>
      <c r="C418" t="str">
        <f t="shared" si="56"/>
        <v>TOULON-Serv.Historique Marine</v>
      </c>
      <c r="D418" t="str">
        <f t="shared" si="57"/>
        <v>43.124228</v>
      </c>
      <c r="E418" t="str">
        <f t="shared" si="58"/>
        <v>5.928</v>
      </c>
      <c r="F418" t="str">
        <f t="shared" si="59"/>
        <v>Plein ciel journal  [Texte imprimé]</v>
      </c>
      <c r="G418" t="str">
        <f t="shared" si="60"/>
        <v>Plein ciel journal</v>
      </c>
      <c r="H418" t="str">
        <f t="shared" si="61"/>
        <v>2020-5228</v>
      </c>
      <c r="I418" t="str">
        <f t="shared" si="62"/>
        <v>no. 39 (1935) - no. 68  (1940)</v>
      </c>
    </row>
    <row r="419" spans="1:9" x14ac:dyDescent="0.25">
      <c r="A419" t="str">
        <f>"113611242"</f>
        <v>113611242</v>
      </c>
      <c r="B419" t="str">
        <f t="shared" si="55"/>
        <v>060882303</v>
      </c>
      <c r="C419" t="str">
        <f t="shared" si="56"/>
        <v>NICE-Museum Hist.Naturelle</v>
      </c>
      <c r="D419" t="str">
        <f t="shared" si="57"/>
        <v>43.7017477</v>
      </c>
      <c r="E419" t="str">
        <f t="shared" si="58"/>
        <v>7.279483399999999</v>
      </c>
      <c r="F419" t="str">
        <f t="shared" si="59"/>
        <v>Zeitschrift der Arbeitsgemeinschaft Österreichischer Entomologen  [Texte imprimé]</v>
      </c>
      <c r="G419" t="str">
        <f t="shared" si="60"/>
        <v>Zeitschrift der Arbeitsgemeinschaft Österreichischer Entomologen</v>
      </c>
      <c r="H419" t="str">
        <f t="shared" si="61"/>
        <v>0375-5223</v>
      </c>
      <c r="I419" t="str">
        <f t="shared" si="62"/>
        <v>vol. 30 (1978) - vol. 46  (1994) [Lac : vol 43, 1991]</v>
      </c>
    </row>
    <row r="420" spans="1:9" x14ac:dyDescent="0.25">
      <c r="A420" t="str">
        <f>"037554018"</f>
        <v>037554018</v>
      </c>
      <c r="B420" t="str">
        <f t="shared" si="55"/>
        <v>991386201</v>
      </c>
      <c r="C420" t="str">
        <f t="shared" si="56"/>
        <v>MONACO-Bibl.Louis Notari</v>
      </c>
      <c r="D420" t="str">
        <f t="shared" si="57"/>
        <v>43.7351319</v>
      </c>
      <c r="E420" t="str">
        <f t="shared" si="58"/>
        <v>7.420563100000001</v>
      </c>
      <c r="F420" t="str">
        <f t="shared" si="59"/>
        <v>Bulletin d'information des relations extérieures  [Texte imprimé]</v>
      </c>
      <c r="G420" t="str">
        <f t="shared" si="60"/>
        <v>Bulletin d'information des relations extérieures</v>
      </c>
      <c r="H420" t="str">
        <f t="shared" si="61"/>
        <v>0544-764X</v>
      </c>
      <c r="I420" t="str">
        <f t="shared" si="62"/>
        <v>no. 1 (1965) - no. 8  (1967)</v>
      </c>
    </row>
    <row r="421" spans="1:9" x14ac:dyDescent="0.25">
      <c r="A421" t="str">
        <f>"040175197"</f>
        <v>040175197</v>
      </c>
      <c r="B421" t="str">
        <f t="shared" si="55"/>
        <v>991386201</v>
      </c>
      <c r="C421" t="str">
        <f t="shared" si="56"/>
        <v>MONACO-Bibl.Louis Notari</v>
      </c>
      <c r="D421" t="str">
        <f t="shared" si="57"/>
        <v>43.7351319</v>
      </c>
      <c r="E421" t="str">
        <f t="shared" si="58"/>
        <v>7.420563100000001</v>
      </c>
      <c r="F421" t="str">
        <f t="shared" si="59"/>
        <v>Première international  [Texte imprimé]</v>
      </c>
      <c r="G421" t="str">
        <f t="shared" si="60"/>
        <v>Première international</v>
      </c>
      <c r="H421" t="str">
        <f t="shared" si="61"/>
        <v>1018-9858</v>
      </c>
      <c r="I421" t="str">
        <f t="shared" si="62"/>
        <v>vol. 1 (1990)-....</v>
      </c>
    </row>
    <row r="422" spans="1:9" x14ac:dyDescent="0.25">
      <c r="A422" t="str">
        <f>"050920588"</f>
        <v>050920588</v>
      </c>
      <c r="B422" t="str">
        <f t="shared" si="55"/>
        <v>060845301</v>
      </c>
      <c r="C422" t="str">
        <f t="shared" si="56"/>
        <v>MOUANS SARTOUX-CRD Occitane</v>
      </c>
      <c r="D422" t="str">
        <f t="shared" si="57"/>
        <v>43.6188186</v>
      </c>
      <c r="E422" t="str">
        <f t="shared" si="58"/>
        <v>6.972011600000001</v>
      </c>
      <c r="F422" t="str">
        <f t="shared" si="59"/>
        <v>L'Écho du moulin  [Texte imprimé]</v>
      </c>
      <c r="G422" t="str">
        <f t="shared" si="60"/>
        <v>L'Écho du moulin</v>
      </c>
      <c r="H422" t="str">
        <f t="shared" si="61"/>
        <v>2020-7441</v>
      </c>
      <c r="I422">
        <f t="shared" si="62"/>
        <v>-1938</v>
      </c>
    </row>
    <row r="423" spans="1:9" x14ac:dyDescent="0.25">
      <c r="A423" t="str">
        <f>"038597438"</f>
        <v>038597438</v>
      </c>
      <c r="B423" t="str">
        <f t="shared" si="55"/>
        <v>991385301</v>
      </c>
      <c r="C423" t="str">
        <f t="shared" si="56"/>
        <v>MONACO-Musée Océanographique</v>
      </c>
      <c r="D423" t="str">
        <f t="shared" si="57"/>
        <v>43.7310033</v>
      </c>
      <c r="E423" t="str">
        <f t="shared" si="58"/>
        <v>7.425491600000001</v>
      </c>
      <c r="F423" t="str">
        <f t="shared" si="59"/>
        <v>Documents arrivés en bibliothèque  [Texte imprimé]  / Centre océanologique de Bretagne</v>
      </c>
      <c r="G423" t="str">
        <f t="shared" si="60"/>
        <v>Documents arrivés en bibliothèque</v>
      </c>
      <c r="H423" t="str">
        <f t="shared" si="61"/>
        <v>1154-9874</v>
      </c>
      <c r="I423" t="str">
        <f t="shared" si="62"/>
        <v>no. 83 (1983) - no. 5  (1984)</v>
      </c>
    </row>
    <row r="424" spans="1:9" x14ac:dyDescent="0.25">
      <c r="A424" t="str">
        <f>"038660423"</f>
        <v>038660423</v>
      </c>
      <c r="B424" t="str">
        <f t="shared" si="55"/>
        <v>831376201</v>
      </c>
      <c r="C424" t="str">
        <f t="shared" si="56"/>
        <v>TOULON-BM</v>
      </c>
      <c r="D424" t="str">
        <f t="shared" si="57"/>
        <v>43.0823215</v>
      </c>
      <c r="E424" t="str">
        <f t="shared" si="58"/>
        <v>5.920052699999999</v>
      </c>
      <c r="F424" t="str">
        <f t="shared" si="59"/>
        <v>Le Nouveau bulletin du Centre universitaire de Toulon et du Var  [Texte imprimé]</v>
      </c>
      <c r="G424" t="str">
        <f t="shared" si="60"/>
        <v>Le Nouveau bulletin du Centre universitaire de Toulon et du Var</v>
      </c>
      <c r="H424" t="str">
        <f t="shared" si="61"/>
        <v>1162-9754</v>
      </c>
      <c r="I424" t="str">
        <f t="shared" si="62"/>
        <v>no. 1 (1976) - no. 6  (1978)</v>
      </c>
    </row>
    <row r="425" spans="1:9" x14ac:dyDescent="0.25">
      <c r="A425" t="str">
        <f>"038660431"</f>
        <v>038660431</v>
      </c>
      <c r="B425" t="str">
        <f t="shared" si="55"/>
        <v>831376201</v>
      </c>
      <c r="C425" t="str">
        <f t="shared" si="56"/>
        <v>TOULON-BM</v>
      </c>
      <c r="D425" t="str">
        <f t="shared" si="57"/>
        <v>43.0823215</v>
      </c>
      <c r="E425" t="str">
        <f t="shared" si="58"/>
        <v>5.920052699999999</v>
      </c>
      <c r="F425" t="str">
        <f t="shared" si="59"/>
        <v>Bulletin de l'Université de Toulon et du Var  [Texte imprimé]</v>
      </c>
      <c r="G425" t="str">
        <f t="shared" si="60"/>
        <v>Bulletin de l'Université de Toulon et du Var</v>
      </c>
      <c r="H425" t="str">
        <f t="shared" si="61"/>
        <v>1162-9762</v>
      </c>
      <c r="I425" t="str">
        <f t="shared" si="62"/>
        <v>no. 16 (1980) - no. 20  (1982)</v>
      </c>
    </row>
    <row r="426" spans="1:9" x14ac:dyDescent="0.25">
      <c r="A426" t="str">
        <f>"039731510"</f>
        <v>039731510</v>
      </c>
      <c r="B426" t="str">
        <f t="shared" si="55"/>
        <v>991385201</v>
      </c>
      <c r="C426" t="str">
        <f t="shared" si="56"/>
        <v>MONACO-Jardin exotique</v>
      </c>
      <c r="D426" t="str">
        <f t="shared" si="57"/>
        <v>43.7310908</v>
      </c>
      <c r="E426" t="str">
        <f t="shared" si="58"/>
        <v>7.410747499999999</v>
      </c>
      <c r="F426" t="str">
        <f t="shared" si="59"/>
        <v>Leuchtenbergia  [Texte imprimé]</v>
      </c>
      <c r="G426" t="str">
        <f t="shared" si="60"/>
        <v>Leuchtenbergia</v>
      </c>
      <c r="H426" t="str">
        <f t="shared" si="61"/>
        <v>0774-4692</v>
      </c>
      <c r="I426" t="str">
        <f t="shared" si="62"/>
        <v>vol. 4 no. 1 (1983) - vol. 6  no. 12  (1985)</v>
      </c>
    </row>
    <row r="427" spans="1:9" x14ac:dyDescent="0.25">
      <c r="A427" t="str">
        <f>"036777293"</f>
        <v>036777293</v>
      </c>
      <c r="B427" t="str">
        <f t="shared" si="55"/>
        <v>991385301</v>
      </c>
      <c r="C427" t="str">
        <f t="shared" si="56"/>
        <v>MONACO-Musée Océanographique</v>
      </c>
      <c r="D427" t="str">
        <f t="shared" si="57"/>
        <v>43.7310033</v>
      </c>
      <c r="E427" t="str">
        <f t="shared" si="58"/>
        <v>7.425491600000001</v>
      </c>
      <c r="F427" t="str">
        <f t="shared" si="59"/>
        <v>New Zealand Marine Sciences Society newsletter  [Texte imprimé]</v>
      </c>
      <c r="G427" t="str">
        <f t="shared" si="60"/>
        <v>New Zealand Marine Sciences Society newsletter</v>
      </c>
      <c r="H427" t="str">
        <f t="shared" si="61"/>
        <v>0112-8396</v>
      </c>
      <c r="I427" t="str">
        <f t="shared" si="62"/>
        <v>(1980) - (1990)</v>
      </c>
    </row>
    <row r="428" spans="1:9" x14ac:dyDescent="0.25">
      <c r="A428" t="str">
        <f>"040291391"</f>
        <v>040291391</v>
      </c>
      <c r="B428" t="str">
        <f t="shared" si="55"/>
        <v>991385301</v>
      </c>
      <c r="C428" t="str">
        <f t="shared" si="56"/>
        <v>MONACO-Musée Océanographique</v>
      </c>
      <c r="D428" t="str">
        <f t="shared" si="57"/>
        <v>43.7310033</v>
      </c>
      <c r="E428" t="str">
        <f t="shared" si="58"/>
        <v>7.425491600000001</v>
      </c>
      <c r="F428" t="str">
        <f t="shared" si="59"/>
        <v>Whale news  [Texte imprimé]</v>
      </c>
      <c r="G428" t="str">
        <f t="shared" si="60"/>
        <v>Whale news</v>
      </c>
      <c r="H428" t="str">
        <f t="shared" si="61"/>
        <v>1061-5970</v>
      </c>
      <c r="I428" t="str">
        <f t="shared" si="62"/>
        <v>no. 44 (1990)-....</v>
      </c>
    </row>
    <row r="429" spans="1:9" x14ac:dyDescent="0.25">
      <c r="A429" t="str">
        <f>"150628641"</f>
        <v>150628641</v>
      </c>
      <c r="B429" t="str">
        <f t="shared" si="55"/>
        <v>060885110</v>
      </c>
      <c r="C429" t="str">
        <f t="shared" si="56"/>
        <v>NICE-Musée du Palais Lascaris</v>
      </c>
      <c r="D429" t="str">
        <f t="shared" si="57"/>
        <v>43.6976448</v>
      </c>
      <c r="E429" t="str">
        <f t="shared" si="58"/>
        <v>7.2773359</v>
      </c>
      <c r="F429" t="str">
        <f t="shared" si="59"/>
        <v>LePénitent  [Texte imprimé]  / Foyer Sainte-Croix</v>
      </c>
      <c r="G429" t="str">
        <f t="shared" si="60"/>
        <v>LePénitent</v>
      </c>
      <c r="H429" t="str">
        <f t="shared" si="61"/>
        <v>2119-7431</v>
      </c>
      <c r="I429" t="str">
        <f t="shared" si="62"/>
        <v>no. 2 (1975) - no. 13  (1986)</v>
      </c>
    </row>
    <row r="430" spans="1:9" x14ac:dyDescent="0.25">
      <c r="A430" t="str">
        <f>"150555660"</f>
        <v>150555660</v>
      </c>
      <c r="B430" t="str">
        <f t="shared" si="55"/>
        <v>060885215</v>
      </c>
      <c r="C430" t="str">
        <f t="shared" si="56"/>
        <v>NICE-Musée des Beaux-Arts</v>
      </c>
      <c r="D430" t="str">
        <f t="shared" si="57"/>
        <v>43.694748</v>
      </c>
      <c r="E430" t="str">
        <f t="shared" si="58"/>
        <v>7.2491359</v>
      </c>
      <c r="F430" t="str">
        <f t="shared" si="59"/>
        <v>Welcome!  [Texte imprimé]  : Côte d'Azur culture &amp; loisirs</v>
      </c>
      <c r="G430" t="str">
        <f t="shared" si="60"/>
        <v>Welcome!</v>
      </c>
      <c r="H430" t="str">
        <f t="shared" si="61"/>
        <v>2118-4887</v>
      </c>
      <c r="I430" t="str">
        <f t="shared" si="62"/>
        <v>no. 22 (2006) - no. 23  (2006) ; no. 26 (2007) - no. 28  (2007) ; no. 29 (2008)</v>
      </c>
    </row>
    <row r="431" spans="1:9" x14ac:dyDescent="0.25">
      <c r="A431" t="str">
        <f>"040131262"</f>
        <v>040131262</v>
      </c>
      <c r="B431" t="str">
        <f t="shared" si="55"/>
        <v>991386201</v>
      </c>
      <c r="C431" t="str">
        <f t="shared" si="56"/>
        <v>MONACO-Bibl.Louis Notari</v>
      </c>
      <c r="D431" t="str">
        <f t="shared" si="57"/>
        <v>43.7351319</v>
      </c>
      <c r="E431" t="str">
        <f t="shared" si="58"/>
        <v>7.420563100000001</v>
      </c>
      <c r="F431" t="str">
        <f t="shared" si="59"/>
        <v>L'unité syndicale  [Texte imprimé]</v>
      </c>
      <c r="G431" t="str">
        <f t="shared" si="60"/>
        <v>L'unité syndicale</v>
      </c>
      <c r="H431" t="str">
        <f t="shared" si="61"/>
        <v>1010-481X</v>
      </c>
      <c r="I431" t="str">
        <f t="shared" si="62"/>
        <v>no. 1 (1966)-....</v>
      </c>
    </row>
    <row r="432" spans="1:9" x14ac:dyDescent="0.25">
      <c r="A432" t="str">
        <f>"040142000"</f>
        <v>040142000</v>
      </c>
      <c r="B432" t="str">
        <f t="shared" si="55"/>
        <v>991385301</v>
      </c>
      <c r="C432" t="str">
        <f t="shared" si="56"/>
        <v>MONACO-Musée Océanographique</v>
      </c>
      <c r="D432" t="str">
        <f t="shared" si="57"/>
        <v>43.7310033</v>
      </c>
      <c r="E432" t="str">
        <f t="shared" si="58"/>
        <v>7.425491600000001</v>
      </c>
      <c r="F432" t="str">
        <f t="shared" si="59"/>
        <v>Yearbook  [Texte imprimé]  / ACOPS</v>
      </c>
      <c r="G432" t="str">
        <f t="shared" si="60"/>
        <v>Yearbook</v>
      </c>
      <c r="H432" t="str">
        <f t="shared" si="61"/>
        <v>1012-4411</v>
      </c>
      <c r="I432" t="str">
        <f t="shared" si="62"/>
        <v>(1984/85)-....</v>
      </c>
    </row>
    <row r="433" spans="1:9" x14ac:dyDescent="0.25">
      <c r="A433" t="str">
        <f>"040141950"</f>
        <v>040141950</v>
      </c>
      <c r="B433" t="str">
        <f t="shared" si="55"/>
        <v>991385301</v>
      </c>
      <c r="C433" t="str">
        <f t="shared" si="56"/>
        <v>MONACO-Musée Océanographique</v>
      </c>
      <c r="D433" t="str">
        <f t="shared" si="57"/>
        <v>43.7310033</v>
      </c>
      <c r="E433" t="str">
        <f t="shared" si="58"/>
        <v>7.425491600000001</v>
      </c>
      <c r="F433" t="str">
        <f t="shared" si="59"/>
        <v>Currents  [Texte imprimé]  / Bermuda Biological Station for Research</v>
      </c>
      <c r="G433" t="str">
        <f t="shared" si="60"/>
        <v>Currents</v>
      </c>
      <c r="H433" t="str">
        <f t="shared" si="61"/>
        <v>1012-4292</v>
      </c>
      <c r="I433" t="str">
        <f t="shared" si="62"/>
        <v>fall (1986)-....</v>
      </c>
    </row>
    <row r="434" spans="1:9" x14ac:dyDescent="0.25">
      <c r="A434" t="str">
        <f>"036560707"</f>
        <v>036560707</v>
      </c>
      <c r="B434" t="str">
        <f t="shared" si="55"/>
        <v>060042301</v>
      </c>
      <c r="C434" t="str">
        <f t="shared" si="56"/>
        <v>ANTIBES-INRA-Lab.Protec.Végé</v>
      </c>
      <c r="D434" t="str">
        <f t="shared" si="57"/>
        <v>43.5661292</v>
      </c>
      <c r="E434" t="str">
        <f t="shared" si="58"/>
        <v>7.1249398</v>
      </c>
      <c r="F434" t="e">
        <f t="shared" si="59"/>
        <v>#VALUE!</v>
      </c>
      <c r="G434" t="str">
        <f t="shared" si="60"/>
        <v>Handbuch der Pflanzenphysiologie</v>
      </c>
      <c r="H434" t="e">
        <f t="shared" si="61"/>
        <v>#VALUE!</v>
      </c>
      <c r="I434" t="str">
        <f t="shared" si="62"/>
        <v>(1955) - (1967)</v>
      </c>
    </row>
    <row r="435" spans="1:9" x14ac:dyDescent="0.25">
      <c r="A435" t="str">
        <f>"04867074X"</f>
        <v>04867074X</v>
      </c>
      <c r="B435" t="str">
        <f t="shared" si="55"/>
        <v>831375101</v>
      </c>
      <c r="C435" t="str">
        <f t="shared" si="56"/>
        <v>TOULON-Serv.Historique Marine</v>
      </c>
      <c r="D435" t="str">
        <f t="shared" si="57"/>
        <v>43.124228</v>
      </c>
      <c r="E435" t="str">
        <f t="shared" si="58"/>
        <v>5.928</v>
      </c>
      <c r="F435" t="str">
        <f t="shared" si="59"/>
        <v>Bulletin de liaison du Commissariat de la marine  [Texte imprimé]</v>
      </c>
      <c r="G435" t="str">
        <f t="shared" si="60"/>
        <v>Bulletin de liaison du Commissariat de la marine</v>
      </c>
      <c r="H435" t="str">
        <f t="shared" si="61"/>
        <v>0298-7112</v>
      </c>
      <c r="I435" t="str">
        <f t="shared" si="62"/>
        <v>no. 1 (1967) - no. 31  (1978) ; no. 47 (1987) - no. 62  (1995) [lac.]</v>
      </c>
    </row>
    <row r="436" spans="1:9" x14ac:dyDescent="0.25">
      <c r="A436" t="str">
        <f>"037227785"</f>
        <v>037227785</v>
      </c>
      <c r="B436" t="str">
        <f t="shared" si="55"/>
        <v>991385301</v>
      </c>
      <c r="C436" t="str">
        <f t="shared" si="56"/>
        <v>MONACO-Musée Océanographique</v>
      </c>
      <c r="D436" t="str">
        <f t="shared" si="57"/>
        <v>43.7310033</v>
      </c>
      <c r="E436" t="str">
        <f t="shared" si="58"/>
        <v>7.425491600000001</v>
      </c>
      <c r="F436" t="e">
        <f t="shared" si="59"/>
        <v>#VALUE!</v>
      </c>
      <c r="G436" t="str">
        <f t="shared" si="60"/>
        <v>Technical report</v>
      </c>
      <c r="H436" t="str">
        <f t="shared" si="61"/>
        <v>0271-8863</v>
      </c>
      <c r="I436" t="str">
        <f t="shared" si="62"/>
        <v>no. 17 (1974) ; no. 31 (1976) ; vol. 81 no. 2 (1981) ; vol. 83 no. 3 (1983) - no. 6  (1983) ; vol. 84 no. 3 (1984) ; vol. 84 no. 6 (1984) - no. 7  (1984) ; no. 17 (1984)-....</v>
      </c>
    </row>
    <row r="437" spans="1:9" x14ac:dyDescent="0.25">
      <c r="A437" t="str">
        <f>"136595456"</f>
        <v>136595456</v>
      </c>
      <c r="B437" t="str">
        <f t="shared" si="55"/>
        <v>060885105</v>
      </c>
      <c r="C437" t="str">
        <f t="shared" si="56"/>
        <v>NICE-Bibl.Chevalier de Cessole</v>
      </c>
      <c r="D437" t="str">
        <f t="shared" si="57"/>
        <v>43.6956246</v>
      </c>
      <c r="E437" t="str">
        <f t="shared" si="58"/>
        <v>7.259380900000001</v>
      </c>
      <c r="F437" t="str">
        <f t="shared" si="59"/>
        <v>Lou Coucia carêma  [Texte imprimé]</v>
      </c>
      <c r="G437" t="str">
        <f t="shared" si="60"/>
        <v>Lou Coucia carêma</v>
      </c>
      <c r="H437" t="str">
        <f t="shared" si="61"/>
        <v>2124-586X</v>
      </c>
      <c r="I437" t="str">
        <f t="shared" si="62"/>
        <v>no. 1 (27-mar-1890) - no. 3  (3-avr-1890)</v>
      </c>
    </row>
    <row r="438" spans="1:9" x14ac:dyDescent="0.25">
      <c r="A438" t="str">
        <f>"13595374X"</f>
        <v>13595374X</v>
      </c>
      <c r="B438" t="str">
        <f t="shared" si="55"/>
        <v>060885105</v>
      </c>
      <c r="C438" t="str">
        <f t="shared" si="56"/>
        <v>NICE-Bibl.Chevalier de Cessole</v>
      </c>
      <c r="D438" t="str">
        <f t="shared" si="57"/>
        <v>43.6956246</v>
      </c>
      <c r="E438" t="str">
        <f t="shared" si="58"/>
        <v>7.259380900000001</v>
      </c>
      <c r="F438" t="str">
        <f t="shared" si="59"/>
        <v>L'Ami du peuple  [Texte imprimé]</v>
      </c>
      <c r="G438" t="str">
        <f t="shared" si="60"/>
        <v>L'Ami du peuple</v>
      </c>
      <c r="H438" t="str">
        <f t="shared" si="61"/>
        <v>2120-6813</v>
      </c>
      <c r="I438" t="str">
        <f t="shared" si="62"/>
        <v>no. 1 (25-mai-1880) - no. 16  (29-jun-1880)</v>
      </c>
    </row>
    <row r="439" spans="1:9" x14ac:dyDescent="0.25">
      <c r="A439" t="str">
        <f>"039312984"</f>
        <v>039312984</v>
      </c>
      <c r="B439" t="str">
        <f t="shared" si="55"/>
        <v>061525404</v>
      </c>
      <c r="C439" t="str">
        <f t="shared" si="56"/>
        <v>SOPHIA/ANT.-Thales Und. Systems</v>
      </c>
      <c r="D439" t="e">
        <f t="shared" si="57"/>
        <v>#VALUE!</v>
      </c>
      <c r="E439" t="e">
        <f t="shared" si="58"/>
        <v>#VALUE!</v>
      </c>
      <c r="F439" t="str">
        <f t="shared" si="59"/>
        <v>Helicopter world  [Texte imprimé]</v>
      </c>
      <c r="G439" t="str">
        <f t="shared" si="60"/>
        <v>Helicopter world</v>
      </c>
      <c r="H439" t="str">
        <f t="shared" si="61"/>
        <v>0262-0448</v>
      </c>
      <c r="I439" t="str">
        <f t="shared" si="62"/>
        <v>(1983) - (1986)</v>
      </c>
    </row>
    <row r="440" spans="1:9" x14ac:dyDescent="0.25">
      <c r="A440" t="str">
        <f>"059470623"</f>
        <v>059470623</v>
      </c>
      <c r="B440" t="str">
        <f t="shared" si="55"/>
        <v>061522308</v>
      </c>
      <c r="C440" t="str">
        <f t="shared" si="56"/>
        <v>SOPHIA/ANT.-Doc.Institut Eurecom</v>
      </c>
      <c r="D440" t="e">
        <f t="shared" si="57"/>
        <v>#VALUE!</v>
      </c>
      <c r="E440" t="e">
        <f t="shared" si="58"/>
        <v>#VALUE!</v>
      </c>
      <c r="F440" t="str">
        <f t="shared" si="59"/>
        <v>Journal of Information Warfare  [Texte imprimé]</v>
      </c>
      <c r="G440" t="str">
        <f t="shared" si="60"/>
        <v>Journal of Information Warfare</v>
      </c>
      <c r="H440" t="str">
        <f t="shared" si="61"/>
        <v>1445-3312</v>
      </c>
      <c r="I440" t="str">
        <f t="shared" si="62"/>
        <v>(jan-2006)-....</v>
      </c>
    </row>
    <row r="441" spans="1:9" x14ac:dyDescent="0.25">
      <c r="A441" t="str">
        <f>"17889432X"</f>
        <v>17889432X</v>
      </c>
      <c r="B441" t="str">
        <f t="shared" si="55"/>
        <v>060885101</v>
      </c>
      <c r="C441" t="str">
        <f t="shared" si="56"/>
        <v>NICE-Archives Municipales</v>
      </c>
      <c r="D441" t="str">
        <f t="shared" si="57"/>
        <v>43.68774699999999</v>
      </c>
      <c r="E441" t="str">
        <f t="shared" si="58"/>
        <v>7.235200000000001</v>
      </c>
      <c r="F441" t="str">
        <f t="shared" si="59"/>
        <v>Nice Informations – Tourisme  [Texte imprimé]  : Note de conjoncture mensuelle sur le tourisme à Nice  / Mairie de Nice. Service du tourisme</v>
      </c>
      <c r="G441" t="str">
        <f t="shared" si="60"/>
        <v>Nice Informations – Tourisme</v>
      </c>
      <c r="H441" t="e">
        <f t="shared" si="61"/>
        <v>#VALUE!</v>
      </c>
      <c r="I441" t="str">
        <f t="shared" si="62"/>
        <v>no. 1 (1977) - no. 26  (1979) [Manque les numéros 13 et 14]</v>
      </c>
    </row>
    <row r="442" spans="1:9" x14ac:dyDescent="0.25">
      <c r="A442" t="str">
        <f>"037403540"</f>
        <v>037403540</v>
      </c>
      <c r="B442" t="str">
        <f t="shared" si="55"/>
        <v>991385201</v>
      </c>
      <c r="C442" t="str">
        <f t="shared" si="56"/>
        <v>MONACO-Jardin exotique</v>
      </c>
      <c r="D442" t="str">
        <f t="shared" si="57"/>
        <v>43.7310908</v>
      </c>
      <c r="E442" t="str">
        <f t="shared" si="58"/>
        <v>7.410747499999999</v>
      </c>
      <c r="F442" t="str">
        <f t="shared" si="59"/>
        <v>Cactussen en vetplanten  [Texte imprimé]</v>
      </c>
      <c r="G442" t="str">
        <f t="shared" si="60"/>
        <v>Cactussen en vetplanten</v>
      </c>
      <c r="H442" t="str">
        <f t="shared" si="61"/>
        <v>0774-4706</v>
      </c>
      <c r="I442" t="str">
        <f t="shared" si="62"/>
        <v>vol. 1 no. 1 (1984) - vol. 4  no. 1  (1987) ; vol. 4 no. 3 (1987) - vol. 4  no. 5  (1987)</v>
      </c>
    </row>
    <row r="443" spans="1:9" x14ac:dyDescent="0.25">
      <c r="A443" t="str">
        <f>"039052001"</f>
        <v>039052001</v>
      </c>
      <c r="B443" t="str">
        <f t="shared" si="55"/>
        <v>831376201</v>
      </c>
      <c r="C443" t="str">
        <f t="shared" si="56"/>
        <v>TOULON-BM</v>
      </c>
      <c r="D443" t="str">
        <f t="shared" si="57"/>
        <v>43.0823215</v>
      </c>
      <c r="E443" t="str">
        <f t="shared" si="58"/>
        <v>5.920052699999999</v>
      </c>
      <c r="F443" t="str">
        <f t="shared" si="59"/>
        <v>Petites affiches toulonnaises  [Texte imprimé]</v>
      </c>
      <c r="G443" t="str">
        <f t="shared" si="60"/>
        <v>Petites affiches toulonnaises</v>
      </c>
      <c r="H443" t="str">
        <f t="shared" si="61"/>
        <v>2017-9316</v>
      </c>
      <c r="I443" t="str">
        <f t="shared" si="62"/>
        <v>no. 39 (1850)</v>
      </c>
    </row>
    <row r="444" spans="1:9" x14ac:dyDescent="0.25">
      <c r="A444" t="str">
        <f>"039051994"</f>
        <v>039051994</v>
      </c>
      <c r="B444" t="str">
        <f t="shared" si="55"/>
        <v>831376201</v>
      </c>
      <c r="C444" t="str">
        <f t="shared" si="56"/>
        <v>TOULON-BM</v>
      </c>
      <c r="D444" t="str">
        <f t="shared" si="57"/>
        <v>43.0823215</v>
      </c>
      <c r="E444" t="str">
        <f t="shared" si="58"/>
        <v>5.920052699999999</v>
      </c>
      <c r="F444" t="str">
        <f t="shared" si="59"/>
        <v>Les Petites affiches de Toulon et du Var  [Texte imprimé]</v>
      </c>
      <c r="G444" t="str">
        <f t="shared" si="60"/>
        <v>Les Petites affiches de Toulon et du Var</v>
      </c>
      <c r="H444" t="str">
        <f t="shared" si="61"/>
        <v>2017-9308</v>
      </c>
      <c r="I444" t="str">
        <f t="shared" si="62"/>
        <v>no. 171 (1901) - no. 1435  (1926) ; n.s. no. 277 (1928) ; no. 45 (1929) ; no. 37 (1932)</v>
      </c>
    </row>
    <row r="445" spans="1:9" x14ac:dyDescent="0.25">
      <c r="A445" t="str">
        <f>"040295257"</f>
        <v>040295257</v>
      </c>
      <c r="B445" t="str">
        <f t="shared" si="55"/>
        <v>831375101</v>
      </c>
      <c r="C445" t="str">
        <f t="shared" si="56"/>
        <v>TOULON-Serv.Historique Marine</v>
      </c>
      <c r="D445" t="str">
        <f t="shared" si="57"/>
        <v>43.124228</v>
      </c>
      <c r="E445" t="str">
        <f t="shared" si="58"/>
        <v>5.928</v>
      </c>
      <c r="F445" t="str">
        <f t="shared" si="59"/>
        <v>Annuaire des personnels civils et militaires relevant de la direction centrale des travaux immobiliers et maritimes  [Texte imprimé]</v>
      </c>
      <c r="G445" t="str">
        <f t="shared" si="60"/>
        <v>Annuaire des personnels civils et militaires relevant de la direction centrale des travaux immobiliers et maritimes</v>
      </c>
      <c r="H445" t="str">
        <f t="shared" si="61"/>
        <v>1257-0087</v>
      </c>
      <c r="I445" t="str">
        <f t="shared" si="62"/>
        <v>(1963) - (1965) ; (1968) ; (1984)</v>
      </c>
    </row>
    <row r="446" spans="1:9" x14ac:dyDescent="0.25">
      <c r="A446" t="str">
        <f>"040295265"</f>
        <v>040295265</v>
      </c>
      <c r="B446" t="str">
        <f t="shared" si="55"/>
        <v>831375101</v>
      </c>
      <c r="C446" t="str">
        <f t="shared" si="56"/>
        <v>TOULON-Serv.Historique Marine</v>
      </c>
      <c r="D446" t="str">
        <f t="shared" si="57"/>
        <v>43.124228</v>
      </c>
      <c r="E446" t="str">
        <f t="shared" si="58"/>
        <v>5.928</v>
      </c>
      <c r="F446" t="str">
        <f t="shared" si="59"/>
        <v>Annuaire des officiers généraux et assimilés en activité de service  [Texte imprimé]</v>
      </c>
      <c r="G446" t="str">
        <f t="shared" si="60"/>
        <v>Annuaire des officiers généraux et assimilés en activité de service</v>
      </c>
      <c r="H446" t="str">
        <f t="shared" si="61"/>
        <v>1257-0095</v>
      </c>
      <c r="I446" t="str">
        <f t="shared" si="62"/>
        <v>(1986) - (1987)</v>
      </c>
    </row>
    <row r="447" spans="1:9" x14ac:dyDescent="0.25">
      <c r="A447" t="str">
        <f>"156131951"</f>
        <v>156131951</v>
      </c>
      <c r="B447" t="str">
        <f t="shared" si="55"/>
        <v>060885105</v>
      </c>
      <c r="C447" t="str">
        <f t="shared" si="56"/>
        <v>NICE-Bibl.Chevalier de Cessole</v>
      </c>
      <c r="D447" t="str">
        <f t="shared" si="57"/>
        <v>43.6956246</v>
      </c>
      <c r="E447" t="str">
        <f t="shared" si="58"/>
        <v>7.259380900000001</v>
      </c>
      <c r="F447" t="str">
        <f t="shared" si="59"/>
        <v>Nice-théâtres  [Texte imprimé]</v>
      </c>
      <c r="G447" t="str">
        <f t="shared" si="60"/>
        <v>Nice-théâtres</v>
      </c>
      <c r="H447" t="str">
        <f t="shared" si="61"/>
        <v>2132-8455</v>
      </c>
      <c r="I447" t="str">
        <f t="shared" si="62"/>
        <v>no. 85 (30-nov-1883) - no. 87  (31-jan-1884)</v>
      </c>
    </row>
    <row r="448" spans="1:9" x14ac:dyDescent="0.25">
      <c r="A448" t="str">
        <f>"039470873"</f>
        <v>039470873</v>
      </c>
      <c r="B448" t="str">
        <f t="shared" si="55"/>
        <v>060882301</v>
      </c>
      <c r="C448" t="str">
        <f t="shared" si="56"/>
        <v>NICE-C.Et.Biol.Océanographique</v>
      </c>
      <c r="D448" t="str">
        <f t="shared" si="57"/>
        <v>43.663739</v>
      </c>
      <c r="E448" t="str">
        <f t="shared" si="58"/>
        <v>7.14882</v>
      </c>
      <c r="F448" t="e">
        <f t="shared" si="59"/>
        <v>#VALUE!</v>
      </c>
      <c r="G448" t="str">
        <f t="shared" si="60"/>
        <v>Gewässerschutz, Wasser, Abwasser</v>
      </c>
      <c r="H448" t="str">
        <f t="shared" si="61"/>
        <v>0342-6068</v>
      </c>
      <c r="I448" t="str">
        <f t="shared" si="62"/>
        <v>(1969) - (1975)</v>
      </c>
    </row>
    <row r="449" spans="1:9" x14ac:dyDescent="0.25">
      <c r="A449" t="str">
        <f>"055054048"</f>
        <v>055054048</v>
      </c>
      <c r="B449" t="str">
        <f t="shared" si="55"/>
        <v>060885101</v>
      </c>
      <c r="C449" t="str">
        <f t="shared" si="56"/>
        <v>NICE-Archives Municipales</v>
      </c>
      <c r="D449" t="str">
        <f t="shared" si="57"/>
        <v>43.68774699999999</v>
      </c>
      <c r="E449" t="str">
        <f t="shared" si="58"/>
        <v>7.235200000000001</v>
      </c>
      <c r="F449" t="str">
        <f t="shared" si="59"/>
        <v>La Voix des marchands de journaux du Sud-Est  [Texte imprimé]</v>
      </c>
      <c r="G449" t="str">
        <f t="shared" si="60"/>
        <v>La Voix des marchands de journaux du Sud-Est</v>
      </c>
      <c r="H449" t="e">
        <f t="shared" si="61"/>
        <v>#VALUE!</v>
      </c>
      <c r="I449" t="str">
        <f t="shared" si="62"/>
        <v>no. 2 (1949) - no. 8  (1950) [lac.n°6,7]</v>
      </c>
    </row>
    <row r="450" spans="1:9" x14ac:dyDescent="0.25">
      <c r="A450" t="str">
        <f>"146037154"</f>
        <v>146037154</v>
      </c>
      <c r="B450" t="str">
        <f t="shared" si="55"/>
        <v>060885105</v>
      </c>
      <c r="C450" t="str">
        <f t="shared" si="56"/>
        <v>NICE-Bibl.Chevalier de Cessole</v>
      </c>
      <c r="D450" t="str">
        <f t="shared" si="57"/>
        <v>43.6956246</v>
      </c>
      <c r="E450" t="str">
        <f t="shared" si="58"/>
        <v>7.259380900000001</v>
      </c>
      <c r="F450" t="str">
        <f t="shared" si="59"/>
        <v>Passepartout  [Texte imprimé]</v>
      </c>
      <c r="G450" t="str">
        <f t="shared" si="60"/>
        <v>Passepartout</v>
      </c>
      <c r="H450" t="str">
        <f t="shared" si="61"/>
        <v>2108-0194</v>
      </c>
      <c r="I450" t="str">
        <f t="shared" si="62"/>
        <v>no. 2 (16-oct-1859) - no. 18  (18-mar-1860) [lacunes]</v>
      </c>
    </row>
    <row r="451" spans="1:9" x14ac:dyDescent="0.25">
      <c r="A451" t="str">
        <f>"04018689X"</f>
        <v>04018689X</v>
      </c>
      <c r="B451" t="str">
        <f t="shared" ref="B451:B514" si="63">TEXT(_xlfn.FILTERXML(_xlfn.WEBSERVICE("http://www.sudoc.fr/services/multiwhere/"&amp;A451),"//query/result/library/rcr"),"000000000")</f>
        <v>991386201</v>
      </c>
      <c r="C451" t="str">
        <f t="shared" si="56"/>
        <v>MONACO-Bibl.Louis Notari</v>
      </c>
      <c r="D451" t="str">
        <f t="shared" si="57"/>
        <v>43.7351319</v>
      </c>
      <c r="E451" t="str">
        <f t="shared" si="58"/>
        <v>7.420563100000001</v>
      </c>
      <c r="F451" t="str">
        <f t="shared" si="59"/>
        <v>La Revue trimestrielle  [Texte imprimé]  / Centre de presse</v>
      </c>
      <c r="G451" t="str">
        <f t="shared" si="60"/>
        <v>La Revue trimestrielle</v>
      </c>
      <c r="H451" t="str">
        <f t="shared" si="61"/>
        <v>1021-2906</v>
      </c>
      <c r="I451" t="str">
        <f t="shared" si="62"/>
        <v>(1990)-....</v>
      </c>
    </row>
    <row r="452" spans="1:9" x14ac:dyDescent="0.25">
      <c r="A452" t="str">
        <f>"054374561"</f>
        <v>054374561</v>
      </c>
      <c r="B452" t="str">
        <f t="shared" si="63"/>
        <v>060885101</v>
      </c>
      <c r="C452" t="str">
        <f t="shared" si="56"/>
        <v>NICE-Archives Municipales</v>
      </c>
      <c r="D452" t="str">
        <f t="shared" si="57"/>
        <v>43.68774699999999</v>
      </c>
      <c r="E452" t="str">
        <f t="shared" si="58"/>
        <v>7.235200000000001</v>
      </c>
      <c r="F452" t="str">
        <f t="shared" si="59"/>
        <v>Bulletin officiel  [Texte imprimé]  / Association générale automobile</v>
      </c>
      <c r="G452" t="str">
        <f t="shared" si="60"/>
        <v>Bulletin officiel</v>
      </c>
      <c r="H452" t="str">
        <f t="shared" si="61"/>
        <v>2021-0205</v>
      </c>
      <c r="I452" t="str">
        <f t="shared" si="62"/>
        <v>no. 1 (1902) - no. 13  (1904) [lac.]</v>
      </c>
    </row>
    <row r="453" spans="1:9" x14ac:dyDescent="0.25">
      <c r="A453" t="str">
        <f>"109184289"</f>
        <v>109184289</v>
      </c>
      <c r="B453" t="str">
        <f t="shared" si="63"/>
        <v>060046201</v>
      </c>
      <c r="C453" t="str">
        <f t="shared" si="56"/>
        <v>ANTIBES-Mediath.A.Camus</v>
      </c>
      <c r="D453" t="str">
        <f t="shared" si="57"/>
        <v>43.58041799999999</v>
      </c>
      <c r="E453" t="str">
        <f t="shared" si="58"/>
        <v>7.125102</v>
      </c>
      <c r="F453" t="str">
        <f t="shared" si="59"/>
        <v>Le Journal des Alpes-Maritimes  [Texte imprimé]</v>
      </c>
      <c r="G453" t="str">
        <f t="shared" si="60"/>
        <v>Le Journal des Alpes-Maritimes</v>
      </c>
      <c r="H453" t="str">
        <f t="shared" si="61"/>
        <v>1951-1116</v>
      </c>
      <c r="I453" t="str">
        <f t="shared" si="62"/>
        <v>Conservé pendant 1 année(s)</v>
      </c>
    </row>
    <row r="454" spans="1:9" x14ac:dyDescent="0.25">
      <c r="A454" t="str">
        <f>"140127615"</f>
        <v>140127615</v>
      </c>
      <c r="B454" t="str">
        <f t="shared" si="63"/>
        <v>830616201</v>
      </c>
      <c r="C454" t="str">
        <f t="shared" si="56"/>
        <v>FREJUS-Médiathèque Villa-Mar</v>
      </c>
      <c r="D454" t="e">
        <f t="shared" si="57"/>
        <v>#VALUE!</v>
      </c>
      <c r="E454" t="e">
        <f t="shared" si="58"/>
        <v>#VALUE!</v>
      </c>
      <c r="F454" t="str">
        <f t="shared" si="59"/>
        <v>L'Italianiste provençal  [Texte imprimé]</v>
      </c>
      <c r="G454" t="str">
        <f t="shared" si="60"/>
        <v>L'Italianiste provençal</v>
      </c>
      <c r="H454" t="str">
        <f t="shared" si="61"/>
        <v>2104-1288</v>
      </c>
      <c r="I454" t="str">
        <f t="shared" si="62"/>
        <v>no. 1 (2008)-....</v>
      </c>
    </row>
    <row r="455" spans="1:9" x14ac:dyDescent="0.25">
      <c r="A455" t="str">
        <f>"036454869"</f>
        <v>036454869</v>
      </c>
      <c r="B455" t="str">
        <f t="shared" si="63"/>
        <v>991385301</v>
      </c>
      <c r="C455" t="str">
        <f t="shared" si="56"/>
        <v>MONACO-Musée Océanographique</v>
      </c>
      <c r="D455" t="str">
        <f t="shared" si="57"/>
        <v>43.7310033</v>
      </c>
      <c r="E455" t="str">
        <f t="shared" si="58"/>
        <v>7.425491600000001</v>
      </c>
      <c r="F455" t="str">
        <f t="shared" si="59"/>
        <v>Triton  [Texte imprimé]</v>
      </c>
      <c r="G455" t="str">
        <f t="shared" si="60"/>
        <v>Triton</v>
      </c>
      <c r="H455" t="e">
        <f t="shared" si="61"/>
        <v>#VALUE!</v>
      </c>
      <c r="I455" t="e">
        <f t="shared" si="62"/>
        <v>#VALUE!</v>
      </c>
    </row>
    <row r="456" spans="1:9" x14ac:dyDescent="0.25">
      <c r="A456" t="str">
        <f>"039034224"</f>
        <v>039034224</v>
      </c>
      <c r="B456" t="str">
        <f t="shared" si="63"/>
        <v>831376201</v>
      </c>
      <c r="C456" t="str">
        <f t="shared" si="56"/>
        <v>TOULON-BM</v>
      </c>
      <c r="D456" t="str">
        <f t="shared" si="57"/>
        <v>43.0823215</v>
      </c>
      <c r="E456" t="str">
        <f t="shared" si="58"/>
        <v>5.920052699999999</v>
      </c>
      <c r="F456" t="str">
        <f t="shared" si="59"/>
        <v>La France libérée  [Texte imprimé]</v>
      </c>
      <c r="G456" t="str">
        <f t="shared" si="60"/>
        <v>La France libérée</v>
      </c>
      <c r="H456" t="str">
        <f t="shared" si="61"/>
        <v>2016-9981</v>
      </c>
      <c r="I456" t="str">
        <f t="shared" si="62"/>
        <v>no. 1 (1917) - no. 4  (1917)</v>
      </c>
    </row>
    <row r="457" spans="1:9" x14ac:dyDescent="0.25">
      <c r="A457" t="str">
        <f>"039034178"</f>
        <v>039034178</v>
      </c>
      <c r="B457" t="str">
        <f t="shared" si="63"/>
        <v>831376201</v>
      </c>
      <c r="C457" t="str">
        <f t="shared" si="56"/>
        <v>TOULON-BM</v>
      </c>
      <c r="D457" t="str">
        <f t="shared" si="57"/>
        <v>43.0823215</v>
      </c>
      <c r="E457" t="str">
        <f t="shared" si="58"/>
        <v>5.920052699999999</v>
      </c>
      <c r="F457" t="str">
        <f t="shared" si="59"/>
        <v>L'Éphémère  [Texte imprimé]</v>
      </c>
      <c r="G457" t="str">
        <f t="shared" si="60"/>
        <v>L'Éphémère</v>
      </c>
      <c r="H457" t="str">
        <f t="shared" si="61"/>
        <v>2016-9965</v>
      </c>
      <c r="I457" t="str">
        <f t="shared" si="62"/>
        <v>no. 1 (1883) - no. 2  (1883)</v>
      </c>
    </row>
    <row r="458" spans="1:9" x14ac:dyDescent="0.25">
      <c r="A458" t="str">
        <f>"039034194"</f>
        <v>039034194</v>
      </c>
      <c r="B458" t="str">
        <f t="shared" si="63"/>
        <v>831376201</v>
      </c>
      <c r="C458" t="str">
        <f t="shared" si="56"/>
        <v>TOULON-BM</v>
      </c>
      <c r="D458" t="str">
        <f t="shared" si="57"/>
        <v>43.0823215</v>
      </c>
      <c r="E458" t="str">
        <f t="shared" si="58"/>
        <v>5.920052699999999</v>
      </c>
      <c r="F458" t="str">
        <f t="shared" si="59"/>
        <v>L'Étoile rouge du Var  [Texte imprimé]</v>
      </c>
      <c r="G458" t="str">
        <f t="shared" si="60"/>
        <v>L'Étoile rouge du Var</v>
      </c>
      <c r="H458" t="str">
        <f t="shared" si="61"/>
        <v>2016-9973</v>
      </c>
      <c r="I458" t="str">
        <f t="shared" si="62"/>
        <v>no. 11 (jul-1921)</v>
      </c>
    </row>
    <row r="459" spans="1:9" x14ac:dyDescent="0.25">
      <c r="A459" t="str">
        <f>"140667830"</f>
        <v>140667830</v>
      </c>
      <c r="B459" t="str">
        <f t="shared" si="63"/>
        <v>060885105</v>
      </c>
      <c r="C459" t="str">
        <f t="shared" si="56"/>
        <v>NICE-Bibl.Chevalier de Cessole</v>
      </c>
      <c r="D459" t="str">
        <f t="shared" si="57"/>
        <v>43.6956246</v>
      </c>
      <c r="E459" t="str">
        <f t="shared" si="58"/>
        <v>7.259380900000001</v>
      </c>
      <c r="F459" t="str">
        <f t="shared" si="59"/>
        <v>Lou Saburu  [Texte imprimé]</v>
      </c>
      <c r="G459" t="str">
        <f t="shared" si="60"/>
        <v>Lou Saburu</v>
      </c>
      <c r="H459" t="str">
        <f t="shared" si="61"/>
        <v>2137-6867</v>
      </c>
      <c r="I459" t="str">
        <f t="shared" si="62"/>
        <v>no. 1 (2-sep-1928) - no. 5  (30-sep-1928)</v>
      </c>
    </row>
    <row r="460" spans="1:9" x14ac:dyDescent="0.25">
      <c r="A460" t="str">
        <f>"037496077"</f>
        <v>037496077</v>
      </c>
      <c r="B460" t="str">
        <f t="shared" si="63"/>
        <v>991385201</v>
      </c>
      <c r="C460" t="str">
        <f t="shared" si="56"/>
        <v>MONACO-Jardin exotique</v>
      </c>
      <c r="D460" t="str">
        <f t="shared" si="57"/>
        <v>43.7310908</v>
      </c>
      <c r="E460" t="str">
        <f t="shared" si="58"/>
        <v>7.410747499999999</v>
      </c>
      <c r="F460" t="str">
        <f t="shared" si="59"/>
        <v>Nachrichtenblatt der Deutschen Kakteen-Gesellschaft e.V.  [Texte imprimé]</v>
      </c>
      <c r="G460" t="str">
        <f t="shared" si="60"/>
        <v>Nachrichtenblatt der Deutschen Kakteen-Gesellschaft e.V.</v>
      </c>
      <c r="H460" t="str">
        <f t="shared" si="61"/>
        <v>0417-2248</v>
      </c>
      <c r="I460" t="str">
        <f t="shared" si="62"/>
        <v>vol. 5 no. 1 (1954) ; vol. 5 no. 6 (1955) - vol. 7  no. 6  (1956)</v>
      </c>
    </row>
    <row r="461" spans="1:9" x14ac:dyDescent="0.25">
      <c r="A461" t="str">
        <f>"137883218"</f>
        <v>137883218</v>
      </c>
      <c r="B461" t="str">
        <f t="shared" si="63"/>
        <v>060885215</v>
      </c>
      <c r="C461" t="str">
        <f t="shared" si="56"/>
        <v>NICE-Musée des Beaux-Arts</v>
      </c>
      <c r="D461" t="str">
        <f t="shared" si="57"/>
        <v>43.694748</v>
      </c>
      <c r="E461" t="str">
        <f t="shared" si="58"/>
        <v>7.2491359</v>
      </c>
      <c r="F461" t="str">
        <f t="shared" si="59"/>
        <v>Journal de Cimiez  [Texte imprimé]</v>
      </c>
      <c r="G461" t="str">
        <f t="shared" si="60"/>
        <v>Journal de Cimiez</v>
      </c>
      <c r="H461" t="str">
        <f t="shared" si="61"/>
        <v>2130-3339</v>
      </c>
      <c r="I461" t="str">
        <f t="shared" si="62"/>
        <v>(2015) - (2017)</v>
      </c>
    </row>
    <row r="462" spans="1:9" x14ac:dyDescent="0.25">
      <c r="A462" t="str">
        <f>"143235389"</f>
        <v>143235389</v>
      </c>
      <c r="B462" t="str">
        <f t="shared" si="63"/>
        <v>060885109</v>
      </c>
      <c r="C462" t="str">
        <f t="shared" si="56"/>
        <v>NICE-Théâtre Photo. et Image</v>
      </c>
      <c r="D462" t="str">
        <f t="shared" si="57"/>
        <v>43.6958659</v>
      </c>
      <c r="E462" t="str">
        <f t="shared" si="58"/>
        <v>7.274715499999957</v>
      </c>
      <c r="F462" t="str">
        <f t="shared" si="59"/>
        <v>Photo pro XXL  [Texte imprimé]</v>
      </c>
      <c r="G462" t="str">
        <f t="shared" si="60"/>
        <v>Photo pro XXL</v>
      </c>
      <c r="H462" t="str">
        <f t="shared" si="61"/>
        <v>2106-847X</v>
      </c>
      <c r="I462" t="str">
        <f t="shared" si="62"/>
        <v>(sep-2009)</v>
      </c>
    </row>
    <row r="463" spans="1:9" x14ac:dyDescent="0.25">
      <c r="A463" t="str">
        <f>"038012200"</f>
        <v>038012200</v>
      </c>
      <c r="B463" t="str">
        <f t="shared" si="63"/>
        <v>991385301</v>
      </c>
      <c r="C463" t="str">
        <f t="shared" si="56"/>
        <v>MONACO-Musée Océanographique</v>
      </c>
      <c r="D463" t="str">
        <f t="shared" si="57"/>
        <v>43.7310033</v>
      </c>
      <c r="E463" t="str">
        <f t="shared" si="58"/>
        <v>7.425491600000001</v>
      </c>
      <c r="F463" t="str">
        <f t="shared" si="59"/>
        <v>Woods Hole notes  [Texte imprimé]</v>
      </c>
      <c r="G463" t="str">
        <f t="shared" si="60"/>
        <v>Woods Hole notes</v>
      </c>
      <c r="H463" t="str">
        <f t="shared" si="61"/>
        <v>1041-8970</v>
      </c>
      <c r="I463" t="str">
        <f t="shared" si="62"/>
        <v>vol. 14 no. 3 (1982)-....</v>
      </c>
    </row>
    <row r="464" spans="1:9" x14ac:dyDescent="0.25">
      <c r="A464" t="str">
        <f>"038686422"</f>
        <v>038686422</v>
      </c>
      <c r="B464" t="str">
        <f t="shared" si="63"/>
        <v>060885101</v>
      </c>
      <c r="C464" t="str">
        <f t="shared" si="56"/>
        <v>NICE-Archives Municipales</v>
      </c>
      <c r="D464" t="str">
        <f t="shared" si="57"/>
        <v>43.68774699999999</v>
      </c>
      <c r="E464" t="str">
        <f t="shared" si="58"/>
        <v>7.235200000000001</v>
      </c>
      <c r="F464" t="str">
        <f t="shared" si="59"/>
        <v>Le Livre bleu de la Cote-d-Azur  [Texte imprimé]</v>
      </c>
      <c r="G464" t="str">
        <f t="shared" si="60"/>
        <v>Le Livre bleu de la Cote-d-Azur</v>
      </c>
      <c r="H464" t="str">
        <f t="shared" si="61"/>
        <v>1166-7044</v>
      </c>
      <c r="I464" t="str">
        <f t="shared" si="62"/>
        <v>(1962) - (1963/64)</v>
      </c>
    </row>
    <row r="465" spans="1:9" x14ac:dyDescent="0.25">
      <c r="A465" t="str">
        <f>"039188930"</f>
        <v>039188930</v>
      </c>
      <c r="B465" t="str">
        <f t="shared" si="63"/>
        <v>991385201</v>
      </c>
      <c r="C465" t="str">
        <f t="shared" si="56"/>
        <v>MONACO-Jardin exotique</v>
      </c>
      <c r="D465" t="str">
        <f t="shared" si="57"/>
        <v>43.7310908</v>
      </c>
      <c r="E465" t="str">
        <f t="shared" si="58"/>
        <v>7.410747499999999</v>
      </c>
      <c r="F465" t="str">
        <f t="shared" si="59"/>
        <v>Kaktusz világ  [Texte imprimé]</v>
      </c>
      <c r="G465" t="str">
        <f t="shared" si="60"/>
        <v>Kaktusz világ</v>
      </c>
      <c r="H465" t="str">
        <f t="shared" si="61"/>
        <v>0209-9152</v>
      </c>
      <c r="I465" t="str">
        <f t="shared" si="62"/>
        <v>vol. 3 no. 1 (1973) - vol. 3  no. 5  (1973)</v>
      </c>
    </row>
    <row r="466" spans="1:9" x14ac:dyDescent="0.25">
      <c r="A466" t="str">
        <f>"039961206"</f>
        <v>039961206</v>
      </c>
      <c r="B466" t="str">
        <f t="shared" si="63"/>
        <v>831376201</v>
      </c>
      <c r="C466" t="str">
        <f t="shared" si="56"/>
        <v>TOULON-BM</v>
      </c>
      <c r="D466" t="str">
        <f t="shared" si="57"/>
        <v>43.0823215</v>
      </c>
      <c r="E466" t="str">
        <f t="shared" si="58"/>
        <v>5.920052699999999</v>
      </c>
      <c r="F466" t="str">
        <f t="shared" si="59"/>
        <v>Bulletin de liaison du Conseil municipal  [Texte imprimé]</v>
      </c>
      <c r="G466" t="str">
        <f t="shared" si="60"/>
        <v>Bulletin de liaison du Conseil municipal</v>
      </c>
      <c r="H466" t="str">
        <f t="shared" si="61"/>
        <v>1162-9215</v>
      </c>
      <c r="I466" t="str">
        <f t="shared" si="62"/>
        <v>no. 1 (1977) - no. 24  (1979) [lac.8%]</v>
      </c>
    </row>
    <row r="467" spans="1:9" x14ac:dyDescent="0.25">
      <c r="A467" t="str">
        <f>"040303241"</f>
        <v>040303241</v>
      </c>
      <c r="B467" t="str">
        <f t="shared" si="63"/>
        <v>060885206</v>
      </c>
      <c r="C467" t="str">
        <f t="shared" si="56"/>
        <v>NICE-CDDP Alpes Maritimes</v>
      </c>
      <c r="D467" t="str">
        <f t="shared" si="57"/>
        <v>43.7305073</v>
      </c>
      <c r="E467" t="str">
        <f t="shared" si="58"/>
        <v>7.275889999999999</v>
      </c>
      <c r="F467" t="str">
        <f t="shared" si="59"/>
        <v>ABCDDP  [Texte imprimé]</v>
      </c>
      <c r="G467" t="str">
        <f t="shared" si="60"/>
        <v>ABCDDP</v>
      </c>
      <c r="H467" t="str">
        <f t="shared" si="61"/>
        <v>1257-5097</v>
      </c>
      <c r="I467" t="str">
        <f t="shared" si="62"/>
        <v>(1988) - (1994) [lac.28%]</v>
      </c>
    </row>
    <row r="468" spans="1:9" x14ac:dyDescent="0.25">
      <c r="A468" t="str">
        <f>"036163422"</f>
        <v>036163422</v>
      </c>
      <c r="B468" t="str">
        <f t="shared" si="63"/>
        <v>991385301</v>
      </c>
      <c r="C468" t="str">
        <f t="shared" si="56"/>
        <v>MONACO-Musée Océanographique</v>
      </c>
      <c r="D468" t="str">
        <f t="shared" si="57"/>
        <v>43.7310033</v>
      </c>
      <c r="E468" t="str">
        <f t="shared" si="58"/>
        <v>7.425491600000001</v>
      </c>
      <c r="F468" t="str">
        <f t="shared" si="59"/>
        <v>Annual report of the Noto marine laboratory.</v>
      </c>
      <c r="G468" t="str">
        <f t="shared" si="60"/>
        <v>Annual report of the Noto marine laboratory.</v>
      </c>
      <c r="H468" t="e">
        <f t="shared" si="61"/>
        <v>#VALUE!</v>
      </c>
      <c r="I468" t="str">
        <f t="shared" si="62"/>
        <v>(1961) - (1973)</v>
      </c>
    </row>
    <row r="469" spans="1:9" x14ac:dyDescent="0.25">
      <c r="A469" t="str">
        <f>"040013421"</f>
        <v>040013421</v>
      </c>
      <c r="B469" t="str">
        <f t="shared" si="63"/>
        <v>991385201</v>
      </c>
      <c r="C469" t="str">
        <f t="shared" si="56"/>
        <v>MONACO-Jardin exotique</v>
      </c>
      <c r="D469" t="str">
        <f t="shared" si="57"/>
        <v>43.7310908</v>
      </c>
      <c r="E469" t="str">
        <f t="shared" si="58"/>
        <v>7.410747499999999</v>
      </c>
      <c r="F469" t="str">
        <f t="shared" si="59"/>
        <v>Bulletin de liaison des Amis des plantes de serres et d'acclimatation  [Texte imprimé]</v>
      </c>
      <c r="G469" t="str">
        <f t="shared" si="60"/>
        <v>Bulletin de liaison des Amis des plantes de serres et d'acclimatation</v>
      </c>
      <c r="H469" t="str">
        <f t="shared" si="61"/>
        <v>1168-1497</v>
      </c>
      <c r="I469" t="str">
        <f t="shared" si="62"/>
        <v>no. 1 (1973) ; no. 3 (1973) - no. 15  (1976)</v>
      </c>
    </row>
    <row r="470" spans="1:9" x14ac:dyDescent="0.25">
      <c r="A470" t="str">
        <f>"038803992"</f>
        <v>038803992</v>
      </c>
      <c r="B470" t="str">
        <f t="shared" si="63"/>
        <v>991385201</v>
      </c>
      <c r="C470" t="str">
        <f t="shared" si="56"/>
        <v>MONACO-Jardin exotique</v>
      </c>
      <c r="D470" t="str">
        <f t="shared" si="57"/>
        <v>43.7310908</v>
      </c>
      <c r="E470" t="str">
        <f t="shared" si="58"/>
        <v>7.410747499999999</v>
      </c>
      <c r="F470" t="str">
        <f t="shared" si="59"/>
        <v>Succulenta  [Texte imprimé]</v>
      </c>
      <c r="G470" t="str">
        <f t="shared" si="60"/>
        <v>Succulenta</v>
      </c>
      <c r="H470" t="str">
        <f t="shared" si="61"/>
        <v>0039-4467</v>
      </c>
      <c r="I470" t="str">
        <f t="shared" si="62"/>
        <v>vol. 11 no. 1 (1929) - vol. 17  no. 12  (1935) ; vol. 19 no. 1 (1937) - vol. 19  no. 12  (1937) ; no. 2 (1947) ; no. 4 (1947) - vol. 54  no. 7  (1975) ; vol. 54 no. 9 (1975) - vol. 81  no. 5  (2002) ; vol. 82 no. 1 (2003)-....</v>
      </c>
    </row>
    <row r="471" spans="1:9" x14ac:dyDescent="0.25">
      <c r="A471" t="str">
        <f>"039988899"</f>
        <v>039988899</v>
      </c>
      <c r="B471" t="str">
        <f t="shared" si="63"/>
        <v>991385301</v>
      </c>
      <c r="C471" t="str">
        <f t="shared" si="56"/>
        <v>MONACO-Musée Océanographique</v>
      </c>
      <c r="D471" t="str">
        <f t="shared" si="57"/>
        <v>43.7310033</v>
      </c>
      <c r="E471" t="str">
        <f t="shared" si="58"/>
        <v>7.425491600000001</v>
      </c>
      <c r="F471" t="str">
        <f t="shared" si="59"/>
        <v>Tank topics  [Texte imprimé]</v>
      </c>
      <c r="G471" t="str">
        <f t="shared" si="60"/>
        <v>Tank topics</v>
      </c>
      <c r="H471" t="str">
        <f t="shared" si="61"/>
        <v>0891-4567</v>
      </c>
      <c r="I471" t="str">
        <f t="shared" si="62"/>
        <v>(jan-1986)-....</v>
      </c>
    </row>
    <row r="472" spans="1:9" x14ac:dyDescent="0.25">
      <c r="A472" t="str">
        <f>"040265676"</f>
        <v>040265676</v>
      </c>
      <c r="B472" t="str">
        <f t="shared" si="63"/>
        <v>991385301</v>
      </c>
      <c r="C472" t="str">
        <f t="shared" si="56"/>
        <v>MONACO-Musée Océanographique</v>
      </c>
      <c r="D472" t="str">
        <f t="shared" si="57"/>
        <v>43.7310033</v>
      </c>
      <c r="E472" t="str">
        <f t="shared" si="58"/>
        <v>7.425491600000001</v>
      </c>
      <c r="F472" t="str">
        <f t="shared" si="59"/>
        <v>The Crustacean nutrition newsletter  [Texte imprimé]</v>
      </c>
      <c r="G472" t="str">
        <f t="shared" si="60"/>
        <v>The Crustacean nutrition newsletter</v>
      </c>
      <c r="H472" t="str">
        <f t="shared" si="61"/>
        <v>1046-1175</v>
      </c>
      <c r="I472" t="str">
        <f t="shared" si="62"/>
        <v>vol. 3 no. 1 (1986)-....</v>
      </c>
    </row>
    <row r="473" spans="1:9" x14ac:dyDescent="0.25">
      <c r="A473" t="str">
        <f>"103270329"</f>
        <v>103270329</v>
      </c>
      <c r="B473" t="str">
        <f t="shared" si="63"/>
        <v>061522308</v>
      </c>
      <c r="C473" t="str">
        <f t="shared" si="56"/>
        <v>SOPHIA/ANT.-Doc.Institut Eurecom</v>
      </c>
      <c r="D473" t="e">
        <f t="shared" si="57"/>
        <v>#VALUE!</v>
      </c>
      <c r="E473" t="e">
        <f t="shared" si="58"/>
        <v>#VALUE!</v>
      </c>
      <c r="F473" t="str">
        <f t="shared" si="59"/>
        <v>The Internet protocol journal  [Texte imprimé]</v>
      </c>
      <c r="G473" t="str">
        <f t="shared" si="60"/>
        <v>The Internet protocol journal</v>
      </c>
      <c r="H473" t="e">
        <f t="shared" si="61"/>
        <v>#VALUE!</v>
      </c>
      <c r="I473" t="str">
        <f t="shared" si="62"/>
        <v>(jan-2004)-....</v>
      </c>
    </row>
    <row r="474" spans="1:9" x14ac:dyDescent="0.25">
      <c r="A474" t="str">
        <f>"036225371"</f>
        <v>036225371</v>
      </c>
      <c r="B474" t="str">
        <f t="shared" si="63"/>
        <v>991385301</v>
      </c>
      <c r="C474" t="str">
        <f t="shared" si="56"/>
        <v>MONACO-Musée Océanographique</v>
      </c>
      <c r="D474" t="str">
        <f t="shared" si="57"/>
        <v>43.7310033</v>
      </c>
      <c r="E474" t="str">
        <f t="shared" si="58"/>
        <v>7.425491600000001</v>
      </c>
      <c r="F474" t="str">
        <f t="shared" si="59"/>
        <v>Circular  [Texte imprimé]  / monwealth scientific and industrial research organization. Division of fisheries and oceanography</v>
      </c>
      <c r="G474" t="str">
        <f t="shared" si="60"/>
        <v>Circular</v>
      </c>
      <c r="H474" t="e">
        <f t="shared" si="61"/>
        <v>#VALUE!</v>
      </c>
      <c r="I474" t="e">
        <f t="shared" si="62"/>
        <v>#VALUE!</v>
      </c>
    </row>
    <row r="475" spans="1:9" x14ac:dyDescent="0.25">
      <c r="A475" t="str">
        <f>"038371405"</f>
        <v>038371405</v>
      </c>
      <c r="B475" t="str">
        <f t="shared" si="63"/>
        <v>060886101</v>
      </c>
      <c r="C475" t="str">
        <f t="shared" si="56"/>
        <v>NICE- BMVR Louis Nucéra</v>
      </c>
      <c r="D475" t="str">
        <f t="shared" si="57"/>
        <v>43.7015650</v>
      </c>
      <c r="E475" t="str">
        <f t="shared" si="58"/>
        <v>7.2786247</v>
      </c>
      <c r="F475" t="str">
        <f t="shared" si="59"/>
        <v>Armorial du Canada français  [Texte imprimé]</v>
      </c>
      <c r="G475" t="str">
        <f t="shared" si="60"/>
        <v>Armorial du Canada français</v>
      </c>
      <c r="H475" t="e">
        <f t="shared" si="61"/>
        <v>#VALUE!</v>
      </c>
      <c r="I475" t="str">
        <f t="shared" si="62"/>
        <v>1eS (1915) - 2eS  (1918)</v>
      </c>
    </row>
    <row r="476" spans="1:9" x14ac:dyDescent="0.25">
      <c r="A476" t="str">
        <f>"054375177"</f>
        <v>054375177</v>
      </c>
      <c r="B476" t="str">
        <f t="shared" si="63"/>
        <v>060885101</v>
      </c>
      <c r="C476" t="str">
        <f t="shared" si="56"/>
        <v>NICE-Archives Municipales</v>
      </c>
      <c r="D476" t="str">
        <f t="shared" si="57"/>
        <v>43.68774699999999</v>
      </c>
      <c r="E476" t="str">
        <f t="shared" si="58"/>
        <v>7.235200000000001</v>
      </c>
      <c r="F476" t="str">
        <f t="shared" si="59"/>
        <v>Automobile-Revue du littoral  [Texte imprimé]</v>
      </c>
      <c r="G476" t="str">
        <f t="shared" si="60"/>
        <v>Automobile-Revue du littoral</v>
      </c>
      <c r="H476" t="str">
        <f t="shared" si="61"/>
        <v>2021-0213</v>
      </c>
      <c r="I476" t="str">
        <f t="shared" si="62"/>
        <v>no. 29 (1900) - no. 431  (1912) [lac.n°61-176;248-294;310-399;403]</v>
      </c>
    </row>
    <row r="477" spans="1:9" x14ac:dyDescent="0.25">
      <c r="A477" t="str">
        <f>"116950099"</f>
        <v>116950099</v>
      </c>
      <c r="B477" t="str">
        <f t="shared" si="63"/>
        <v>060885109</v>
      </c>
      <c r="C477" t="str">
        <f t="shared" si="56"/>
        <v>NICE-Théâtre Photo. et Image</v>
      </c>
      <c r="D477" t="str">
        <f t="shared" si="57"/>
        <v>43.6958659</v>
      </c>
      <c r="E477" t="str">
        <f t="shared" si="58"/>
        <v>7.274715499999957</v>
      </c>
      <c r="F477" t="str">
        <f t="shared" si="59"/>
        <v>Zoom  [Texte imprimé]</v>
      </c>
      <c r="G477" t="str">
        <f t="shared" si="60"/>
        <v>Zoom</v>
      </c>
      <c r="H477" t="str">
        <f t="shared" si="61"/>
        <v>0393-4330</v>
      </c>
      <c r="I477" t="str">
        <f t="shared" si="62"/>
        <v>no. 66 (1986) - no. 143  (1996) [lacune no 137 (1995)] [interruption 1987-1992]</v>
      </c>
    </row>
    <row r="478" spans="1:9" x14ac:dyDescent="0.25">
      <c r="A478" t="str">
        <f>"140666826"</f>
        <v>140666826</v>
      </c>
      <c r="B478" t="str">
        <f t="shared" si="63"/>
        <v>060885105</v>
      </c>
      <c r="C478" t="str">
        <f t="shared" si="56"/>
        <v>NICE-Bibl.Chevalier de Cessole</v>
      </c>
      <c r="D478" t="str">
        <f t="shared" si="57"/>
        <v>43.6956246</v>
      </c>
      <c r="E478" t="str">
        <f t="shared" si="58"/>
        <v>7.259380900000001</v>
      </c>
      <c r="F478" t="str">
        <f t="shared" si="59"/>
        <v>Riviera season  [Texte imprimé]</v>
      </c>
      <c r="G478" t="str">
        <f t="shared" si="60"/>
        <v>Riviera season</v>
      </c>
      <c r="H478" t="str">
        <f t="shared" si="61"/>
        <v>2137-5836</v>
      </c>
      <c r="I478" t="str">
        <f t="shared" si="62"/>
        <v>no. 1 (30-dec-1925) - no. 15  (7-avr-1926)</v>
      </c>
    </row>
    <row r="479" spans="1:9" x14ac:dyDescent="0.25">
      <c r="A479" t="str">
        <f>"037979728"</f>
        <v>037979728</v>
      </c>
      <c r="B479" t="str">
        <f t="shared" si="63"/>
        <v>991386201</v>
      </c>
      <c r="C479" t="str">
        <f t="shared" si="56"/>
        <v>MONACO-Bibl.Louis Notari</v>
      </c>
      <c r="D479" t="str">
        <f t="shared" si="57"/>
        <v>43.7351319</v>
      </c>
      <c r="E479" t="str">
        <f t="shared" si="58"/>
        <v>7.420563100000001</v>
      </c>
      <c r="F479" t="str">
        <f t="shared" si="59"/>
        <v>Gazette de Monaco et de Monte Carlo  [Texte imprimé]</v>
      </c>
      <c r="G479" t="str">
        <f t="shared" si="60"/>
        <v>Gazette de Monaco et de Monte Carlo</v>
      </c>
      <c r="H479" t="str">
        <f t="shared" si="61"/>
        <v>1018-9947</v>
      </c>
      <c r="I479" t="str">
        <f t="shared" si="62"/>
        <v>(1926) - (dec-1930)</v>
      </c>
    </row>
    <row r="480" spans="1:9" x14ac:dyDescent="0.25">
      <c r="A480" t="str">
        <f>"039307441"</f>
        <v>039307441</v>
      </c>
      <c r="B480" t="str">
        <f t="shared" si="63"/>
        <v>991385301</v>
      </c>
      <c r="C480" t="str">
        <f t="shared" ref="C480:C543" si="64">_xlfn.FILTERXML(_xlfn.WEBSERVICE("http://www.sudoc.fr/services/multiwhere/"&amp;A480),"//query/result/library/shortname")</f>
        <v>MONACO-Musée Océanographique</v>
      </c>
      <c r="D480" t="str">
        <f t="shared" ref="D480:D543" si="65">_xlfn.FILTERXML(_xlfn.WEBSERVICE("http://www.sudoc.fr/services/multiwhere/"&amp;A480),"//query/result/library/latitude")</f>
        <v>43.7310033</v>
      </c>
      <c r="E480" t="str">
        <f t="shared" ref="E480:E543" si="66">_xlfn.FILTERXML(_xlfn.WEBSERVICE("http://www.sudoc.fr/services/multiwhere/"&amp;A480),"//query/result/library/longitude")</f>
        <v>7.425491600000001</v>
      </c>
      <c r="F480" t="str">
        <f t="shared" ref="F480:F543" si="67">_xlfn.FILTERXML(_xlfn.WEBSERVICE("http://www.sudoc.fr/"&amp;A480&amp;".rdf"),"//bibo:Periodical/dc:title")</f>
        <v>UNEP report  [Texte imprimé]</v>
      </c>
      <c r="G480" t="str">
        <f t="shared" ref="G480:G543" si="68">_xlfn.FILTERXML(_xlfn.WEBSERVICE("http://www.sudoc.fr/"&amp;A480&amp;".abes"),"//datafield[@tag='200']/subfield[@code='a']")</f>
        <v>UNEP report</v>
      </c>
      <c r="H480" t="str">
        <f t="shared" ref="H480:H543" si="69">_xlfn.FILTERXML(_xlfn.WEBSERVICE("http://www.sudoc.fr/"&amp;A480&amp;".abes"),"//datafield[@tag='011']/subfield[@code='a']")</f>
        <v>0259-6474</v>
      </c>
      <c r="I480" t="str">
        <f t="shared" ref="I480:I543" si="70">_xlfn.FILTERXML(_xlfn.WEBSERVICE("http://www.sudoc.fr/"&amp;A480&amp;".abes"),"//datafield[@tag='955']/subfield[@code='r']")</f>
        <v>no. 1 (1982)-....</v>
      </c>
    </row>
    <row r="481" spans="1:9" x14ac:dyDescent="0.25">
      <c r="A481" t="str">
        <f>"048882399"</f>
        <v>048882399</v>
      </c>
      <c r="B481" t="str">
        <f t="shared" si="63"/>
        <v>831375101</v>
      </c>
      <c r="C481" t="str">
        <f t="shared" si="64"/>
        <v>TOULON-Serv.Historique Marine</v>
      </c>
      <c r="D481" t="str">
        <f t="shared" si="65"/>
        <v>43.124228</v>
      </c>
      <c r="E481" t="str">
        <f t="shared" si="66"/>
        <v>5.928</v>
      </c>
      <c r="F481" t="str">
        <f t="shared" si="67"/>
        <v>Brassey's naval and shipping  [Texte imprimé]</v>
      </c>
      <c r="G481" t="str">
        <f t="shared" si="68"/>
        <v>Brassey's naval and shipping</v>
      </c>
      <c r="H481" t="e">
        <f t="shared" si="69"/>
        <v>#VALUE!</v>
      </c>
      <c r="I481" t="str">
        <f t="shared" si="70"/>
        <v>(1915) - (1916)</v>
      </c>
    </row>
    <row r="482" spans="1:9" x14ac:dyDescent="0.25">
      <c r="A482" t="str">
        <f>"039351831"</f>
        <v>039351831</v>
      </c>
      <c r="B482" t="str">
        <f t="shared" si="63"/>
        <v>991385301</v>
      </c>
      <c r="C482" t="str">
        <f t="shared" si="64"/>
        <v>MONACO-Musée Océanographique</v>
      </c>
      <c r="D482" t="str">
        <f t="shared" si="65"/>
        <v>43.7310033</v>
      </c>
      <c r="E482" t="str">
        <f t="shared" si="66"/>
        <v>7.425491600000001</v>
      </c>
      <c r="F482" t="str">
        <f t="shared" si="67"/>
        <v>Ryūkyū Daigaku Rigakubu kiyō  [Texte imprimé]</v>
      </c>
      <c r="G482" t="str">
        <f t="shared" si="68"/>
        <v>Ryūkyū Daigaku Rigakubu kiyō</v>
      </c>
      <c r="H482" t="str">
        <f t="shared" si="69"/>
        <v>0286-9640</v>
      </c>
      <c r="I482" t="str">
        <f t="shared" si="70"/>
        <v>no. 45 (1987)-....</v>
      </c>
    </row>
    <row r="483" spans="1:9" x14ac:dyDescent="0.25">
      <c r="A483" t="str">
        <f>"040163423"</f>
        <v>040163423</v>
      </c>
      <c r="B483" t="str">
        <f t="shared" si="63"/>
        <v>991385301</v>
      </c>
      <c r="C483" t="str">
        <f t="shared" si="64"/>
        <v>MONACO-Musée Océanographique</v>
      </c>
      <c r="D483" t="str">
        <f t="shared" si="65"/>
        <v>43.7310033</v>
      </c>
      <c r="E483" t="str">
        <f t="shared" si="66"/>
        <v>7.425491600000001</v>
      </c>
      <c r="F483" t="str">
        <f t="shared" si="67"/>
        <v>Newsletter of the International Association of Fish Ethologists  [Texte imprimé]</v>
      </c>
      <c r="G483" t="str">
        <f t="shared" si="68"/>
        <v>Newsletter of the International Association of Fish Ethologists</v>
      </c>
      <c r="H483" t="str">
        <f t="shared" si="69"/>
        <v>1016-6025</v>
      </c>
      <c r="I483" t="str">
        <f t="shared" si="70"/>
        <v>vol. 3 no. 1 (1980)-....</v>
      </c>
    </row>
    <row r="484" spans="1:9" x14ac:dyDescent="0.25">
      <c r="A484" t="str">
        <f>"140582126"</f>
        <v>140582126</v>
      </c>
      <c r="B484" t="str">
        <f t="shared" si="63"/>
        <v>060885105</v>
      </c>
      <c r="C484" t="str">
        <f t="shared" si="64"/>
        <v>NICE-Bibl.Chevalier de Cessole</v>
      </c>
      <c r="D484" t="str">
        <f t="shared" si="65"/>
        <v>43.6956246</v>
      </c>
      <c r="E484" t="str">
        <f t="shared" si="66"/>
        <v>7.259380900000001</v>
      </c>
      <c r="F484" t="str">
        <f t="shared" si="67"/>
        <v>Le Tonnerre de Nice  [Texte imprimé]</v>
      </c>
      <c r="G484" t="str">
        <f t="shared" si="68"/>
        <v>Le Tonnerre de Nice</v>
      </c>
      <c r="H484" t="str">
        <f t="shared" si="69"/>
        <v>2138-6730</v>
      </c>
      <c r="I484" t="str">
        <f t="shared" si="70"/>
        <v>no. 3 (10-fev-1896) - no. 58  (24-jan-1897)</v>
      </c>
    </row>
    <row r="485" spans="1:9" x14ac:dyDescent="0.25">
      <c r="A485" t="str">
        <f>"036644854"</f>
        <v>036644854</v>
      </c>
      <c r="B485" t="str">
        <f t="shared" si="63"/>
        <v>991385301</v>
      </c>
      <c r="C485" t="str">
        <f t="shared" si="64"/>
        <v>MONACO-Musée Océanographique</v>
      </c>
      <c r="D485" t="str">
        <f t="shared" si="65"/>
        <v>43.7310033</v>
      </c>
      <c r="E485" t="str">
        <f t="shared" si="66"/>
        <v>7.425491600000001</v>
      </c>
      <c r="F485" t="e">
        <f t="shared" si="67"/>
        <v>#VALUE!</v>
      </c>
      <c r="G485" t="str">
        <f t="shared" si="68"/>
        <v>Rapports scientifiques et techniques. Sciences de la mer, Océanographie physique</v>
      </c>
      <c r="H485" t="str">
        <f t="shared" si="69"/>
        <v>1244-6432</v>
      </c>
      <c r="I485" t="str">
        <f t="shared" si="70"/>
        <v>no. 1 (1989)-....</v>
      </c>
    </row>
    <row r="486" spans="1:9" x14ac:dyDescent="0.25">
      <c r="A486" t="str">
        <f>"037430971"</f>
        <v>037430971</v>
      </c>
      <c r="B486" t="str">
        <f t="shared" si="63"/>
        <v>991385301</v>
      </c>
      <c r="C486" t="str">
        <f t="shared" si="64"/>
        <v>MONACO-Musée Océanographique</v>
      </c>
      <c r="D486" t="str">
        <f t="shared" si="65"/>
        <v>43.7310033</v>
      </c>
      <c r="E486" t="str">
        <f t="shared" si="66"/>
        <v>7.425491600000001</v>
      </c>
      <c r="F486" t="str">
        <f t="shared" si="67"/>
        <v>Calypso log  [Texte imprimé]</v>
      </c>
      <c r="G486" t="str">
        <f t="shared" si="68"/>
        <v>Calypso log</v>
      </c>
      <c r="H486" t="str">
        <f t="shared" si="69"/>
        <v>8756-6354</v>
      </c>
      <c r="I486" t="str">
        <f t="shared" si="70"/>
        <v>vol. 1 (1974) ; vol. 2 no. 2 (1975) - vol. 5  no. 4  (1978) ; vol. 6 no. 2 (1979)-....</v>
      </c>
    </row>
    <row r="487" spans="1:9" x14ac:dyDescent="0.25">
      <c r="A487" t="str">
        <f>"038621916"</f>
        <v>038621916</v>
      </c>
      <c r="B487" t="str">
        <f t="shared" si="63"/>
        <v>831376201</v>
      </c>
      <c r="C487" t="str">
        <f t="shared" si="64"/>
        <v>TOULON-BM</v>
      </c>
      <c r="D487" t="str">
        <f t="shared" si="65"/>
        <v>43.0823215</v>
      </c>
      <c r="E487" t="str">
        <f t="shared" si="66"/>
        <v>5.920052699999999</v>
      </c>
      <c r="F487" t="str">
        <f t="shared" si="67"/>
        <v>Langages  [Texte imprimé]</v>
      </c>
      <c r="G487" t="str">
        <f t="shared" si="68"/>
        <v>Langages</v>
      </c>
      <c r="H487" t="str">
        <f t="shared" si="69"/>
        <v>1157-1187</v>
      </c>
      <c r="I487" t="str">
        <f t="shared" si="70"/>
        <v>no. 1 (oct-1984) - no. 14  (1986) [lac.]</v>
      </c>
    </row>
    <row r="488" spans="1:9" x14ac:dyDescent="0.25">
      <c r="A488" t="str">
        <f>"050881507"</f>
        <v>050881507</v>
      </c>
      <c r="B488" t="str">
        <f t="shared" si="63"/>
        <v>061522308</v>
      </c>
      <c r="C488" t="str">
        <f t="shared" si="64"/>
        <v>SOPHIA/ANT.-Doc.Institut Eurecom</v>
      </c>
      <c r="D488" t="e">
        <f t="shared" si="65"/>
        <v>#VALUE!</v>
      </c>
      <c r="E488" t="e">
        <f t="shared" si="66"/>
        <v>#VALUE!</v>
      </c>
      <c r="F488" t="str">
        <f t="shared" si="67"/>
        <v>JavaPro  [Texte imprimé]</v>
      </c>
      <c r="G488" t="str">
        <f t="shared" si="68"/>
        <v>JavaPro</v>
      </c>
      <c r="H488" t="str">
        <f t="shared" si="69"/>
        <v>1096-4495</v>
      </c>
      <c r="I488" t="str">
        <f t="shared" si="70"/>
        <v>vol. 4 no. 1 (jan-2000)-....</v>
      </c>
    </row>
    <row r="489" spans="1:9" x14ac:dyDescent="0.25">
      <c r="A489" t="str">
        <f>"050927094"</f>
        <v>050927094</v>
      </c>
      <c r="B489" t="str">
        <f t="shared" si="63"/>
        <v>831375101</v>
      </c>
      <c r="C489" t="str">
        <f t="shared" si="64"/>
        <v>TOULON-Serv.Historique Marine</v>
      </c>
      <c r="D489" t="str">
        <f t="shared" si="65"/>
        <v>43.124228</v>
      </c>
      <c r="E489" t="str">
        <f t="shared" si="66"/>
        <v>5.928</v>
      </c>
      <c r="F489" t="str">
        <f t="shared" si="67"/>
        <v>Situation des marines de guerre étrangères...  [Texte imprimé]</v>
      </c>
      <c r="G489" t="str">
        <f t="shared" si="68"/>
        <v>Situation des marines de guerre étrangères...</v>
      </c>
      <c r="H489" t="str">
        <f t="shared" si="69"/>
        <v>2021-0035</v>
      </c>
      <c r="I489" t="str">
        <f t="shared" si="70"/>
        <v>(1907) - (1939) [lac.]</v>
      </c>
    </row>
    <row r="490" spans="1:9" x14ac:dyDescent="0.25">
      <c r="A490" t="str">
        <f>"039335119"</f>
        <v>039335119</v>
      </c>
      <c r="B490" t="str">
        <f t="shared" si="63"/>
        <v>991385301</v>
      </c>
      <c r="C490" t="str">
        <f t="shared" si="64"/>
        <v>MONACO-Musée Océanographique</v>
      </c>
      <c r="D490" t="str">
        <f t="shared" si="65"/>
        <v>43.7310033</v>
      </c>
      <c r="E490" t="str">
        <f t="shared" si="66"/>
        <v>7.425491600000001</v>
      </c>
      <c r="F490" t="str">
        <f t="shared" si="67"/>
        <v>Whalewatcher  [Texte imprimé]</v>
      </c>
      <c r="G490" t="str">
        <f t="shared" si="68"/>
        <v>Whalewatcher</v>
      </c>
      <c r="H490" t="str">
        <f t="shared" si="69"/>
        <v>0273-4419</v>
      </c>
      <c r="I490" t="str">
        <f t="shared" si="70"/>
        <v>vol. 25 no. 1 (1991)-....</v>
      </c>
    </row>
    <row r="491" spans="1:9" x14ac:dyDescent="0.25">
      <c r="A491" t="str">
        <f>"040610314"</f>
        <v>040610314</v>
      </c>
      <c r="B491" t="str">
        <f t="shared" si="63"/>
        <v>060886101</v>
      </c>
      <c r="C491" t="str">
        <f t="shared" si="64"/>
        <v>NICE- BMVR Louis Nucéra</v>
      </c>
      <c r="D491" t="str">
        <f t="shared" si="65"/>
        <v>43.7015650</v>
      </c>
      <c r="E491" t="str">
        <f t="shared" si="66"/>
        <v>7.2786247</v>
      </c>
      <c r="F491" t="str">
        <f t="shared" si="67"/>
        <v>Phénomènes spatiaux  [Texte imprimé]</v>
      </c>
      <c r="G491" t="str">
        <f t="shared" si="68"/>
        <v>Phénomènes spatiaux</v>
      </c>
      <c r="H491" t="e">
        <f t="shared" si="69"/>
        <v>#VALUE!</v>
      </c>
      <c r="I491" t="str">
        <f t="shared" si="70"/>
        <v>no. 1 (1964) - no. 50  (1976)</v>
      </c>
    </row>
    <row r="492" spans="1:9" x14ac:dyDescent="0.25">
      <c r="A492" t="str">
        <f>"03880977X"</f>
        <v>03880977X</v>
      </c>
      <c r="B492" t="str">
        <f t="shared" si="63"/>
        <v>831376201</v>
      </c>
      <c r="C492" t="str">
        <f t="shared" si="64"/>
        <v>TOULON-BM</v>
      </c>
      <c r="D492" t="str">
        <f t="shared" si="65"/>
        <v>43.0823215</v>
      </c>
      <c r="E492" t="str">
        <f t="shared" si="66"/>
        <v>5.920052699999999</v>
      </c>
      <c r="F492" t="str">
        <f t="shared" si="67"/>
        <v>La Cheminée  [Texte imprimé]</v>
      </c>
      <c r="G492" t="str">
        <f t="shared" si="68"/>
        <v>La Cheminée</v>
      </c>
      <c r="H492" t="str">
        <f t="shared" si="69"/>
        <v>1255-4103</v>
      </c>
      <c r="I492" t="str">
        <f t="shared" si="70"/>
        <v>no. 1 (mai-1896) - no. 27  (1901) ; (1906) - (1909) ; (1911) ; (1915) ; (1920)</v>
      </c>
    </row>
    <row r="493" spans="1:9" x14ac:dyDescent="0.25">
      <c r="A493" t="str">
        <f>"048886807"</f>
        <v>048886807</v>
      </c>
      <c r="B493" t="str">
        <f t="shared" si="63"/>
        <v>831375101</v>
      </c>
      <c r="C493" t="str">
        <f t="shared" si="64"/>
        <v>TOULON-Serv.Historique Marine</v>
      </c>
      <c r="D493" t="str">
        <f t="shared" si="65"/>
        <v>43.124228</v>
      </c>
      <c r="E493" t="str">
        <f t="shared" si="66"/>
        <v>5.928</v>
      </c>
      <c r="F493" t="str">
        <f t="shared" si="67"/>
        <v>Bilan social  [Texte imprimé]  / Direction de la fonction militaire et du personnel civil</v>
      </c>
      <c r="G493" t="str">
        <f t="shared" si="68"/>
        <v>Bilan social</v>
      </c>
      <c r="H493" t="str">
        <f t="shared" si="69"/>
        <v>1621-0298</v>
      </c>
      <c r="I493" t="str">
        <f t="shared" si="70"/>
        <v>(1990) - (1996)</v>
      </c>
    </row>
    <row r="494" spans="1:9" x14ac:dyDescent="0.25">
      <c r="A494" t="str">
        <f>"048886831"</f>
        <v>048886831</v>
      </c>
      <c r="B494" t="str">
        <f t="shared" si="63"/>
        <v>831375101</v>
      </c>
      <c r="C494" t="str">
        <f t="shared" si="64"/>
        <v>TOULON-Serv.Historique Marine</v>
      </c>
      <c r="D494" t="str">
        <f t="shared" si="65"/>
        <v>43.124228</v>
      </c>
      <c r="E494" t="str">
        <f t="shared" si="66"/>
        <v>5.928</v>
      </c>
      <c r="F494" t="str">
        <f t="shared" si="67"/>
        <v>Bulletin bibliographique et de documentation  [Texte imprimé]  / Ecole supérieure de guerre navale</v>
      </c>
      <c r="G494" t="str">
        <f t="shared" si="68"/>
        <v>Bulletin bibliographique et de documentation</v>
      </c>
      <c r="H494" t="str">
        <f t="shared" si="69"/>
        <v>1624-6535</v>
      </c>
      <c r="I494" t="str">
        <f t="shared" si="70"/>
        <v>no. 28 (jun-1970) - no. 138  (1993) [+ supplément sur la promotion 26 (déc. 1971) ; répertoires : n°1 à 63 ( 1974).] [Lacunes : :n°33 ; 38 ; 41 ; 44 ; 47 ; 134.]</v>
      </c>
    </row>
    <row r="495" spans="1:9" x14ac:dyDescent="0.25">
      <c r="A495" t="str">
        <f>"176257101"</f>
        <v>176257101</v>
      </c>
      <c r="B495" t="str">
        <f t="shared" si="63"/>
        <v>060886101</v>
      </c>
      <c r="C495" t="str">
        <f t="shared" si="64"/>
        <v>NICE- BMVR Louis Nucéra</v>
      </c>
      <c r="D495" t="str">
        <f t="shared" si="65"/>
        <v>43.7015650</v>
      </c>
      <c r="E495" t="str">
        <f t="shared" si="66"/>
        <v>7.2786247</v>
      </c>
      <c r="F495" t="str">
        <f t="shared" si="67"/>
        <v>Église des Alpes-Maritimes  [Texte imprimé]</v>
      </c>
      <c r="G495" t="str">
        <f t="shared" si="68"/>
        <v>Église des Alpes-Maritimes</v>
      </c>
      <c r="H495" t="str">
        <f t="shared" si="69"/>
        <v>2271-5258</v>
      </c>
      <c r="I495" t="str">
        <f t="shared" si="70"/>
        <v>no. 1 (2013)-....</v>
      </c>
    </row>
    <row r="496" spans="1:9" x14ac:dyDescent="0.25">
      <c r="A496" t="str">
        <f>"013819720"</f>
        <v>013819720</v>
      </c>
      <c r="B496" t="str">
        <f t="shared" si="63"/>
        <v>991386201</v>
      </c>
      <c r="C496" t="str">
        <f t="shared" si="64"/>
        <v>MONACO-Bibl.Louis Notari</v>
      </c>
      <c r="D496" t="str">
        <f t="shared" si="65"/>
        <v>43.7351319</v>
      </c>
      <c r="E496" t="str">
        <f t="shared" si="66"/>
        <v>7.420563100000001</v>
      </c>
      <c r="F496" t="e">
        <f t="shared" si="67"/>
        <v>#VALUE!</v>
      </c>
      <c r="G496" t="str">
        <f t="shared" si="68"/>
        <v>Saxifrage</v>
      </c>
      <c r="H496" t="str">
        <f t="shared" si="69"/>
        <v>1151-7255</v>
      </c>
      <c r="I496" t="str">
        <f t="shared" si="70"/>
        <v>no. 2 (1993)</v>
      </c>
    </row>
    <row r="497" spans="1:9" x14ac:dyDescent="0.25">
      <c r="A497" t="str">
        <f>"048692972"</f>
        <v>048692972</v>
      </c>
      <c r="B497" t="str">
        <f t="shared" si="63"/>
        <v>830505302</v>
      </c>
      <c r="C497" t="str">
        <f t="shared" si="64"/>
        <v>DRAGUIGNAN-SESA</v>
      </c>
      <c r="D497" t="str">
        <f t="shared" si="65"/>
        <v>43.5366856</v>
      </c>
      <c r="E497" t="str">
        <f t="shared" si="66"/>
        <v>6.461841499999999</v>
      </c>
      <c r="F497" t="str">
        <f t="shared" si="67"/>
        <v>Arqueologia &amp; indústria  [Texte imprimé]</v>
      </c>
      <c r="G497" t="str">
        <f t="shared" si="68"/>
        <v>Arqueologia &amp; indústria</v>
      </c>
      <c r="H497" t="str">
        <f t="shared" si="69"/>
        <v>0872-8429</v>
      </c>
      <c r="I497" t="str">
        <f t="shared" si="70"/>
        <v>vol. 2 (1999) - vol. 6  (2003)</v>
      </c>
    </row>
    <row r="498" spans="1:9" x14ac:dyDescent="0.25">
      <c r="A498" t="str">
        <f>"058265368"</f>
        <v>058265368</v>
      </c>
      <c r="B498" t="str">
        <f t="shared" si="63"/>
        <v>991385201</v>
      </c>
      <c r="C498" t="str">
        <f t="shared" si="64"/>
        <v>MONACO-Jardin exotique</v>
      </c>
      <c r="D498" t="str">
        <f t="shared" si="65"/>
        <v>43.7310908</v>
      </c>
      <c r="E498" t="str">
        <f t="shared" si="66"/>
        <v>7.410747499999999</v>
      </c>
      <c r="F498" t="str">
        <f t="shared" si="67"/>
        <v>Cactaceae systematics initiatives  [Texte imprimé]</v>
      </c>
      <c r="G498" t="str">
        <f t="shared" si="68"/>
        <v>Cactaceae systematics initiatives</v>
      </c>
      <c r="H498" t="str">
        <f t="shared" si="69"/>
        <v>1470-9805</v>
      </c>
      <c r="I498" t="str">
        <f t="shared" si="70"/>
        <v>no. 9 (2000)-....</v>
      </c>
    </row>
    <row r="499" spans="1:9" x14ac:dyDescent="0.25">
      <c r="A499" t="str">
        <f>"07687219X"</f>
        <v>07687219X</v>
      </c>
      <c r="B499" t="str">
        <f t="shared" si="63"/>
        <v>060885402</v>
      </c>
      <c r="C499" t="str">
        <f t="shared" si="64"/>
        <v>NICE-Centre Antoine Lacassagne</v>
      </c>
      <c r="D499" t="str">
        <f t="shared" si="65"/>
        <v>43.696036</v>
      </c>
      <c r="E499" t="str">
        <f t="shared" si="66"/>
        <v>7.265592</v>
      </c>
      <c r="F499" t="str">
        <f t="shared" si="67"/>
        <v>Applied immunohistochemistry &amp; molecular morphology  [Texte imprimé]</v>
      </c>
      <c r="G499" t="str">
        <f t="shared" si="68"/>
        <v>Applied immunohistochemistry &amp; molecular morphology</v>
      </c>
      <c r="H499" t="str">
        <f t="shared" si="69"/>
        <v>1541-2016</v>
      </c>
      <c r="I499" t="str">
        <f t="shared" si="70"/>
        <v>(1999) - (2003)</v>
      </c>
    </row>
    <row r="500" spans="1:9" x14ac:dyDescent="0.25">
      <c r="A500" t="str">
        <f>"190971096"</f>
        <v>190971096</v>
      </c>
      <c r="B500" t="str">
        <f t="shared" si="63"/>
        <v>060696201</v>
      </c>
      <c r="C500" t="str">
        <f t="shared" si="64"/>
        <v>GRASSE-Villa St Hilaire</v>
      </c>
      <c r="D500" t="str">
        <f t="shared" si="65"/>
        <v>43.65711599999999</v>
      </c>
      <c r="E500" t="str">
        <f t="shared" si="66"/>
        <v>6.9183745</v>
      </c>
      <c r="F500" t="str">
        <f t="shared" si="67"/>
        <v>Euterpe  : Paris</v>
      </c>
      <c r="G500" t="str">
        <f t="shared" si="68"/>
        <v>Euterpe</v>
      </c>
      <c r="H500" t="str">
        <f t="shared" si="69"/>
        <v>2555-2732</v>
      </c>
      <c r="I500" t="str">
        <f t="shared" si="70"/>
        <v>(1949) - (1949) [N° possédés : 4,5 et 6] [Lacunaire]</v>
      </c>
    </row>
    <row r="501" spans="1:9" x14ac:dyDescent="0.25">
      <c r="A501" t="str">
        <f>"039052265"</f>
        <v>039052265</v>
      </c>
      <c r="B501" t="str">
        <f t="shared" si="63"/>
        <v>831376201</v>
      </c>
      <c r="C501" t="str">
        <f t="shared" si="64"/>
        <v>TOULON-BM</v>
      </c>
      <c r="D501" t="str">
        <f t="shared" si="65"/>
        <v>43.0823215</v>
      </c>
      <c r="E501" t="str">
        <f t="shared" si="66"/>
        <v>5.920052699999999</v>
      </c>
      <c r="F501" t="str">
        <f t="shared" si="67"/>
        <v>La Vie sportive  [Texte imprimé]  : Journal hebdomadaire de tous les sports</v>
      </c>
      <c r="G501" t="str">
        <f t="shared" si="68"/>
        <v>La Vie sportive</v>
      </c>
      <c r="H501" t="str">
        <f t="shared" si="69"/>
        <v>2018-6371</v>
      </c>
      <c r="I501" t="str">
        <f t="shared" si="70"/>
        <v>no. 248 (1911) - no. 253  (1911) ; no. 554 (1919) - no. 1454  (1929) [lac.10%]</v>
      </c>
    </row>
    <row r="502" spans="1:9" x14ac:dyDescent="0.25">
      <c r="A502" t="str">
        <f>"039066339"</f>
        <v>039066339</v>
      </c>
      <c r="B502" t="str">
        <f t="shared" si="63"/>
        <v>831376201</v>
      </c>
      <c r="C502" t="str">
        <f t="shared" si="64"/>
        <v>TOULON-BM</v>
      </c>
      <c r="D502" t="str">
        <f t="shared" si="65"/>
        <v>43.0823215</v>
      </c>
      <c r="E502" t="str">
        <f t="shared" si="66"/>
        <v>5.920052699999999</v>
      </c>
      <c r="F502" t="str">
        <f t="shared" si="67"/>
        <v>Bulletin paroissial du doyenné de Tavernes et de la paroisse de Quinson  [Texte imprimé]</v>
      </c>
      <c r="G502" t="str">
        <f t="shared" si="68"/>
        <v>Bulletin paroissial du doyenné de Tavernes et de la paroisse de Quinson</v>
      </c>
      <c r="H502" t="str">
        <f t="shared" si="69"/>
        <v>2019-0808</v>
      </c>
      <c r="I502" t="str">
        <f t="shared" si="70"/>
        <v>(1913) - (1916)</v>
      </c>
    </row>
    <row r="503" spans="1:9" x14ac:dyDescent="0.25">
      <c r="A503" t="str">
        <f>"075971461"</f>
        <v>075971461</v>
      </c>
      <c r="B503" t="str">
        <f t="shared" si="63"/>
        <v>991385201</v>
      </c>
      <c r="C503" t="str">
        <f t="shared" si="64"/>
        <v>MONACO-Jardin exotique</v>
      </c>
      <c r="D503" t="str">
        <f t="shared" si="65"/>
        <v>43.7310908</v>
      </c>
      <c r="E503" t="str">
        <f t="shared" si="66"/>
        <v>7.410747499999999</v>
      </c>
      <c r="F503" t="str">
        <f t="shared" si="67"/>
        <v>Caveka  [Texte imprimé]  : cactussen vetplanten kamerplanten</v>
      </c>
      <c r="G503" t="str">
        <f t="shared" si="68"/>
        <v>Caveka</v>
      </c>
      <c r="H503" t="str">
        <f t="shared" si="69"/>
        <v>1780-4477</v>
      </c>
      <c r="I503" t="str">
        <f t="shared" si="70"/>
        <v>vol. 14 no. 1 (2001)-....</v>
      </c>
    </row>
    <row r="504" spans="1:9" x14ac:dyDescent="0.25">
      <c r="A504" t="str">
        <f>"10915102X"</f>
        <v>10915102X</v>
      </c>
      <c r="B504" t="str">
        <f t="shared" si="63"/>
        <v>060046201</v>
      </c>
      <c r="C504" t="str">
        <f t="shared" si="64"/>
        <v>ANTIBES-Mediath.A.Camus</v>
      </c>
      <c r="D504" t="str">
        <f t="shared" si="65"/>
        <v>43.58041799999999</v>
      </c>
      <c r="E504" t="str">
        <f t="shared" si="66"/>
        <v>7.125102</v>
      </c>
      <c r="F504" t="str">
        <f t="shared" si="67"/>
        <v>L'Echo d'Antibes  [Texte imprimé]</v>
      </c>
      <c r="G504" t="str">
        <f t="shared" si="68"/>
        <v>L'Echo d'Antibes</v>
      </c>
      <c r="H504" t="e">
        <f t="shared" si="69"/>
        <v>#VALUE!</v>
      </c>
      <c r="I504" t="str">
        <f t="shared" si="70"/>
        <v>(1974) - (1979)</v>
      </c>
    </row>
    <row r="505" spans="1:9" x14ac:dyDescent="0.25">
      <c r="A505" t="str">
        <f>"154257478"</f>
        <v>154257478</v>
      </c>
      <c r="B505" t="str">
        <f t="shared" si="63"/>
        <v>991385201</v>
      </c>
      <c r="C505" t="str">
        <f t="shared" si="64"/>
        <v>MONACO-Jardin exotique</v>
      </c>
      <c r="D505" t="str">
        <f t="shared" si="65"/>
        <v>43.7310908</v>
      </c>
      <c r="E505" t="str">
        <f t="shared" si="66"/>
        <v>7.410747499999999</v>
      </c>
      <c r="F505" t="str">
        <f t="shared" si="67"/>
        <v>Der Echinocereenfreund  [Texte imprimé]</v>
      </c>
      <c r="G505" t="str">
        <f t="shared" si="68"/>
        <v>Der Echinocereenfreund</v>
      </c>
      <c r="H505" t="str">
        <f t="shared" si="69"/>
        <v>0949-0825</v>
      </c>
      <c r="I505" t="str">
        <f t="shared" si="70"/>
        <v>vol. 1 no. 1 (1988)-....</v>
      </c>
    </row>
    <row r="506" spans="1:9" x14ac:dyDescent="0.25">
      <c r="A506" t="str">
        <f>"170068250"</f>
        <v>170068250</v>
      </c>
      <c r="B506" t="str">
        <f t="shared" si="63"/>
        <v>060885105</v>
      </c>
      <c r="C506" t="str">
        <f t="shared" si="64"/>
        <v>NICE-Bibl.Chevalier de Cessole</v>
      </c>
      <c r="D506" t="str">
        <f t="shared" si="65"/>
        <v>43.6956246</v>
      </c>
      <c r="E506" t="str">
        <f t="shared" si="66"/>
        <v>7.259380900000001</v>
      </c>
      <c r="F506" t="str">
        <f t="shared" si="67"/>
        <v>Courier universel  [Texte imprimé]</v>
      </c>
      <c r="G506" t="str">
        <f t="shared" si="68"/>
        <v>Courier universel</v>
      </c>
      <c r="H506" t="str">
        <f t="shared" si="69"/>
        <v>2266-4807</v>
      </c>
      <c r="I506" t="str">
        <f t="shared" si="70"/>
        <v>no. 577 (1801) - no. 619  (1801) [lacunes]</v>
      </c>
    </row>
    <row r="507" spans="1:9" x14ac:dyDescent="0.25">
      <c r="A507" t="str">
        <f>"036299774"</f>
        <v>036299774</v>
      </c>
      <c r="B507" t="str">
        <f t="shared" si="63"/>
        <v>991385301</v>
      </c>
      <c r="C507" t="str">
        <f t="shared" si="64"/>
        <v>MONACO-Musée Océanographique</v>
      </c>
      <c r="D507" t="str">
        <f t="shared" si="65"/>
        <v>43.7310033</v>
      </c>
      <c r="E507" t="str">
        <f t="shared" si="66"/>
        <v>7.425491600000001</v>
      </c>
      <c r="F507" t="str">
        <f t="shared" si="67"/>
        <v>Istituto di fisica. Programma Oceanoboe. Rapporto tecnico.</v>
      </c>
      <c r="G507" t="str">
        <f t="shared" si="68"/>
        <v>Istituto di fisica. Programma Oceanoboe. Rapporto tecnico.</v>
      </c>
      <c r="H507" t="e">
        <f t="shared" si="69"/>
        <v>#VALUE!</v>
      </c>
      <c r="I507" t="str">
        <f t="shared" si="70"/>
        <v>(1969) - (1970)</v>
      </c>
    </row>
    <row r="508" spans="1:9" x14ac:dyDescent="0.25">
      <c r="A508" t="str">
        <f>"037219375"</f>
        <v>037219375</v>
      </c>
      <c r="B508" t="str">
        <f t="shared" si="63"/>
        <v>060882305</v>
      </c>
      <c r="C508" t="str">
        <f t="shared" si="64"/>
        <v>NICE-Institut européen</v>
      </c>
      <c r="D508" t="str">
        <f t="shared" si="65"/>
        <v>43.697776</v>
      </c>
      <c r="E508" t="str">
        <f t="shared" si="66"/>
        <v>7.254210999999999</v>
      </c>
      <c r="F508" t="e">
        <f t="shared" si="67"/>
        <v>#VALUE!</v>
      </c>
      <c r="G508" t="str">
        <f t="shared" si="68"/>
        <v>CASEpaper</v>
      </c>
      <c r="H508" t="str">
        <f t="shared" si="69"/>
        <v>1460-5023</v>
      </c>
      <c r="I508" t="str">
        <f t="shared" si="70"/>
        <v>no. 1 (1997) - (2006)</v>
      </c>
    </row>
    <row r="509" spans="1:9" x14ac:dyDescent="0.25">
      <c r="A509" t="str">
        <f>"039140776"</f>
        <v>039140776</v>
      </c>
      <c r="B509" t="str">
        <f t="shared" si="63"/>
        <v>060692301</v>
      </c>
      <c r="C509" t="str">
        <f t="shared" si="64"/>
        <v>GRASSE-Musée Art/Hist Provence</v>
      </c>
      <c r="D509" t="str">
        <f t="shared" si="65"/>
        <v>43.65761759999999</v>
      </c>
      <c r="E509" t="str">
        <f t="shared" si="66"/>
        <v>6.9224541</v>
      </c>
      <c r="F509" t="str">
        <f t="shared" si="67"/>
        <v>Le Trait d'union agricole  [Texte imprimé]</v>
      </c>
      <c r="G509" t="str">
        <f t="shared" si="68"/>
        <v>Le Trait d'union agricole</v>
      </c>
      <c r="H509" t="str">
        <f t="shared" si="69"/>
        <v>2025-475X</v>
      </c>
      <c r="I509" t="str">
        <f t="shared" si="70"/>
        <v>no. 16 (1922) ; no. 1 (1924) ; no. 1 (1926) - no. 3  (1930) [lac]</v>
      </c>
    </row>
    <row r="510" spans="1:9" x14ac:dyDescent="0.25">
      <c r="A510" t="str">
        <f>"039309967"</f>
        <v>039309967</v>
      </c>
      <c r="B510" t="str">
        <f t="shared" si="63"/>
        <v>991385301</v>
      </c>
      <c r="C510" t="str">
        <f t="shared" si="64"/>
        <v>MONACO-Musée Océanographique</v>
      </c>
      <c r="D510" t="str">
        <f t="shared" si="65"/>
        <v>43.7310033</v>
      </c>
      <c r="E510" t="str">
        <f t="shared" si="66"/>
        <v>7.425491600000001</v>
      </c>
      <c r="F510" t="str">
        <f t="shared" si="67"/>
        <v>Leaflet  [Texte imprimé]  / Royal Scottish Museum</v>
      </c>
      <c r="G510" t="str">
        <f t="shared" si="68"/>
        <v>Leaflet</v>
      </c>
      <c r="H510" t="str">
        <f t="shared" si="69"/>
        <v>0260-227X</v>
      </c>
      <c r="I510" t="str">
        <f t="shared" si="70"/>
        <v>vol. 1 (1981)-....</v>
      </c>
    </row>
    <row r="511" spans="1:9" x14ac:dyDescent="0.25">
      <c r="A511" t="str">
        <f>"13662734X"</f>
        <v>13662734X</v>
      </c>
      <c r="B511" t="str">
        <f t="shared" si="63"/>
        <v>060885105</v>
      </c>
      <c r="C511" t="str">
        <f t="shared" si="64"/>
        <v>NICE-Bibl.Chevalier de Cessole</v>
      </c>
      <c r="D511" t="str">
        <f t="shared" si="65"/>
        <v>43.6956246</v>
      </c>
      <c r="E511" t="str">
        <f t="shared" si="66"/>
        <v>7.259380900000001</v>
      </c>
      <c r="F511" t="str">
        <f t="shared" si="67"/>
        <v>L'Exposition internationale de Nice  [Texte imprimé]</v>
      </c>
      <c r="G511" t="str">
        <f t="shared" si="68"/>
        <v>L'Exposition internationale de Nice</v>
      </c>
      <c r="H511" t="str">
        <f t="shared" si="69"/>
        <v>2127-7257</v>
      </c>
      <c r="I511" t="str">
        <f t="shared" si="70"/>
        <v>no. 1 (12-avr-1883) - no. 55  (18-mai-1884)</v>
      </c>
    </row>
    <row r="512" spans="1:9" x14ac:dyDescent="0.25">
      <c r="A512" t="str">
        <f>"143838377"</f>
        <v>143838377</v>
      </c>
      <c r="B512" t="str">
        <f t="shared" si="63"/>
        <v>991386201</v>
      </c>
      <c r="C512" t="str">
        <f t="shared" si="64"/>
        <v>MONACO-Bibl.Louis Notari</v>
      </c>
      <c r="D512" t="str">
        <f t="shared" si="65"/>
        <v>43.7351319</v>
      </c>
      <c r="E512" t="str">
        <f t="shared" si="66"/>
        <v>7.420563100000001</v>
      </c>
      <c r="F512" t="str">
        <f t="shared" si="67"/>
        <v>Monaco imprese  [Texte imprimé]</v>
      </c>
      <c r="G512" t="str">
        <f t="shared" si="68"/>
        <v>Monaco imprese</v>
      </c>
      <c r="H512" t="str">
        <f t="shared" si="69"/>
        <v>2079-1607</v>
      </c>
      <c r="I512" t="str">
        <f t="shared" si="70"/>
        <v>no. 1 (2007)-....</v>
      </c>
    </row>
    <row r="513" spans="1:9" x14ac:dyDescent="0.25">
      <c r="A513" t="str">
        <f>"039304647"</f>
        <v>039304647</v>
      </c>
      <c r="B513" t="str">
        <f t="shared" si="63"/>
        <v>991385301</v>
      </c>
      <c r="C513" t="str">
        <f t="shared" si="64"/>
        <v>MONACO-Musée Océanographique</v>
      </c>
      <c r="D513" t="str">
        <f t="shared" si="65"/>
        <v>43.7310033</v>
      </c>
      <c r="E513" t="str">
        <f t="shared" si="66"/>
        <v>7.425491600000001</v>
      </c>
      <c r="F513" t="str">
        <f t="shared" si="67"/>
        <v>Tsunami newsletter  [Texte imprimé]</v>
      </c>
      <c r="G513" t="str">
        <f t="shared" si="68"/>
        <v>Tsunami newsletter</v>
      </c>
      <c r="H513" t="str">
        <f t="shared" si="69"/>
        <v>0259-3637</v>
      </c>
      <c r="I513" t="str">
        <f t="shared" si="70"/>
        <v>vol. 11 no. 2 (1978) - vol. 13  no. 1  (1980) ; vol. 18 no. 2 (1985) ; vol. 19 no. 2 (1986) ; vol. 20 no. 1 (1987) ; vol. 21 no. 1 (1988) ; vol. 22 no. 1 (1989)-....</v>
      </c>
    </row>
    <row r="514" spans="1:9" x14ac:dyDescent="0.25">
      <c r="A514" t="str">
        <f>"036452378"</f>
        <v>036452378</v>
      </c>
      <c r="B514" t="str">
        <f t="shared" si="63"/>
        <v>991385301</v>
      </c>
      <c r="C514" t="str">
        <f t="shared" si="64"/>
        <v>MONACO-Musée Océanographique</v>
      </c>
      <c r="D514" t="str">
        <f t="shared" si="65"/>
        <v>43.7310033</v>
      </c>
      <c r="E514" t="str">
        <f t="shared" si="66"/>
        <v>7.425491600000001</v>
      </c>
      <c r="F514" t="str">
        <f t="shared" si="67"/>
        <v>Tōkai kokai ni okeru teigyo shigen no kenkyū  [Texte imprimé]</v>
      </c>
      <c r="G514" t="str">
        <f t="shared" si="68"/>
        <v>Tōkai kokai ni okeru teigyo shigen no kenkyū</v>
      </c>
      <c r="H514" t="e">
        <f t="shared" si="69"/>
        <v>#VALUE!</v>
      </c>
      <c r="I514" t="e">
        <f t="shared" si="70"/>
        <v>#VALUE!</v>
      </c>
    </row>
    <row r="515" spans="1:9" x14ac:dyDescent="0.25">
      <c r="A515" t="str">
        <f>"037396382"</f>
        <v>037396382</v>
      </c>
      <c r="B515" t="str">
        <f t="shared" ref="B515:B578" si="71">TEXT(_xlfn.FILTERXML(_xlfn.WEBSERVICE("http://www.sudoc.fr/services/multiwhere/"&amp;A515),"//query/result/library/rcr"),"000000000")</f>
        <v>991385201</v>
      </c>
      <c r="C515" t="str">
        <f t="shared" si="64"/>
        <v>MONACO-Jardin exotique</v>
      </c>
      <c r="D515" t="str">
        <f t="shared" si="65"/>
        <v>43.7310908</v>
      </c>
      <c r="E515" t="str">
        <f t="shared" si="66"/>
        <v>7.410747499999999</v>
      </c>
      <c r="F515" t="str">
        <f t="shared" si="67"/>
        <v>Atlas kaktusu  [Texte imprimé]</v>
      </c>
      <c r="G515" t="str">
        <f t="shared" si="68"/>
        <v>Atlas kaktusu</v>
      </c>
      <c r="H515" t="str">
        <f t="shared" si="69"/>
        <v>1214-6854</v>
      </c>
      <c r="I515" t="str">
        <f t="shared" si="70"/>
        <v>vol. 1 (1986)-....</v>
      </c>
    </row>
    <row r="516" spans="1:9" x14ac:dyDescent="0.25">
      <c r="A516" t="str">
        <f>"037586823"</f>
        <v>037586823</v>
      </c>
      <c r="B516" t="str">
        <f t="shared" si="71"/>
        <v>991385301</v>
      </c>
      <c r="C516" t="str">
        <f t="shared" si="64"/>
        <v>MONACO-Musée Océanographique</v>
      </c>
      <c r="D516" t="str">
        <f t="shared" si="65"/>
        <v>43.7310033</v>
      </c>
      <c r="E516" t="str">
        <f t="shared" si="66"/>
        <v>7.425491600000001</v>
      </c>
      <c r="F516" t="str">
        <f t="shared" si="67"/>
        <v>Sea pen  [Texte imprimé]</v>
      </c>
      <c r="G516" t="str">
        <f t="shared" si="68"/>
        <v>Sea pen</v>
      </c>
      <c r="H516" t="str">
        <f t="shared" si="69"/>
        <v>0700-9275</v>
      </c>
      <c r="I516" t="str">
        <f t="shared" si="70"/>
        <v>vol. 20 no. 3 (1976)-....</v>
      </c>
    </row>
    <row r="517" spans="1:9" x14ac:dyDescent="0.25">
      <c r="A517" t="str">
        <f>"038277085"</f>
        <v>038277085</v>
      </c>
      <c r="B517" t="str">
        <f t="shared" si="71"/>
        <v>991386201</v>
      </c>
      <c r="C517" t="str">
        <f t="shared" si="64"/>
        <v>MONACO-Bibl.Louis Notari</v>
      </c>
      <c r="D517" t="str">
        <f t="shared" si="65"/>
        <v>43.7351319</v>
      </c>
      <c r="E517" t="str">
        <f t="shared" si="66"/>
        <v>7.420563100000001</v>
      </c>
      <c r="F517" t="str">
        <f t="shared" si="67"/>
        <v>Annales de Menton  [Texte imprimé]</v>
      </c>
      <c r="G517" t="str">
        <f t="shared" si="68"/>
        <v>Annales de Menton</v>
      </c>
      <c r="H517" t="str">
        <f t="shared" si="69"/>
        <v>0982-2216</v>
      </c>
      <c r="I517" t="str">
        <f t="shared" si="70"/>
        <v>no. 1 (jun-1954) - no. 12  (mai-1955) [supplément : n° spécial en août 1960]</v>
      </c>
    </row>
    <row r="518" spans="1:9" x14ac:dyDescent="0.25">
      <c r="A518" t="str">
        <f>"140659498"</f>
        <v>140659498</v>
      </c>
      <c r="B518" t="str">
        <f t="shared" si="71"/>
        <v>060696201</v>
      </c>
      <c r="C518" t="str">
        <f t="shared" si="64"/>
        <v>GRASSE-Villa St Hilaire</v>
      </c>
      <c r="D518" t="str">
        <f t="shared" si="65"/>
        <v>43.65711599999999</v>
      </c>
      <c r="E518" t="str">
        <f t="shared" si="66"/>
        <v>6.9183745</v>
      </c>
      <c r="F518" t="str">
        <f t="shared" si="67"/>
        <v>Le Réveil de la Côte d'Azur  [Texte imprimé]</v>
      </c>
      <c r="G518" t="str">
        <f t="shared" si="68"/>
        <v>Le Réveil de la Côte d'Azur</v>
      </c>
      <c r="H518" t="str">
        <f t="shared" si="69"/>
        <v>2136-8104</v>
      </c>
      <c r="I518" t="str">
        <f t="shared" si="70"/>
        <v>(25-fev-1939) - (5-aou-1939) [Lacunaire]</v>
      </c>
    </row>
    <row r="519" spans="1:9" x14ac:dyDescent="0.25">
      <c r="A519" t="str">
        <f>"037337025"</f>
        <v>037337025</v>
      </c>
      <c r="B519" t="str">
        <f t="shared" si="71"/>
        <v>061525404</v>
      </c>
      <c r="C519" t="str">
        <f t="shared" si="64"/>
        <v>SOPHIA/ANT.-Thales Und. Systems</v>
      </c>
      <c r="D519" t="e">
        <f t="shared" si="65"/>
        <v>#VALUE!</v>
      </c>
      <c r="E519" t="e">
        <f t="shared" si="66"/>
        <v>#VALUE!</v>
      </c>
      <c r="F519" t="str">
        <f t="shared" si="67"/>
        <v>Military technology and economics  [Texte imprimé]</v>
      </c>
      <c r="G519" t="str">
        <f t="shared" si="68"/>
        <v>Military technology and economics</v>
      </c>
      <c r="H519" t="str">
        <f t="shared" si="69"/>
        <v>0344-6352</v>
      </c>
      <c r="I519" t="str">
        <f t="shared" si="70"/>
        <v>(1978) - (1980)</v>
      </c>
    </row>
    <row r="520" spans="1:9" x14ac:dyDescent="0.25">
      <c r="A520" t="str">
        <f>"050855646"</f>
        <v>050855646</v>
      </c>
      <c r="B520" t="str">
        <f t="shared" si="71"/>
        <v>831375101</v>
      </c>
      <c r="C520" t="str">
        <f t="shared" si="64"/>
        <v>TOULON-Serv.Historique Marine</v>
      </c>
      <c r="D520" t="str">
        <f t="shared" si="65"/>
        <v>43.124228</v>
      </c>
      <c r="E520" t="str">
        <f t="shared" si="66"/>
        <v>5.928</v>
      </c>
      <c r="F520" t="str">
        <f t="shared" si="67"/>
        <v>Naval review  [Texte imprimé]</v>
      </c>
      <c r="G520" t="str">
        <f t="shared" si="68"/>
        <v>Naval review</v>
      </c>
      <c r="H520" t="str">
        <f t="shared" si="69"/>
        <v>0077-6238</v>
      </c>
      <c r="I520">
        <f t="shared" si="70"/>
        <v>-1965</v>
      </c>
    </row>
    <row r="521" spans="1:9" x14ac:dyDescent="0.25">
      <c r="A521" t="str">
        <f>"128339136"</f>
        <v>128339136</v>
      </c>
      <c r="B521" t="str">
        <f t="shared" si="71"/>
        <v>060185201</v>
      </c>
      <c r="C521" t="str">
        <f t="shared" si="64"/>
        <v>SOPHIA ANTIPOLIS-ANSES</v>
      </c>
      <c r="D521" t="str">
        <f t="shared" si="65"/>
        <v>46.0007702</v>
      </c>
      <c r="E521" t="str">
        <f t="shared" si="66"/>
        <v>6.2518531</v>
      </c>
      <c r="F521" t="str">
        <f t="shared" si="67"/>
        <v>Environmental entomology  [Ressource électronique]</v>
      </c>
      <c r="G521" t="str">
        <f t="shared" si="68"/>
        <v>Environmental entomology</v>
      </c>
      <c r="H521" t="str">
        <f t="shared" si="69"/>
        <v>1938-2936</v>
      </c>
      <c r="I521" t="str">
        <f t="shared" si="70"/>
        <v>(2009)-.... [Publication consultable à l'adresse électronique ci-dessous (accès contrôlé)]</v>
      </c>
    </row>
    <row r="522" spans="1:9" x14ac:dyDescent="0.25">
      <c r="A522" t="str">
        <f>"036227862"</f>
        <v>036227862</v>
      </c>
      <c r="B522" t="str">
        <f t="shared" si="71"/>
        <v>991385301</v>
      </c>
      <c r="C522" t="str">
        <f t="shared" si="64"/>
        <v>MONACO-Musée Océanographique</v>
      </c>
      <c r="D522" t="str">
        <f t="shared" si="65"/>
        <v>43.7310033</v>
      </c>
      <c r="E522" t="str">
        <f t="shared" si="66"/>
        <v>7.425491600000001</v>
      </c>
      <c r="F522" t="str">
        <f t="shared" si="67"/>
        <v>Consiglio nazionale delle ricerche. Commissione di studio per la oceanografia e la limnologia. [Pubblicazioni]. Serie C</v>
      </c>
      <c r="G522" t="str">
        <f t="shared" si="68"/>
        <v>Consiglio nazionale delle ricerche. Commissione di studio per la oceanografia e la limnologia. [Pubblicazioni]. Serie C</v>
      </c>
      <c r="H522" t="e">
        <f t="shared" si="69"/>
        <v>#VALUE!</v>
      </c>
      <c r="I522" t="e">
        <f t="shared" si="70"/>
        <v>#VALUE!</v>
      </c>
    </row>
    <row r="523" spans="1:9" x14ac:dyDescent="0.25">
      <c r="A523" t="str">
        <f>"036325465"</f>
        <v>036325465</v>
      </c>
      <c r="B523" t="str">
        <f t="shared" si="71"/>
        <v>991385301</v>
      </c>
      <c r="C523" t="str">
        <f t="shared" si="64"/>
        <v>MONACO-Musée Océanographique</v>
      </c>
      <c r="D523" t="str">
        <f t="shared" si="65"/>
        <v>43.7310033</v>
      </c>
      <c r="E523" t="str">
        <f t="shared" si="66"/>
        <v>7.425491600000001</v>
      </c>
      <c r="F523" t="str">
        <f t="shared" si="67"/>
        <v>M.M.L. News  [Texte imprimé]</v>
      </c>
      <c r="G523" t="str">
        <f t="shared" si="68"/>
        <v>M.M.L. News</v>
      </c>
      <c r="H523" t="e">
        <f t="shared" si="69"/>
        <v>#VALUE!</v>
      </c>
      <c r="I523" t="str">
        <f t="shared" si="70"/>
        <v>(1972) - (1982)</v>
      </c>
    </row>
    <row r="524" spans="1:9" x14ac:dyDescent="0.25">
      <c r="A524" t="str">
        <f>"050926578"</f>
        <v>050926578</v>
      </c>
      <c r="B524" t="str">
        <f t="shared" si="71"/>
        <v>831375101</v>
      </c>
      <c r="C524" t="str">
        <f t="shared" si="64"/>
        <v>TOULON-Serv.Historique Marine</v>
      </c>
      <c r="D524" t="str">
        <f t="shared" si="65"/>
        <v>43.124228</v>
      </c>
      <c r="E524" t="str">
        <f t="shared" si="66"/>
        <v>5.928</v>
      </c>
      <c r="F524" t="str">
        <f t="shared" si="67"/>
        <v>Liste des bâtiments de guerre des marines étrangères  [Texte imprimé]</v>
      </c>
      <c r="G524" t="str">
        <f t="shared" si="68"/>
        <v>Liste des bâtiments de guerre des marines étrangères</v>
      </c>
      <c r="H524" t="str">
        <f t="shared" si="69"/>
        <v>2020-9827</v>
      </c>
      <c r="I524" t="str">
        <f t="shared" si="70"/>
        <v>(1910) ; (1916)</v>
      </c>
    </row>
    <row r="525" spans="1:9" x14ac:dyDescent="0.25">
      <c r="A525" t="str">
        <f>"050926624"</f>
        <v>050926624</v>
      </c>
      <c r="B525" t="str">
        <f t="shared" si="71"/>
        <v>831375101</v>
      </c>
      <c r="C525" t="str">
        <f t="shared" si="64"/>
        <v>TOULON-Serv.Historique Marine</v>
      </c>
      <c r="D525" t="str">
        <f t="shared" si="65"/>
        <v>43.124228</v>
      </c>
      <c r="E525" t="str">
        <f t="shared" si="66"/>
        <v>5.928</v>
      </c>
      <c r="F525" t="str">
        <f t="shared" si="67"/>
        <v>Matériel d'artillerie de la marine  [Texte imprimé]</v>
      </c>
      <c r="G525" t="str">
        <f t="shared" si="68"/>
        <v>Matériel d'artillerie de la marine</v>
      </c>
      <c r="H525" t="str">
        <f t="shared" si="69"/>
        <v>2020-9851</v>
      </c>
      <c r="I525" t="str">
        <f t="shared" si="70"/>
        <v>no. 56 (1892) - no. 74  (1900) [lac.]</v>
      </c>
    </row>
    <row r="526" spans="1:9" x14ac:dyDescent="0.25">
      <c r="A526" t="str">
        <f>"121449386"</f>
        <v>121449386</v>
      </c>
      <c r="B526" t="str">
        <f t="shared" si="71"/>
        <v>060696201</v>
      </c>
      <c r="C526" t="str">
        <f t="shared" si="64"/>
        <v>GRASSE-Villa St Hilaire</v>
      </c>
      <c r="D526" t="str">
        <f t="shared" si="65"/>
        <v>43.65711599999999</v>
      </c>
      <c r="E526" t="str">
        <f t="shared" si="66"/>
        <v>6.9183745</v>
      </c>
      <c r="F526" t="e">
        <f t="shared" si="67"/>
        <v>#VALUE!</v>
      </c>
      <c r="G526" t="str">
        <f t="shared" si="68"/>
        <v>Item</v>
      </c>
      <c r="H526" t="str">
        <f t="shared" si="69"/>
        <v>0395-1782</v>
      </c>
      <c r="I526" t="str">
        <f t="shared" si="70"/>
        <v>(jan-1976) - (jul-1977)</v>
      </c>
    </row>
    <row r="527" spans="1:9" x14ac:dyDescent="0.25">
      <c r="A527" t="str">
        <f>"137906331"</f>
        <v>137906331</v>
      </c>
      <c r="B527" t="str">
        <f t="shared" si="71"/>
        <v>060885105</v>
      </c>
      <c r="C527" t="str">
        <f t="shared" si="64"/>
        <v>NICE-Bibl.Chevalier de Cessole</v>
      </c>
      <c r="D527" t="str">
        <f t="shared" si="65"/>
        <v>43.6956246</v>
      </c>
      <c r="E527" t="str">
        <f t="shared" si="66"/>
        <v>7.259380900000001</v>
      </c>
      <c r="F527" t="str">
        <f t="shared" si="67"/>
        <v>Lou Mountagnart  [Texte imprimé]</v>
      </c>
      <c r="G527" t="str">
        <f t="shared" si="68"/>
        <v>Lou Mountagnart</v>
      </c>
      <c r="H527" t="str">
        <f t="shared" si="69"/>
        <v>2132-6258</v>
      </c>
      <c r="I527" t="str">
        <f t="shared" si="70"/>
        <v>no. 1 (20-avr-1890) - no. 2  (27-avr-1890)</v>
      </c>
    </row>
    <row r="528" spans="1:9" x14ac:dyDescent="0.25">
      <c r="A528" t="str">
        <f>"037444077"</f>
        <v>037444077</v>
      </c>
      <c r="B528" t="str">
        <f t="shared" si="71"/>
        <v>991385301</v>
      </c>
      <c r="C528" t="str">
        <f t="shared" si="64"/>
        <v>MONACO-Musée Océanographique</v>
      </c>
      <c r="D528" t="str">
        <f t="shared" si="65"/>
        <v>43.7310033</v>
      </c>
      <c r="E528" t="str">
        <f t="shared" si="66"/>
        <v>7.425491600000001</v>
      </c>
      <c r="F528" t="str">
        <f t="shared" si="67"/>
        <v>Technical report  [Texte imprimé]  / South African National Committee for Oceanographic Research, Marine Geology Programme</v>
      </c>
      <c r="G528" t="str">
        <f t="shared" si="68"/>
        <v>Technical report</v>
      </c>
      <c r="H528" t="str">
        <f t="shared" si="69"/>
        <v>0375-7706</v>
      </c>
      <c r="I528" t="str">
        <f t="shared" si="70"/>
        <v>(1971)-....</v>
      </c>
    </row>
    <row r="529" spans="1:9" x14ac:dyDescent="0.25">
      <c r="A529" t="str">
        <f>"038597446"</f>
        <v>038597446</v>
      </c>
      <c r="B529" t="str">
        <f t="shared" si="71"/>
        <v>991385301</v>
      </c>
      <c r="C529" t="str">
        <f t="shared" si="64"/>
        <v>MONACO-Musée Océanographique</v>
      </c>
      <c r="D529" t="str">
        <f t="shared" si="65"/>
        <v>43.7310033</v>
      </c>
      <c r="E529" t="str">
        <f t="shared" si="66"/>
        <v>7.425491600000001</v>
      </c>
      <c r="F529" t="str">
        <f t="shared" si="67"/>
        <v>Documents arrivés en bibliothèque  [Texte imprimé]  / Institut français de recherche pour l'exploitation de la mer</v>
      </c>
      <c r="G529" t="str">
        <f t="shared" si="68"/>
        <v>Documents arrivés en bibliothèque</v>
      </c>
      <c r="H529" t="str">
        <f t="shared" si="69"/>
        <v>1154-9882</v>
      </c>
      <c r="I529" t="str">
        <f t="shared" si="70"/>
        <v>vol. 84 no. 6 (1984) - vol. 85  no. 6  (1985)</v>
      </c>
    </row>
    <row r="530" spans="1:9" x14ac:dyDescent="0.25">
      <c r="A530" t="str">
        <f>"136591159"</f>
        <v>136591159</v>
      </c>
      <c r="B530" t="str">
        <f t="shared" si="71"/>
        <v>060885105</v>
      </c>
      <c r="C530" t="str">
        <f t="shared" si="64"/>
        <v>NICE-Bibl.Chevalier de Cessole</v>
      </c>
      <c r="D530" t="str">
        <f t="shared" si="65"/>
        <v>43.6956246</v>
      </c>
      <c r="E530" t="str">
        <f t="shared" si="66"/>
        <v>7.259380900000001</v>
      </c>
      <c r="F530" t="str">
        <f t="shared" si="67"/>
        <v>La Comédie niçoise  [Texte imprimé]</v>
      </c>
      <c r="G530" t="str">
        <f t="shared" si="68"/>
        <v>La Comédie niçoise</v>
      </c>
      <c r="H530" t="str">
        <f t="shared" si="69"/>
        <v>2124-1686</v>
      </c>
      <c r="I530" t="str">
        <f t="shared" si="70"/>
        <v>no. 355 (7-mar-1896) - no. 356  (8-mar-1896)</v>
      </c>
    </row>
    <row r="531" spans="1:9" x14ac:dyDescent="0.25">
      <c r="A531" t="str">
        <f>"036365297"</f>
        <v>036365297</v>
      </c>
      <c r="B531" t="str">
        <f t="shared" si="71"/>
        <v>991385301</v>
      </c>
      <c r="C531" t="str">
        <f t="shared" si="64"/>
        <v>MONACO-Musée Océanographique</v>
      </c>
      <c r="D531" t="str">
        <f t="shared" si="65"/>
        <v>43.7310033</v>
      </c>
      <c r="E531" t="str">
        <f t="shared" si="66"/>
        <v>7.425491600000001</v>
      </c>
      <c r="F531" t="str">
        <f t="shared" si="67"/>
        <v>Oceanography abstracts of technical reports  [Texte imprimé]  / Texas A and M university</v>
      </c>
      <c r="G531" t="str">
        <f t="shared" si="68"/>
        <v>Oceanography abstracts of technical reports</v>
      </c>
      <c r="H531" t="str">
        <f t="shared" si="69"/>
        <v>0094-2774</v>
      </c>
      <c r="I531" t="str">
        <f t="shared" si="70"/>
        <v>(1968) - (1973)</v>
      </c>
    </row>
    <row r="532" spans="1:9" x14ac:dyDescent="0.25">
      <c r="A532" t="str">
        <f>"037950517"</f>
        <v>037950517</v>
      </c>
      <c r="B532" t="str">
        <f t="shared" si="71"/>
        <v>991386201</v>
      </c>
      <c r="C532" t="str">
        <f t="shared" si="64"/>
        <v>MONACO-Bibl.Louis Notari</v>
      </c>
      <c r="D532" t="str">
        <f t="shared" si="65"/>
        <v>43.7351319</v>
      </c>
      <c r="E532" t="str">
        <f t="shared" si="66"/>
        <v>7.420563100000001</v>
      </c>
      <c r="F532" t="str">
        <f t="shared" si="67"/>
        <v>L'Avenir monégasque  [Texte imprimé]</v>
      </c>
      <c r="G532" t="str">
        <f t="shared" si="68"/>
        <v>L'Avenir monégasque</v>
      </c>
      <c r="H532" t="str">
        <f t="shared" si="69"/>
        <v>1011-1379</v>
      </c>
      <c r="I532" t="str">
        <f t="shared" si="70"/>
        <v>(mar-1930) - (jul-1930)</v>
      </c>
    </row>
    <row r="533" spans="1:9" x14ac:dyDescent="0.25">
      <c r="A533" t="str">
        <f>"163382824"</f>
        <v>163382824</v>
      </c>
      <c r="B533" t="str">
        <f t="shared" si="71"/>
        <v>060886101</v>
      </c>
      <c r="C533" t="str">
        <f t="shared" si="64"/>
        <v>NICE- BMVR Louis Nucéra</v>
      </c>
      <c r="D533" t="str">
        <f t="shared" si="65"/>
        <v>43.7015650</v>
      </c>
      <c r="E533" t="str">
        <f t="shared" si="66"/>
        <v>7.2786247</v>
      </c>
      <c r="F533" t="str">
        <f t="shared" si="67"/>
        <v>J'aime écrire  [Texte imprimé]</v>
      </c>
      <c r="G533" t="str">
        <f t="shared" si="68"/>
        <v>J'aime écrire</v>
      </c>
      <c r="H533" t="str">
        <f t="shared" si="69"/>
        <v>2260-1325</v>
      </c>
      <c r="I533" t="str">
        <f t="shared" si="70"/>
        <v>no. 7 (2014)-....</v>
      </c>
    </row>
    <row r="534" spans="1:9" x14ac:dyDescent="0.25">
      <c r="A534" t="str">
        <f>"136597556"</f>
        <v>136597556</v>
      </c>
      <c r="B534" t="str">
        <f t="shared" si="71"/>
        <v>060885105</v>
      </c>
      <c r="C534" t="str">
        <f t="shared" si="64"/>
        <v>NICE-Bibl.Chevalier de Cessole</v>
      </c>
      <c r="D534" t="str">
        <f t="shared" si="65"/>
        <v>43.6956246</v>
      </c>
      <c r="E534" t="str">
        <f t="shared" si="66"/>
        <v>7.259380900000001</v>
      </c>
      <c r="F534" t="str">
        <f t="shared" si="67"/>
        <v>Le Courrier de Nice  [Texte imprimé]</v>
      </c>
      <c r="G534" t="str">
        <f t="shared" si="68"/>
        <v>Le Courrier de Nice</v>
      </c>
      <c r="H534" t="str">
        <f t="shared" si="69"/>
        <v>2124-7870</v>
      </c>
      <c r="I534" t="str">
        <f t="shared" si="70"/>
        <v>no. 26 (29-jul-1881) - no. 301  (5-mai-1882)</v>
      </c>
    </row>
    <row r="535" spans="1:9" x14ac:dyDescent="0.25">
      <c r="A535" t="str">
        <f>"036365149"</f>
        <v>036365149</v>
      </c>
      <c r="B535" t="str">
        <f t="shared" si="71"/>
        <v>991385301</v>
      </c>
      <c r="C535" t="str">
        <f t="shared" si="64"/>
        <v>MONACO-Musée Océanographique</v>
      </c>
      <c r="D535" t="str">
        <f t="shared" si="65"/>
        <v>43.7310033</v>
      </c>
      <c r="E535" t="str">
        <f t="shared" si="66"/>
        <v>7.425491600000001</v>
      </c>
      <c r="F535" t="str">
        <f t="shared" si="67"/>
        <v>Oceanic instrumentation reporter and ocean engineering  [Texte imprimé]</v>
      </c>
      <c r="G535" t="str">
        <f t="shared" si="68"/>
        <v>Oceanic instrumentation reporter and ocean engineering</v>
      </c>
      <c r="H535" t="e">
        <f t="shared" si="69"/>
        <v>#VALUE!</v>
      </c>
      <c r="I535" t="str">
        <f t="shared" si="70"/>
        <v>(1970)-....</v>
      </c>
    </row>
    <row r="536" spans="1:9" x14ac:dyDescent="0.25">
      <c r="A536" t="str">
        <f>"156141906"</f>
        <v>156141906</v>
      </c>
      <c r="B536" t="str">
        <f t="shared" si="71"/>
        <v>060885105</v>
      </c>
      <c r="C536" t="str">
        <f t="shared" si="64"/>
        <v>NICE-Bibl.Chevalier de Cessole</v>
      </c>
      <c r="D536" t="str">
        <f t="shared" si="65"/>
        <v>43.6956246</v>
      </c>
      <c r="E536" t="str">
        <f t="shared" si="66"/>
        <v>7.259380900000001</v>
      </c>
      <c r="F536" t="str">
        <f t="shared" si="67"/>
        <v>Le Petit Cagnois  [Texte imprimé]</v>
      </c>
      <c r="G536" t="str">
        <f t="shared" si="68"/>
        <v>Le Petit Cagnois</v>
      </c>
      <c r="H536" t="str">
        <f t="shared" si="69"/>
        <v>2134-0099</v>
      </c>
      <c r="I536" t="str">
        <f t="shared" si="70"/>
        <v>(8-mai-1934)</v>
      </c>
    </row>
    <row r="537" spans="1:9" x14ac:dyDescent="0.25">
      <c r="A537" t="str">
        <f>"140577114"</f>
        <v>140577114</v>
      </c>
      <c r="B537" t="str">
        <f t="shared" si="71"/>
        <v>060885105</v>
      </c>
      <c r="C537" t="str">
        <f t="shared" si="64"/>
        <v>NICE-Bibl.Chevalier de Cessole</v>
      </c>
      <c r="D537" t="str">
        <f t="shared" si="65"/>
        <v>43.6956246</v>
      </c>
      <c r="E537" t="str">
        <f t="shared" si="66"/>
        <v>7.259380900000001</v>
      </c>
      <c r="F537" t="str">
        <f t="shared" si="67"/>
        <v>La Situation de Nice  [Texte imprimé]</v>
      </c>
      <c r="G537" t="str">
        <f t="shared" si="68"/>
        <v>La Situation de Nice</v>
      </c>
      <c r="H537" t="str">
        <f t="shared" si="69"/>
        <v>2138-1410</v>
      </c>
      <c r="I537" t="str">
        <f t="shared" si="70"/>
        <v>no. 11 (22-avr-1888)</v>
      </c>
    </row>
    <row r="538" spans="1:9" x14ac:dyDescent="0.25">
      <c r="A538" t="str">
        <f>"040295281"</f>
        <v>040295281</v>
      </c>
      <c r="B538" t="str">
        <f t="shared" si="71"/>
        <v>831375101</v>
      </c>
      <c r="C538" t="str">
        <f t="shared" si="64"/>
        <v>TOULON-Serv.Historique Marine</v>
      </c>
      <c r="D538" t="str">
        <f t="shared" si="65"/>
        <v>43.124228</v>
      </c>
      <c r="E538" t="str">
        <f t="shared" si="66"/>
        <v>5.928</v>
      </c>
      <c r="F538" t="str">
        <f t="shared" si="67"/>
        <v>Annuaire des anciens marins de l'"Albatros"  [Texte imprimé]</v>
      </c>
      <c r="G538" t="str">
        <f t="shared" si="68"/>
        <v>Annuaire des anciens marins de l'"Albatros"</v>
      </c>
      <c r="H538" t="str">
        <f t="shared" si="69"/>
        <v>1257-0133</v>
      </c>
      <c r="I538">
        <f t="shared" si="70"/>
        <v>-1992</v>
      </c>
    </row>
    <row r="539" spans="1:9" x14ac:dyDescent="0.25">
      <c r="A539" t="str">
        <f>"13659882X"</f>
        <v>13659882X</v>
      </c>
      <c r="B539" t="str">
        <f t="shared" si="71"/>
        <v>060885105</v>
      </c>
      <c r="C539" t="str">
        <f t="shared" si="64"/>
        <v>NICE-Bibl.Chevalier de Cessole</v>
      </c>
      <c r="D539" t="str">
        <f t="shared" si="65"/>
        <v>43.6956246</v>
      </c>
      <c r="E539" t="str">
        <f t="shared" si="66"/>
        <v>7.259380900000001</v>
      </c>
      <c r="F539" t="str">
        <f t="shared" si="67"/>
        <v>Le Courrier franco-italien  [Texte imprimé]</v>
      </c>
      <c r="G539" t="str">
        <f t="shared" si="68"/>
        <v>Le Courrier franco-italien</v>
      </c>
      <c r="H539" t="str">
        <f t="shared" si="69"/>
        <v>2124-9113</v>
      </c>
      <c r="I539" t="str">
        <f t="shared" si="70"/>
        <v>no. 11 (25-jan-1923)</v>
      </c>
    </row>
    <row r="540" spans="1:9" x14ac:dyDescent="0.25">
      <c r="A540" t="str">
        <f>"140577947"</f>
        <v>140577947</v>
      </c>
      <c r="B540" t="str">
        <f t="shared" si="71"/>
        <v>060885105</v>
      </c>
      <c r="C540" t="str">
        <f t="shared" si="64"/>
        <v>NICE-Bibl.Chevalier de Cessole</v>
      </c>
      <c r="D540" t="str">
        <f t="shared" si="65"/>
        <v>43.6956246</v>
      </c>
      <c r="E540" t="str">
        <f t="shared" si="66"/>
        <v>7.259380900000001</v>
      </c>
      <c r="F540" t="str">
        <f t="shared" si="67"/>
        <v>Le Soleil de Nice  [Texte imprimé]</v>
      </c>
      <c r="G540" t="str">
        <f t="shared" si="68"/>
        <v>Le Soleil de Nice</v>
      </c>
      <c r="H540" t="str">
        <f t="shared" si="69"/>
        <v>2138-2239</v>
      </c>
      <c r="I540" t="str">
        <f t="shared" si="70"/>
        <v>no. 2 (5-avr-1927)</v>
      </c>
    </row>
    <row r="541" spans="1:9" x14ac:dyDescent="0.25">
      <c r="A541" t="str">
        <f>"03794634X"</f>
        <v>03794634X</v>
      </c>
      <c r="B541" t="str">
        <f t="shared" si="71"/>
        <v>991386201</v>
      </c>
      <c r="C541" t="str">
        <f t="shared" si="64"/>
        <v>MONACO-Bibl.Louis Notari</v>
      </c>
      <c r="D541" t="str">
        <f t="shared" si="65"/>
        <v>43.7351319</v>
      </c>
      <c r="E541" t="str">
        <f t="shared" si="66"/>
        <v>7.420563100000001</v>
      </c>
      <c r="F541" t="str">
        <f t="shared" si="67"/>
        <v>Petits échos du Collège séraphique de Monte-Carlo  [Texte imprimé]</v>
      </c>
      <c r="G541" t="str">
        <f t="shared" si="68"/>
        <v>Petits échos du Collège séraphique de Monte-Carlo</v>
      </c>
      <c r="H541" t="str">
        <f t="shared" si="69"/>
        <v>1010-4631</v>
      </c>
      <c r="I541" t="str">
        <f t="shared" si="70"/>
        <v>no. 7 (1928) - (1956)</v>
      </c>
    </row>
    <row r="542" spans="1:9" x14ac:dyDescent="0.25">
      <c r="A542" t="str">
        <f>"050921770"</f>
        <v>050921770</v>
      </c>
      <c r="B542" t="str">
        <f t="shared" si="71"/>
        <v>831375101</v>
      </c>
      <c r="C542" t="str">
        <f t="shared" si="64"/>
        <v>TOULON-Serv.Historique Marine</v>
      </c>
      <c r="D542" t="str">
        <f t="shared" si="65"/>
        <v>43.124228</v>
      </c>
      <c r="E542" t="str">
        <f t="shared" si="66"/>
        <v>5.928</v>
      </c>
      <c r="F542" t="str">
        <f t="shared" si="67"/>
        <v>Encre  [Texte imprimé]</v>
      </c>
      <c r="G542" t="str">
        <f t="shared" si="68"/>
        <v>Encre</v>
      </c>
      <c r="H542" t="str">
        <f t="shared" si="69"/>
        <v>0999-9027</v>
      </c>
      <c r="I542" t="str">
        <f t="shared" si="70"/>
        <v>no. 1 (1992)-....</v>
      </c>
    </row>
    <row r="543" spans="1:9" x14ac:dyDescent="0.25">
      <c r="A543" t="str">
        <f>"050926705"</f>
        <v>050926705</v>
      </c>
      <c r="B543" t="str">
        <f t="shared" si="71"/>
        <v>831375101</v>
      </c>
      <c r="C543" t="str">
        <f t="shared" si="64"/>
        <v>TOULON-Serv.Historique Marine</v>
      </c>
      <c r="D543" t="str">
        <f t="shared" si="65"/>
        <v>43.124228</v>
      </c>
      <c r="E543" t="str">
        <f t="shared" si="66"/>
        <v>5.928</v>
      </c>
      <c r="F543" t="str">
        <f t="shared" si="67"/>
        <v>Le Moniteur du marin en Provence  [Texte imprimé]</v>
      </c>
      <c r="G543" t="str">
        <f t="shared" si="68"/>
        <v>Le Moniteur du marin en Provence</v>
      </c>
      <c r="H543" t="str">
        <f t="shared" si="69"/>
        <v>2020-9886</v>
      </c>
      <c r="I543" t="str">
        <f t="shared" si="70"/>
        <v>(1940) - (1942) [lac.]</v>
      </c>
    </row>
    <row r="544" spans="1:9" x14ac:dyDescent="0.25">
      <c r="A544" t="str">
        <f>"156136171"</f>
        <v>156136171</v>
      </c>
      <c r="B544" t="str">
        <f t="shared" si="71"/>
        <v>060885105</v>
      </c>
      <c r="C544" t="str">
        <f t="shared" ref="C544:C607" si="72">_xlfn.FILTERXML(_xlfn.WEBSERVICE("http://www.sudoc.fr/services/multiwhere/"&amp;A544),"//query/result/library/shortname")</f>
        <v>NICE-Bibl.Chevalier de Cessole</v>
      </c>
      <c r="D544" t="str">
        <f t="shared" ref="D544:D607" si="73">_xlfn.FILTERXML(_xlfn.WEBSERVICE("http://www.sudoc.fr/services/multiwhere/"&amp;A544),"//query/result/library/latitude")</f>
        <v>43.6956246</v>
      </c>
      <c r="E544" t="str">
        <f t="shared" ref="E544:E607" si="74">_xlfn.FILTERXML(_xlfn.WEBSERVICE("http://www.sudoc.fr/services/multiwhere/"&amp;A544),"//query/result/library/longitude")</f>
        <v>7.259380900000001</v>
      </c>
      <c r="F544" t="str">
        <f t="shared" ref="F544:F607" si="75">_xlfn.FILTERXML(_xlfn.WEBSERVICE("http://www.sudoc.fr/"&amp;A544&amp;".rdf"),"//bibo:Periodical/dc:title")</f>
        <v>L'Opposition niçoise  [Texte imprimé]</v>
      </c>
      <c r="G544" t="str">
        <f t="shared" ref="G544:G607" si="76">_xlfn.FILTERXML(_xlfn.WEBSERVICE("http://www.sudoc.fr/"&amp;A544&amp;".abes"),"//datafield[@tag='200']/subfield[@code='a']")</f>
        <v>L'Opposition niçoise</v>
      </c>
      <c r="H544" t="str">
        <f t="shared" ref="H544:H607" si="77">_xlfn.FILTERXML(_xlfn.WEBSERVICE("http://www.sudoc.fr/"&amp;A544&amp;".abes"),"//datafield[@tag='011']/subfield[@code='a']")</f>
        <v>2133-3319</v>
      </c>
      <c r="I544" t="str">
        <f t="shared" ref="I544:I607" si="78">_xlfn.FILTERXML(_xlfn.WEBSERVICE("http://www.sudoc.fr/"&amp;A544&amp;".abes"),"//datafield[@tag='955']/subfield[@code='r']")</f>
        <v>no. 1 (20-jul-1892) - no. 42  (16-avr-1893)</v>
      </c>
    </row>
    <row r="545" spans="1:9" x14ac:dyDescent="0.25">
      <c r="A545" t="str">
        <f>"037950460"</f>
        <v>037950460</v>
      </c>
      <c r="B545" t="str">
        <f t="shared" si="71"/>
        <v>991386201</v>
      </c>
      <c r="C545" t="str">
        <f t="shared" si="72"/>
        <v>MONACO-Bibl.Louis Notari</v>
      </c>
      <c r="D545" t="str">
        <f t="shared" si="73"/>
        <v>43.7351319</v>
      </c>
      <c r="E545" t="str">
        <f t="shared" si="74"/>
        <v>7.420563100000001</v>
      </c>
      <c r="F545" t="str">
        <f t="shared" si="75"/>
        <v>Proche-Orient économique  [Texte imprimé]</v>
      </c>
      <c r="G545" t="str">
        <f t="shared" si="76"/>
        <v>Proche-Orient économique</v>
      </c>
      <c r="H545" t="str">
        <f t="shared" si="77"/>
        <v>1011-1239</v>
      </c>
      <c r="I545" t="str">
        <f t="shared" si="78"/>
        <v>vol. 1 no. 1 (1974) - (fev-1981)</v>
      </c>
    </row>
    <row r="546" spans="1:9" x14ac:dyDescent="0.25">
      <c r="A546" t="str">
        <f>"048884243"</f>
        <v>048884243</v>
      </c>
      <c r="B546" t="str">
        <f t="shared" si="71"/>
        <v>831375101</v>
      </c>
      <c r="C546" t="str">
        <f t="shared" si="72"/>
        <v>TOULON-Serv.Historique Marine</v>
      </c>
      <c r="D546" t="str">
        <f t="shared" si="73"/>
        <v>43.124228</v>
      </c>
      <c r="E546" t="str">
        <f t="shared" si="74"/>
        <v>5.928</v>
      </c>
      <c r="F546" t="str">
        <f t="shared" si="75"/>
        <v>Activité  [Texte imprimé]  / DICTIM</v>
      </c>
      <c r="G546" t="str">
        <f t="shared" si="76"/>
        <v>Activité</v>
      </c>
      <c r="H546" t="str">
        <f t="shared" si="77"/>
        <v>0292-0921</v>
      </c>
      <c r="I546" t="str">
        <f t="shared" si="78"/>
        <v>(1989) - (1998)</v>
      </c>
    </row>
    <row r="547" spans="1:9" x14ac:dyDescent="0.25">
      <c r="A547" t="str">
        <f>"156131978"</f>
        <v>156131978</v>
      </c>
      <c r="B547" t="str">
        <f t="shared" si="71"/>
        <v>060885105</v>
      </c>
      <c r="C547" t="str">
        <f t="shared" si="72"/>
        <v>NICE-Bibl.Chevalier de Cessole</v>
      </c>
      <c r="D547" t="str">
        <f t="shared" si="73"/>
        <v>43.6956246</v>
      </c>
      <c r="E547" t="str">
        <f t="shared" si="74"/>
        <v>7.259380900000001</v>
      </c>
      <c r="F547" t="str">
        <f t="shared" si="75"/>
        <v>Nice-touriste  [Texte imprimé]</v>
      </c>
      <c r="G547" t="str">
        <f t="shared" si="76"/>
        <v>Nice-touriste</v>
      </c>
      <c r="H547" t="str">
        <f t="shared" si="77"/>
        <v>2132-8471</v>
      </c>
      <c r="I547" t="str">
        <f t="shared" si="78"/>
        <v>no. 1 (3-avr-1923)</v>
      </c>
    </row>
    <row r="548" spans="1:9" x14ac:dyDescent="0.25">
      <c r="A548" t="str">
        <f>"124278477"</f>
        <v>124278477</v>
      </c>
      <c r="B548" t="str">
        <f t="shared" si="71"/>
        <v>060885105</v>
      </c>
      <c r="C548" t="str">
        <f t="shared" si="72"/>
        <v>NICE-Bibl.Chevalier de Cessole</v>
      </c>
      <c r="D548" t="str">
        <f t="shared" si="73"/>
        <v>43.6956246</v>
      </c>
      <c r="E548" t="str">
        <f t="shared" si="74"/>
        <v>7.259380900000001</v>
      </c>
      <c r="F548" t="str">
        <f t="shared" si="75"/>
        <v>La France méridionale  [Texte imprimé]</v>
      </c>
      <c r="G548" t="str">
        <f t="shared" si="76"/>
        <v>La France méridionale</v>
      </c>
      <c r="H548" t="str">
        <f t="shared" si="77"/>
        <v>1963-8671</v>
      </c>
      <c r="I548" t="str">
        <f t="shared" si="78"/>
        <v>no. 285 (8-oct-1882) - no. 36  (5-fev-1883) [lacunes]</v>
      </c>
    </row>
    <row r="549" spans="1:9" x14ac:dyDescent="0.25">
      <c r="A549" t="str">
        <f>"044718888"</f>
        <v>044718888</v>
      </c>
      <c r="B549" t="str">
        <f t="shared" si="71"/>
        <v>831495401</v>
      </c>
      <c r="C549" t="str">
        <f t="shared" si="72"/>
        <v>VILLECROZE-Acad. musicale</v>
      </c>
      <c r="D549" t="str">
        <f t="shared" si="73"/>
        <v>43.5817048</v>
      </c>
      <c r="E549" t="str">
        <f t="shared" si="74"/>
        <v>6.2750889</v>
      </c>
      <c r="F549" t="e">
        <f t="shared" si="75"/>
        <v>#VALUE!</v>
      </c>
      <c r="G549" t="str">
        <f t="shared" si="76"/>
        <v>Analecta musicologica</v>
      </c>
      <c r="H549" t="str">
        <f t="shared" si="77"/>
        <v>0569-9827</v>
      </c>
      <c r="I549" t="str">
        <f t="shared" si="78"/>
        <v>vol. 1 (1963) - vol. 19  (1979)</v>
      </c>
    </row>
    <row r="550" spans="1:9" x14ac:dyDescent="0.25">
      <c r="A550" t="str">
        <f>"124278558"</f>
        <v>124278558</v>
      </c>
      <c r="B550" t="str">
        <f t="shared" si="71"/>
        <v>060885105</v>
      </c>
      <c r="C550" t="str">
        <f t="shared" si="72"/>
        <v>NICE-Bibl.Chevalier de Cessole</v>
      </c>
      <c r="D550" t="str">
        <f t="shared" si="73"/>
        <v>43.6956246</v>
      </c>
      <c r="E550" t="str">
        <f t="shared" si="74"/>
        <v>7.259380900000001</v>
      </c>
      <c r="F550" t="str">
        <f t="shared" si="75"/>
        <v>La Lumière du littoral  [Texte imprimé]</v>
      </c>
      <c r="G550" t="str">
        <f t="shared" si="76"/>
        <v>La Lumière du littoral</v>
      </c>
      <c r="H550" t="str">
        <f t="shared" si="77"/>
        <v>1963-8752</v>
      </c>
      <c r="I550" t="str">
        <f t="shared" si="78"/>
        <v>no. 1 (29-sep-1885) - no. 3  (3-oct-1885)</v>
      </c>
    </row>
    <row r="551" spans="1:9" x14ac:dyDescent="0.25">
      <c r="A551" t="str">
        <f>"037396366"</f>
        <v>037396366</v>
      </c>
      <c r="B551" t="str">
        <f t="shared" si="71"/>
        <v>991385201</v>
      </c>
      <c r="C551" t="str">
        <f t="shared" si="72"/>
        <v>MONACO-Jardin exotique</v>
      </c>
      <c r="D551" t="str">
        <f t="shared" si="73"/>
        <v>43.7310908</v>
      </c>
      <c r="E551" t="str">
        <f t="shared" si="74"/>
        <v>7.410747499999999</v>
      </c>
      <c r="F551" t="str">
        <f t="shared" si="75"/>
        <v>Sedum society newsletter  [Texte imprimé]</v>
      </c>
      <c r="G551" t="str">
        <f t="shared" si="76"/>
        <v>Sedum society newsletter</v>
      </c>
      <c r="H551" t="e">
        <f t="shared" si="77"/>
        <v>#VALUE!</v>
      </c>
      <c r="I551" t="str">
        <f t="shared" si="78"/>
        <v>no. 1 (1987)-....</v>
      </c>
    </row>
    <row r="552" spans="1:9" x14ac:dyDescent="0.25">
      <c r="A552" t="str">
        <f>"048886890"</f>
        <v>048886890</v>
      </c>
      <c r="B552" t="str">
        <f t="shared" si="71"/>
        <v>831375101</v>
      </c>
      <c r="C552" t="str">
        <f t="shared" si="72"/>
        <v>TOULON-Serv.Historique Marine</v>
      </c>
      <c r="D552" t="str">
        <f t="shared" si="73"/>
        <v>43.124228</v>
      </c>
      <c r="E552" t="str">
        <f t="shared" si="74"/>
        <v>5.928</v>
      </c>
      <c r="F552" t="str">
        <f t="shared" si="75"/>
        <v>Bulletin de sécurité aérienne de l'Aéronautique navale  [Texte imprimé]</v>
      </c>
      <c r="G552" t="str">
        <f t="shared" si="76"/>
        <v>Bulletin de sécurité aérienne de l'Aéronautique navale</v>
      </c>
      <c r="H552" t="str">
        <f t="shared" si="77"/>
        <v>0999-9078</v>
      </c>
      <c r="I552" t="str">
        <f t="shared" si="78"/>
        <v>no. 66 (1972) - no. 77  (1977)</v>
      </c>
    </row>
    <row r="553" spans="1:9" x14ac:dyDescent="0.25">
      <c r="A553" t="str">
        <f>"136039545"</f>
        <v>136039545</v>
      </c>
      <c r="B553" t="str">
        <f t="shared" si="71"/>
        <v>060885105</v>
      </c>
      <c r="C553" t="str">
        <f t="shared" si="72"/>
        <v>NICE-Bibl.Chevalier de Cessole</v>
      </c>
      <c r="D553" t="str">
        <f t="shared" si="73"/>
        <v>43.6956246</v>
      </c>
      <c r="E553" t="str">
        <f t="shared" si="74"/>
        <v>7.259380900000001</v>
      </c>
      <c r="F553" t="str">
        <f t="shared" si="75"/>
        <v>Bulletin de l'Association patriotique des anciens combattants de 1870-1871 des Alpes-maritimes  [Texte imprimé]</v>
      </c>
      <c r="G553" t="str">
        <f t="shared" si="76"/>
        <v>Bulletin de l'Association patriotique des anciens combattants de 1870-1871 des Alpes-maritimes</v>
      </c>
      <c r="H553" t="str">
        <f t="shared" si="77"/>
        <v>2122-496X</v>
      </c>
      <c r="I553" t="str">
        <f t="shared" si="78"/>
        <v>no. 1 (15-dec-1899)</v>
      </c>
    </row>
    <row r="554" spans="1:9" x14ac:dyDescent="0.25">
      <c r="A554" t="str">
        <f>"137908105"</f>
        <v>137908105</v>
      </c>
      <c r="B554" t="str">
        <f t="shared" si="71"/>
        <v>060885105</v>
      </c>
      <c r="C554" t="str">
        <f t="shared" si="72"/>
        <v>NICE-Bibl.Chevalier de Cessole</v>
      </c>
      <c r="D554" t="str">
        <f t="shared" si="73"/>
        <v>43.6956246</v>
      </c>
      <c r="E554" t="str">
        <f t="shared" si="74"/>
        <v>7.259380900000001</v>
      </c>
      <c r="F554" t="str">
        <f t="shared" si="75"/>
        <v>Nice l'hiver  [Texte imprimé]</v>
      </c>
      <c r="G554" t="str">
        <f t="shared" si="76"/>
        <v>Nice l'hiver</v>
      </c>
      <c r="H554" t="str">
        <f t="shared" si="77"/>
        <v>2132-8005</v>
      </c>
      <c r="I554" t="str">
        <f t="shared" si="78"/>
        <v>no. 211 (18-fev-1904)</v>
      </c>
    </row>
    <row r="555" spans="1:9" x14ac:dyDescent="0.25">
      <c r="A555" t="str">
        <f>"036327514"</f>
        <v>036327514</v>
      </c>
      <c r="B555" t="str">
        <f t="shared" si="71"/>
        <v>991385301</v>
      </c>
      <c r="C555" t="str">
        <f t="shared" si="72"/>
        <v>MONACO-Musée Océanographique</v>
      </c>
      <c r="D555" t="str">
        <f t="shared" si="73"/>
        <v>43.7310033</v>
      </c>
      <c r="E555" t="str">
        <f t="shared" si="74"/>
        <v>7.425491600000001</v>
      </c>
      <c r="F555" t="str">
        <f t="shared" si="75"/>
        <v>Marine aquarist  [Texte imprimé]</v>
      </c>
      <c r="G555" t="str">
        <f t="shared" si="76"/>
        <v>Marine aquarist</v>
      </c>
      <c r="H555" t="e">
        <f t="shared" si="77"/>
        <v>#VALUE!</v>
      </c>
      <c r="I555" t="str">
        <f t="shared" si="78"/>
        <v>(1972) - (1978)</v>
      </c>
    </row>
    <row r="556" spans="1:9" x14ac:dyDescent="0.25">
      <c r="A556" t="str">
        <f>"039004864"</f>
        <v>039004864</v>
      </c>
      <c r="B556" t="str">
        <f t="shared" si="71"/>
        <v>991385301</v>
      </c>
      <c r="C556" t="str">
        <f t="shared" si="72"/>
        <v>MONACO-Musée Océanographique</v>
      </c>
      <c r="D556" t="str">
        <f t="shared" si="73"/>
        <v>43.7310033</v>
      </c>
      <c r="E556" t="str">
        <f t="shared" si="74"/>
        <v>7.425491600000001</v>
      </c>
      <c r="F556" t="str">
        <f t="shared" si="75"/>
        <v>Accomplishment report  [Texte imprimé]  / Bureau of Fisheries and Aquatic Resources</v>
      </c>
      <c r="G556" t="str">
        <f t="shared" si="76"/>
        <v>Accomplishment report</v>
      </c>
      <c r="H556" t="str">
        <f t="shared" si="77"/>
        <v>0115-3889</v>
      </c>
      <c r="I556" t="str">
        <f t="shared" si="78"/>
        <v>(1982)-....</v>
      </c>
    </row>
    <row r="557" spans="1:9" x14ac:dyDescent="0.25">
      <c r="A557" t="str">
        <f>"036336394"</f>
        <v>036336394</v>
      </c>
      <c r="B557" t="str">
        <f t="shared" si="71"/>
        <v>991385301</v>
      </c>
      <c r="C557" t="str">
        <f t="shared" si="72"/>
        <v>MONACO-Musée Océanographique</v>
      </c>
      <c r="D557" t="str">
        <f t="shared" si="73"/>
        <v>43.7310033</v>
      </c>
      <c r="E557" t="str">
        <f t="shared" si="74"/>
        <v>7.425491600000001</v>
      </c>
      <c r="F557" t="str">
        <f t="shared" si="75"/>
        <v>Meteorological service. Contributions</v>
      </c>
      <c r="G557" t="str">
        <f t="shared" si="76"/>
        <v>Meteorological service. Contributions</v>
      </c>
      <c r="H557" t="e">
        <f t="shared" si="77"/>
        <v>#VALUE!</v>
      </c>
      <c r="I557" t="e">
        <f t="shared" si="78"/>
        <v>#VALUE!</v>
      </c>
    </row>
    <row r="558" spans="1:9" x14ac:dyDescent="0.25">
      <c r="A558" t="str">
        <f>"039051641"</f>
        <v>039051641</v>
      </c>
      <c r="B558" t="str">
        <f t="shared" si="71"/>
        <v>831376201</v>
      </c>
      <c r="C558" t="str">
        <f t="shared" si="72"/>
        <v>TOULON-BM</v>
      </c>
      <c r="D558" t="str">
        <f t="shared" si="73"/>
        <v>43.0823215</v>
      </c>
      <c r="E558" t="str">
        <f t="shared" si="74"/>
        <v>5.920052699999999</v>
      </c>
      <c r="F558" t="str">
        <f t="shared" si="75"/>
        <v>Le Tambourin provençal  [Texte imprimé]</v>
      </c>
      <c r="G558" t="str">
        <f t="shared" si="76"/>
        <v>Le Tambourin provençal</v>
      </c>
      <c r="H558" t="str">
        <f t="shared" si="77"/>
        <v>2018-3496</v>
      </c>
      <c r="I558" t="str">
        <f t="shared" si="78"/>
        <v>no. 12 (1873) - no. 14  (1873)</v>
      </c>
    </row>
    <row r="559" spans="1:9" x14ac:dyDescent="0.25">
      <c r="A559" t="str">
        <f>"136625568"</f>
        <v>136625568</v>
      </c>
      <c r="B559" t="str">
        <f t="shared" si="71"/>
        <v>060885105</v>
      </c>
      <c r="C559" t="str">
        <f t="shared" si="72"/>
        <v>NICE-Bibl.Chevalier de Cessole</v>
      </c>
      <c r="D559" t="str">
        <f t="shared" si="73"/>
        <v>43.6956246</v>
      </c>
      <c r="E559" t="str">
        <f t="shared" si="74"/>
        <v>7.259380900000001</v>
      </c>
      <c r="F559" t="str">
        <f t="shared" si="75"/>
        <v>L'Etoile de Nice  [Texte imprimé]</v>
      </c>
      <c r="G559" t="str">
        <f t="shared" si="76"/>
        <v>L'Etoile de Nice</v>
      </c>
      <c r="H559" t="str">
        <f t="shared" si="77"/>
        <v>2127-5505</v>
      </c>
      <c r="I559" t="str">
        <f t="shared" si="78"/>
        <v>no. 17 (23-sep-1896) - no. 34  (10-oct-1896) [Lac.]</v>
      </c>
    </row>
    <row r="560" spans="1:9" x14ac:dyDescent="0.25">
      <c r="A560" t="str">
        <f>"039034755"</f>
        <v>039034755</v>
      </c>
      <c r="B560" t="str">
        <f t="shared" si="71"/>
        <v>831376201</v>
      </c>
      <c r="C560" t="str">
        <f t="shared" si="72"/>
        <v>TOULON-BM</v>
      </c>
      <c r="D560" t="str">
        <f t="shared" si="73"/>
        <v>43.0823215</v>
      </c>
      <c r="E560" t="str">
        <f t="shared" si="74"/>
        <v>5.920052699999999</v>
      </c>
      <c r="F560" t="str">
        <f t="shared" si="75"/>
        <v>Le Patriote de Toulon  [Texte imprimé]</v>
      </c>
      <c r="G560" t="str">
        <f t="shared" si="76"/>
        <v>Le Patriote de Toulon</v>
      </c>
      <c r="H560" t="str">
        <f t="shared" si="77"/>
        <v>2017-8581</v>
      </c>
      <c r="I560" t="str">
        <f t="shared" si="78"/>
        <v>no. 1 (1882) - no. 29  (1882) [lac.5%]</v>
      </c>
    </row>
    <row r="561" spans="1:9" x14ac:dyDescent="0.25">
      <c r="A561" t="str">
        <f>"037396315"</f>
        <v>037396315</v>
      </c>
      <c r="B561" t="str">
        <f t="shared" si="71"/>
        <v>991385301</v>
      </c>
      <c r="C561" t="str">
        <f t="shared" si="72"/>
        <v>MONACO-Musée Océanographique</v>
      </c>
      <c r="D561" t="str">
        <f t="shared" si="73"/>
        <v>43.7310033</v>
      </c>
      <c r="E561" t="str">
        <f t="shared" si="74"/>
        <v>7.425491600000001</v>
      </c>
      <c r="F561" t="str">
        <f t="shared" si="75"/>
        <v>Compendio anual de productividad  [Texte imprimé]  / Centro de investigación científica y de educación superior de Ensenada</v>
      </c>
      <c r="G561" t="str">
        <f t="shared" si="76"/>
        <v>Compendio anual de productividad</v>
      </c>
      <c r="H561" t="e">
        <f t="shared" si="77"/>
        <v>#VALUE!</v>
      </c>
      <c r="I561" t="str">
        <f t="shared" si="78"/>
        <v>(1990)-.... = (1989)</v>
      </c>
    </row>
    <row r="562" spans="1:9" x14ac:dyDescent="0.25">
      <c r="A562" t="str">
        <f>"039052362"</f>
        <v>039052362</v>
      </c>
      <c r="B562" t="str">
        <f t="shared" si="71"/>
        <v>831376201</v>
      </c>
      <c r="C562" t="str">
        <f t="shared" si="72"/>
        <v>TOULON-BM</v>
      </c>
      <c r="D562" t="str">
        <f t="shared" si="73"/>
        <v>43.0823215</v>
      </c>
      <c r="E562" t="str">
        <f t="shared" si="74"/>
        <v>5.920052699999999</v>
      </c>
      <c r="F562" t="str">
        <f t="shared" si="75"/>
        <v>Le Diable vert  [Texte imprimé]</v>
      </c>
      <c r="G562" t="str">
        <f t="shared" si="76"/>
        <v>Le Diable vert</v>
      </c>
      <c r="H562" t="str">
        <f t="shared" si="77"/>
        <v>2016-8616</v>
      </c>
      <c r="I562" t="str">
        <f t="shared" si="78"/>
        <v>no. 1 (1891) ; no. 8 (1891) ; no. 25 (1892) ; no. 30 (1892)</v>
      </c>
    </row>
    <row r="563" spans="1:9" x14ac:dyDescent="0.25">
      <c r="A563" t="str">
        <f>"039287424"</f>
        <v>039287424</v>
      </c>
      <c r="B563" t="str">
        <f t="shared" si="71"/>
        <v>991386201</v>
      </c>
      <c r="C563" t="str">
        <f t="shared" si="72"/>
        <v>MONACO-Bibl.Louis Notari</v>
      </c>
      <c r="D563" t="str">
        <f t="shared" si="73"/>
        <v>43.7351319</v>
      </c>
      <c r="E563" t="str">
        <f t="shared" si="74"/>
        <v>7.420563100000001</v>
      </c>
      <c r="F563" t="str">
        <f t="shared" si="75"/>
        <v>Society  [Texte imprimé]</v>
      </c>
      <c r="G563" t="str">
        <f t="shared" si="76"/>
        <v>Society</v>
      </c>
      <c r="H563" t="str">
        <f t="shared" si="77"/>
        <v>0256-9590</v>
      </c>
      <c r="I563" t="str">
        <f t="shared" si="78"/>
        <v>vol. 1 (1981)-....</v>
      </c>
    </row>
    <row r="564" spans="1:9" x14ac:dyDescent="0.25">
      <c r="A564" t="str">
        <f>"048881937"</f>
        <v>048881937</v>
      </c>
      <c r="B564" t="str">
        <f t="shared" si="71"/>
        <v>831375101</v>
      </c>
      <c r="C564" t="str">
        <f t="shared" si="72"/>
        <v>TOULON-Serv.Historique Marine</v>
      </c>
      <c r="D564" t="str">
        <f t="shared" si="73"/>
        <v>43.124228</v>
      </c>
      <c r="E564" t="str">
        <f t="shared" si="74"/>
        <v>5.928</v>
      </c>
      <c r="F564" t="str">
        <f t="shared" si="75"/>
        <v>Bulletin du Service machines  [Texte imprimé]  / Ministère de la Marine</v>
      </c>
      <c r="G564" t="str">
        <f t="shared" si="76"/>
        <v>Bulletin du Service machines</v>
      </c>
      <c r="H564" t="str">
        <f t="shared" si="77"/>
        <v>2020-4914</v>
      </c>
      <c r="I564" t="str">
        <f t="shared" si="78"/>
        <v>no. 3 (1925) - no. 28  (1938)</v>
      </c>
    </row>
    <row r="565" spans="1:9" x14ac:dyDescent="0.25">
      <c r="A565" t="str">
        <f>"038660393"</f>
        <v>038660393</v>
      </c>
      <c r="B565" t="str">
        <f t="shared" si="71"/>
        <v>831376201</v>
      </c>
      <c r="C565" t="str">
        <f t="shared" si="72"/>
        <v>TOULON-BM</v>
      </c>
      <c r="D565" t="str">
        <f t="shared" si="73"/>
        <v>43.0823215</v>
      </c>
      <c r="E565" t="str">
        <f t="shared" si="74"/>
        <v>5.920052699999999</v>
      </c>
      <c r="F565" t="str">
        <f t="shared" si="75"/>
        <v>Bulletin d'information du Centre universitaire de Toulon et du Var  [Texte imprimé]</v>
      </c>
      <c r="G565" t="str">
        <f t="shared" si="76"/>
        <v>Bulletin d'information du Centre universitaire de Toulon et du Var</v>
      </c>
      <c r="H565" t="str">
        <f t="shared" si="77"/>
        <v>1162-9746</v>
      </c>
      <c r="I565" t="str">
        <f t="shared" si="78"/>
        <v>no. 1 (1973) - no. 14  (1975)</v>
      </c>
    </row>
    <row r="566" spans="1:9" x14ac:dyDescent="0.25">
      <c r="A566" t="str">
        <f>"039035174"</f>
        <v>039035174</v>
      </c>
      <c r="B566" t="str">
        <f t="shared" si="71"/>
        <v>831376201</v>
      </c>
      <c r="C566" t="str">
        <f t="shared" si="72"/>
        <v>TOULON-BM</v>
      </c>
      <c r="D566" t="str">
        <f t="shared" si="73"/>
        <v>43.0823215</v>
      </c>
      <c r="E566" t="str">
        <f t="shared" si="74"/>
        <v>5.920052699999999</v>
      </c>
      <c r="F566" t="str">
        <f t="shared" si="75"/>
        <v>Le Mousse  [Texte imprimé]  : journal-programme des théâtres... musique, littérature, beaux-arts</v>
      </c>
      <c r="G566" t="str">
        <f t="shared" si="76"/>
        <v>Le Mousse</v>
      </c>
      <c r="H566" t="str">
        <f t="shared" si="77"/>
        <v>2017-6139</v>
      </c>
      <c r="I566" t="str">
        <f t="shared" si="78"/>
        <v>no. 17 (1865) ; no. 4 (1867) ; no. 10 (1867)</v>
      </c>
    </row>
    <row r="567" spans="1:9" x14ac:dyDescent="0.25">
      <c r="A567" t="str">
        <f>"039096467"</f>
        <v>039096467</v>
      </c>
      <c r="B567" t="str">
        <f t="shared" si="71"/>
        <v>831376201</v>
      </c>
      <c r="C567" t="str">
        <f t="shared" si="72"/>
        <v>TOULON-BM</v>
      </c>
      <c r="D567" t="str">
        <f t="shared" si="73"/>
        <v>43.0823215</v>
      </c>
      <c r="E567" t="str">
        <f t="shared" si="74"/>
        <v>5.920052699999999</v>
      </c>
      <c r="F567" t="str">
        <f t="shared" si="75"/>
        <v>La Guêpe de Toulon  [Texte imprimé]</v>
      </c>
      <c r="G567" t="str">
        <f t="shared" si="76"/>
        <v>La Guêpe de Toulon</v>
      </c>
      <c r="H567" t="str">
        <f t="shared" si="77"/>
        <v>2017-2370</v>
      </c>
      <c r="I567" t="str">
        <f t="shared" si="78"/>
        <v>no. 1 (1873) - no. 2  (1873) ; no. 1 (1874) - no. 27  (1875)</v>
      </c>
    </row>
    <row r="568" spans="1:9" x14ac:dyDescent="0.25">
      <c r="A568" t="str">
        <f>"140301402"</f>
        <v>140301402</v>
      </c>
      <c r="B568" t="str">
        <f t="shared" si="71"/>
        <v>060696201</v>
      </c>
      <c r="C568" t="str">
        <f t="shared" si="72"/>
        <v>GRASSE-Villa St Hilaire</v>
      </c>
      <c r="D568" t="str">
        <f t="shared" si="73"/>
        <v>43.65711599999999</v>
      </c>
      <c r="E568" t="str">
        <f t="shared" si="74"/>
        <v>6.9183745</v>
      </c>
      <c r="F568" t="str">
        <f t="shared" si="75"/>
        <v>La Voix du peuple  [Texte imprimé]</v>
      </c>
      <c r="G568" t="str">
        <f t="shared" si="76"/>
        <v>La Voix du peuple</v>
      </c>
      <c r="H568" t="str">
        <f t="shared" si="77"/>
        <v>2140-2515</v>
      </c>
      <c r="I568" t="str">
        <f t="shared" si="78"/>
        <v>no. 1 (29-sep-1896) - no. 24  (25-jun-1927) [Lacunaire entre les années 1916 et 1918]</v>
      </c>
    </row>
    <row r="569" spans="1:9" x14ac:dyDescent="0.25">
      <c r="A569" t="str">
        <f>"190953489"</f>
        <v>190953489</v>
      </c>
      <c r="B569" t="str">
        <f t="shared" si="71"/>
        <v>060696201</v>
      </c>
      <c r="C569" t="str">
        <f t="shared" si="72"/>
        <v>GRASSE-Villa St Hilaire</v>
      </c>
      <c r="D569" t="str">
        <f t="shared" si="73"/>
        <v>43.65711599999999</v>
      </c>
      <c r="E569" t="str">
        <f t="shared" si="74"/>
        <v>6.9183745</v>
      </c>
      <c r="F569" t="str">
        <f t="shared" si="75"/>
        <v>Economie 06  : revue trimestrielle d'informations économiques des Alpes-Maritimes</v>
      </c>
      <c r="G569" t="str">
        <f t="shared" si="76"/>
        <v>Economie 06</v>
      </c>
      <c r="H569" t="str">
        <f t="shared" si="77"/>
        <v>2555-2317</v>
      </c>
      <c r="I569" t="str">
        <f t="shared" si="78"/>
        <v>(oct-1968) - (oct-1970) [Lacunaire]</v>
      </c>
    </row>
    <row r="570" spans="1:9" x14ac:dyDescent="0.25">
      <c r="A570" t="str">
        <f>"039924149"</f>
        <v>039924149</v>
      </c>
      <c r="B570" t="str">
        <f t="shared" si="71"/>
        <v>991385301</v>
      </c>
      <c r="C570" t="str">
        <f t="shared" si="72"/>
        <v>MONACO-Musée Océanographique</v>
      </c>
      <c r="D570" t="str">
        <f t="shared" si="73"/>
        <v>43.7310033</v>
      </c>
      <c r="E570" t="str">
        <f t="shared" si="74"/>
        <v>7.425491600000001</v>
      </c>
      <c r="F570" t="str">
        <f t="shared" si="75"/>
        <v>Bulletin des acquisitions  [Texte imprimé]  / Institut français de recherche pour l'exploitation de la mer</v>
      </c>
      <c r="G570" t="str">
        <f t="shared" si="76"/>
        <v>Bulletin des acquisitions</v>
      </c>
      <c r="H570" t="str">
        <f t="shared" si="77"/>
        <v>1154-9890</v>
      </c>
      <c r="I570" t="str">
        <f t="shared" si="78"/>
        <v>no. 85 (1985)-....</v>
      </c>
    </row>
    <row r="571" spans="1:9" x14ac:dyDescent="0.25">
      <c r="A571" t="str">
        <f>"124278639"</f>
        <v>124278639</v>
      </c>
      <c r="B571" t="str">
        <f t="shared" si="71"/>
        <v>060885105</v>
      </c>
      <c r="C571" t="str">
        <f t="shared" si="72"/>
        <v>NICE-Bibl.Chevalier de Cessole</v>
      </c>
      <c r="D571" t="str">
        <f t="shared" si="73"/>
        <v>43.6956246</v>
      </c>
      <c r="E571" t="str">
        <f t="shared" si="74"/>
        <v>7.259380900000001</v>
      </c>
      <c r="F571" t="str">
        <f t="shared" si="75"/>
        <v>L'Opinione di Nizza  [Texte imprimé]</v>
      </c>
      <c r="G571" t="str">
        <f t="shared" si="76"/>
        <v>L'Opinione di Nizza</v>
      </c>
      <c r="H571" t="str">
        <f t="shared" si="77"/>
        <v>1963-8833</v>
      </c>
      <c r="I571" t="str">
        <f t="shared" si="78"/>
        <v>no. 2 (22-jun-1871)</v>
      </c>
    </row>
    <row r="572" spans="1:9" x14ac:dyDescent="0.25">
      <c r="A572" t="str">
        <f>"039113701"</f>
        <v>039113701</v>
      </c>
      <c r="B572" t="str">
        <f t="shared" si="71"/>
        <v>831376201</v>
      </c>
      <c r="C572" t="str">
        <f t="shared" si="72"/>
        <v>TOULON-BM</v>
      </c>
      <c r="D572" t="str">
        <f t="shared" si="73"/>
        <v>43.0823215</v>
      </c>
      <c r="E572" t="str">
        <f t="shared" si="74"/>
        <v>5.920052699999999</v>
      </c>
      <c r="F572" t="str">
        <f t="shared" si="75"/>
        <v>La Nouvelle législation française ou recueil des loix. Ordre militaire, gardes nationales et marine  [Texte imprimé]</v>
      </c>
      <c r="G572" t="str">
        <f t="shared" si="76"/>
        <v>La Nouvelle législation française ou recueil des loix. Ordre militaire, gardes nationales et marine</v>
      </c>
      <c r="H572" t="e">
        <f t="shared" si="77"/>
        <v>#VALUE!</v>
      </c>
      <c r="I572" t="str">
        <f t="shared" si="78"/>
        <v>(1790) ; (1792)</v>
      </c>
    </row>
    <row r="573" spans="1:9" x14ac:dyDescent="0.25">
      <c r="A573" t="str">
        <f>"037744607"</f>
        <v>037744607</v>
      </c>
      <c r="B573" t="str">
        <f t="shared" si="71"/>
        <v>991385201</v>
      </c>
      <c r="C573" t="str">
        <f t="shared" si="72"/>
        <v>MONACO-Jardin exotique</v>
      </c>
      <c r="D573" t="str">
        <f t="shared" si="73"/>
        <v>43.7310908</v>
      </c>
      <c r="E573" t="str">
        <f t="shared" si="74"/>
        <v>7.410747499999999</v>
      </c>
      <c r="F573" t="str">
        <f t="shared" si="75"/>
        <v>Australian national journal  [Texte imprimé]</v>
      </c>
      <c r="G573" t="str">
        <f t="shared" si="76"/>
        <v>Australian national journal</v>
      </c>
      <c r="H573" t="str">
        <f t="shared" si="77"/>
        <v>0818-3074</v>
      </c>
      <c r="I573">
        <f t="shared" si="78"/>
        <v>-1983</v>
      </c>
    </row>
    <row r="574" spans="1:9" x14ac:dyDescent="0.25">
      <c r="A574" t="str">
        <f>"039034070"</f>
        <v>039034070</v>
      </c>
      <c r="B574" t="str">
        <f t="shared" si="71"/>
        <v>831376201</v>
      </c>
      <c r="C574" t="str">
        <f t="shared" si="72"/>
        <v>TOULON-BM</v>
      </c>
      <c r="D574" t="str">
        <f t="shared" si="73"/>
        <v>43.0823215</v>
      </c>
      <c r="E574" t="str">
        <f t="shared" si="74"/>
        <v>5.920052699999999</v>
      </c>
      <c r="F574" t="str">
        <f t="shared" si="75"/>
        <v>La Défense oléicole  [Texte imprimé]</v>
      </c>
      <c r="G574" t="str">
        <f t="shared" si="76"/>
        <v>La Défense oléicole</v>
      </c>
      <c r="H574" t="str">
        <f t="shared" si="77"/>
        <v>2016-842X</v>
      </c>
      <c r="I574" t="str">
        <f t="shared" si="78"/>
        <v>no. 5 (fev-1914)</v>
      </c>
    </row>
    <row r="575" spans="1:9" x14ac:dyDescent="0.25">
      <c r="A575" t="str">
        <f>"050927019"</f>
        <v>050927019</v>
      </c>
      <c r="B575" t="str">
        <f t="shared" si="71"/>
        <v>831375101</v>
      </c>
      <c r="C575" t="str">
        <f t="shared" si="72"/>
        <v>TOULON-Serv.Historique Marine</v>
      </c>
      <c r="D575" t="str">
        <f t="shared" si="73"/>
        <v>43.124228</v>
      </c>
      <c r="E575" t="str">
        <f t="shared" si="74"/>
        <v>5.928</v>
      </c>
      <c r="F575" t="str">
        <f t="shared" si="75"/>
        <v>Ships and the sea  [Texte imprimé]</v>
      </c>
      <c r="G575" t="str">
        <f t="shared" si="76"/>
        <v>Ships and the sea</v>
      </c>
      <c r="H575" t="e">
        <f t="shared" si="77"/>
        <v>#VALUE!</v>
      </c>
      <c r="I575" t="str">
        <f t="shared" si="78"/>
        <v>vol. 2 no. 6 (1953)</v>
      </c>
    </row>
    <row r="576" spans="1:9" x14ac:dyDescent="0.25">
      <c r="A576" t="str">
        <f>"038378221"</f>
        <v>038378221</v>
      </c>
      <c r="B576" t="str">
        <f t="shared" si="71"/>
        <v>060886101</v>
      </c>
      <c r="C576" t="str">
        <f t="shared" si="72"/>
        <v>NICE- BMVR Louis Nucéra</v>
      </c>
      <c r="D576" t="str">
        <f t="shared" si="73"/>
        <v>43.7015650</v>
      </c>
      <c r="E576" t="str">
        <f t="shared" si="74"/>
        <v>7.2786247</v>
      </c>
      <c r="F576" t="str">
        <f t="shared" si="75"/>
        <v>Encyclopédie de l'amateur d'oiseaux  [Texte imprimé]</v>
      </c>
      <c r="G576" t="str">
        <f t="shared" si="76"/>
        <v>Encyclopédie de l'amateur d'oiseaux</v>
      </c>
      <c r="H576" t="e">
        <f t="shared" si="77"/>
        <v>#VALUE!</v>
      </c>
      <c r="I576" t="str">
        <f t="shared" si="78"/>
        <v>vol. 1 no. 1 (1966) - vol. 3  no. 40  (1970)</v>
      </c>
    </row>
    <row r="577" spans="1:9" x14ac:dyDescent="0.25">
      <c r="A577" t="str">
        <f>"037979558"</f>
        <v>037979558</v>
      </c>
      <c r="B577" t="str">
        <f t="shared" si="71"/>
        <v>991386201</v>
      </c>
      <c r="C577" t="str">
        <f t="shared" si="72"/>
        <v>MONACO-Bibl.Louis Notari</v>
      </c>
      <c r="D577" t="str">
        <f t="shared" si="73"/>
        <v>43.7351319</v>
      </c>
      <c r="E577" t="str">
        <f t="shared" si="74"/>
        <v>7.420563100000001</v>
      </c>
      <c r="F577" t="str">
        <f t="shared" si="75"/>
        <v>Casinorama  [Texte imprimé]</v>
      </c>
      <c r="G577" t="str">
        <f t="shared" si="76"/>
        <v>Casinorama</v>
      </c>
      <c r="H577" t="str">
        <f t="shared" si="77"/>
        <v>1018-9645</v>
      </c>
      <c r="I577" t="str">
        <f t="shared" si="78"/>
        <v>(mar-1968) - (1980)</v>
      </c>
    </row>
    <row r="578" spans="1:9" x14ac:dyDescent="0.25">
      <c r="A578" t="str">
        <f>"038427265"</f>
        <v>038427265</v>
      </c>
      <c r="B578" t="str">
        <f t="shared" si="71"/>
        <v>991385201</v>
      </c>
      <c r="C578" t="str">
        <f t="shared" si="72"/>
        <v>MONACO-Jardin exotique</v>
      </c>
      <c r="D578" t="str">
        <f t="shared" si="73"/>
        <v>43.7310908</v>
      </c>
      <c r="E578" t="str">
        <f t="shared" si="74"/>
        <v>7.410747499999999</v>
      </c>
      <c r="F578" t="str">
        <f t="shared" si="75"/>
        <v>Blühende Kakteen  [Texte imprimé]  : Iconographia Cactacearum  / im Auftrage der deutschen Kakteen-Gesellschaft begründet und herausgegeben von Prof. Dr. Karl Schumann</v>
      </c>
      <c r="G578" t="str">
        <f t="shared" si="76"/>
        <v>Blühende Kakteen</v>
      </c>
      <c r="H578" t="e">
        <f t="shared" si="77"/>
        <v>#VALUE!</v>
      </c>
      <c r="I578" t="str">
        <f t="shared" si="78"/>
        <v>vol. 1 no. 1 (1900) - vol. 3  no. 45  (1921)</v>
      </c>
    </row>
    <row r="579" spans="1:9" x14ac:dyDescent="0.25">
      <c r="A579" t="str">
        <f>"05092673X"</f>
        <v>05092673X</v>
      </c>
      <c r="B579" t="str">
        <f t="shared" ref="B579:B642" si="79">TEXT(_xlfn.FILTERXML(_xlfn.WEBSERVICE("http://www.sudoc.fr/services/multiwhere/"&amp;A579),"//query/result/library/rcr"),"000000000")</f>
        <v>831375101</v>
      </c>
      <c r="C579" t="str">
        <f t="shared" si="72"/>
        <v>TOULON-Serv.Historique Marine</v>
      </c>
      <c r="D579" t="str">
        <f t="shared" si="73"/>
        <v>43.124228</v>
      </c>
      <c r="E579" t="str">
        <f t="shared" si="74"/>
        <v>5.928</v>
      </c>
      <c r="F579" t="str">
        <f t="shared" si="75"/>
        <v>United services review  [Texte imprimé]</v>
      </c>
      <c r="G579" t="str">
        <f t="shared" si="76"/>
        <v>United services review</v>
      </c>
      <c r="H579" t="e">
        <f t="shared" si="77"/>
        <v>#VALUE!</v>
      </c>
      <c r="I579" t="str">
        <f t="shared" si="78"/>
        <v>(nov-1936) - (avr-1947)</v>
      </c>
    </row>
    <row r="580" spans="1:9" x14ac:dyDescent="0.25">
      <c r="A580" t="str">
        <f>"116228156"</f>
        <v>116228156</v>
      </c>
      <c r="B580" t="str">
        <f t="shared" si="79"/>
        <v>060886101</v>
      </c>
      <c r="C580" t="str">
        <f t="shared" si="72"/>
        <v>NICE- BMVR Louis Nucéra</v>
      </c>
      <c r="D580" t="str">
        <f t="shared" si="73"/>
        <v>43.7015650</v>
      </c>
      <c r="E580" t="str">
        <f t="shared" si="74"/>
        <v>7.2786247</v>
      </c>
      <c r="F580" t="str">
        <f t="shared" si="75"/>
        <v>Let's go Riviera  [Texte imprimé]</v>
      </c>
      <c r="G580" t="str">
        <f t="shared" si="76"/>
        <v>Let's go Riviera</v>
      </c>
      <c r="H580" t="str">
        <f t="shared" si="77"/>
        <v>1779-1855</v>
      </c>
      <c r="I580" t="str">
        <f t="shared" si="78"/>
        <v>no. 10 (2006) - no. 109  (2008)</v>
      </c>
    </row>
    <row r="581" spans="1:9" x14ac:dyDescent="0.25">
      <c r="A581" t="str">
        <f>"039034372"</f>
        <v>039034372</v>
      </c>
      <c r="B581" t="str">
        <f t="shared" si="79"/>
        <v>831376201</v>
      </c>
      <c r="C581" t="str">
        <f t="shared" si="72"/>
        <v>TOULON-BM</v>
      </c>
      <c r="D581" t="str">
        <f t="shared" si="73"/>
        <v>43.0823215</v>
      </c>
      <c r="E581" t="str">
        <f t="shared" si="74"/>
        <v>5.920052699999999</v>
      </c>
      <c r="F581" t="str">
        <f t="shared" si="75"/>
        <v>Le Guide général  [Texte imprimé]</v>
      </c>
      <c r="G581" t="str">
        <f t="shared" si="76"/>
        <v>Le Guide général</v>
      </c>
      <c r="H581" t="str">
        <f t="shared" si="77"/>
        <v>2017-0068</v>
      </c>
      <c r="I581" t="str">
        <f t="shared" si="78"/>
        <v>(fev-1921) - (mar-1921)</v>
      </c>
    </row>
    <row r="582" spans="1:9" x14ac:dyDescent="0.25">
      <c r="A582" t="str">
        <f>"040079198"</f>
        <v>040079198</v>
      </c>
      <c r="B582" t="str">
        <f t="shared" si="79"/>
        <v>991385201</v>
      </c>
      <c r="C582" t="str">
        <f t="shared" si="72"/>
        <v>MONACO-Jardin exotique</v>
      </c>
      <c r="D582" t="str">
        <f t="shared" si="73"/>
        <v>43.7310908</v>
      </c>
      <c r="E582" t="str">
        <f t="shared" si="74"/>
        <v>7.410747499999999</v>
      </c>
      <c r="F582" t="str">
        <f t="shared" si="75"/>
        <v>Houslekes  [Texte imprimé]</v>
      </c>
      <c r="G582" t="str">
        <f t="shared" si="76"/>
        <v>Houslekes</v>
      </c>
      <c r="H582" t="str">
        <f t="shared" si="77"/>
        <v>0950-978X</v>
      </c>
      <c r="I582" t="str">
        <f t="shared" si="78"/>
        <v>vol. 11 no. 1 (1980) - vol. 16  no. 2  (1985)</v>
      </c>
    </row>
    <row r="583" spans="1:9" x14ac:dyDescent="0.25">
      <c r="A583" t="str">
        <f>"039034992"</f>
        <v>039034992</v>
      </c>
      <c r="B583" t="str">
        <f t="shared" si="79"/>
        <v>831376201</v>
      </c>
      <c r="C583" t="str">
        <f t="shared" si="72"/>
        <v>TOULON-BM</v>
      </c>
      <c r="D583" t="str">
        <f t="shared" si="73"/>
        <v>43.0823215</v>
      </c>
      <c r="E583" t="str">
        <f t="shared" si="74"/>
        <v>5.920052699999999</v>
      </c>
      <c r="F583" t="str">
        <f t="shared" si="75"/>
        <v>Journal des Arsenaux, des ports &amp; établissements maritimes  [Texte imprimé]</v>
      </c>
      <c r="G583" t="str">
        <f t="shared" si="76"/>
        <v>Journal des Arsenaux, des ports &amp; établissements maritimes</v>
      </c>
      <c r="H583" t="str">
        <f t="shared" si="77"/>
        <v>2017-3407</v>
      </c>
      <c r="I583" t="str">
        <f t="shared" si="78"/>
        <v>no. 67 (1912)</v>
      </c>
    </row>
    <row r="584" spans="1:9" x14ac:dyDescent="0.25">
      <c r="A584" t="str">
        <f>"04007918X"</f>
        <v>04007918X</v>
      </c>
      <c r="B584" t="str">
        <f t="shared" si="79"/>
        <v>991385201</v>
      </c>
      <c r="C584" t="str">
        <f t="shared" si="72"/>
        <v>MONACO-Jardin exotique</v>
      </c>
      <c r="D584" t="str">
        <f t="shared" si="73"/>
        <v>43.7310908</v>
      </c>
      <c r="E584" t="str">
        <f t="shared" si="74"/>
        <v>7.410747499999999</v>
      </c>
      <c r="F584" t="str">
        <f t="shared" si="75"/>
        <v>Newsletter  [Texte imprimé]  / Sempervivum Society</v>
      </c>
      <c r="G584" t="str">
        <f t="shared" si="76"/>
        <v>Newsletter</v>
      </c>
      <c r="H584" t="str">
        <f t="shared" si="77"/>
        <v>0950-9771</v>
      </c>
      <c r="I584" t="str">
        <f t="shared" si="78"/>
        <v>vol. 8 no. 1 (1982) - vol. 10  no. 1  (1984) ; vol. 10 no. 3 (1984) - vol. 11  no. 2  (1985) ; vol. 13 no. 1 (1989) - vol. 13  no. 3  (1990) ; no. 40 (1992) - no. 41  (1994)</v>
      </c>
    </row>
    <row r="585" spans="1:9" x14ac:dyDescent="0.25">
      <c r="A585" t="str">
        <f>"048884448"</f>
        <v>048884448</v>
      </c>
      <c r="B585" t="str">
        <f t="shared" si="79"/>
        <v>831375101</v>
      </c>
      <c r="C585" t="str">
        <f t="shared" si="72"/>
        <v>TOULON-Serv.Historique Marine</v>
      </c>
      <c r="D585" t="str">
        <f t="shared" si="73"/>
        <v>43.124228</v>
      </c>
      <c r="E585" t="str">
        <f t="shared" si="74"/>
        <v>5.928</v>
      </c>
      <c r="F585" t="str">
        <f t="shared" si="75"/>
        <v>Aviation and marine international  [Texte imprimé]</v>
      </c>
      <c r="G585" t="str">
        <f t="shared" si="76"/>
        <v>Aviation and marine international</v>
      </c>
      <c r="H585" t="str">
        <f t="shared" si="77"/>
        <v>1424-4268</v>
      </c>
      <c r="I585" t="str">
        <f t="shared" si="78"/>
        <v>vol. 4 no. 30 (1976) - vol. 7  no. 62  (1979) [lac.]</v>
      </c>
    </row>
    <row r="586" spans="1:9" x14ac:dyDescent="0.25">
      <c r="A586" t="str">
        <f>"135951755"</f>
        <v>135951755</v>
      </c>
      <c r="B586" t="str">
        <f t="shared" si="79"/>
        <v>060885105</v>
      </c>
      <c r="C586" t="str">
        <f t="shared" si="72"/>
        <v>NICE-Bibl.Chevalier de Cessole</v>
      </c>
      <c r="D586" t="str">
        <f t="shared" si="73"/>
        <v>43.6956246</v>
      </c>
      <c r="E586" t="str">
        <f t="shared" si="74"/>
        <v>7.259380900000001</v>
      </c>
      <c r="F586" t="str">
        <f t="shared" si="75"/>
        <v>L'Aigle de Nice  [Texte imprimé]</v>
      </c>
      <c r="G586" t="str">
        <f t="shared" si="76"/>
        <v>L'Aigle de Nice</v>
      </c>
      <c r="H586" t="str">
        <f t="shared" si="77"/>
        <v>2120-4853</v>
      </c>
      <c r="I586" t="str">
        <f t="shared" si="78"/>
        <v>no. 19 (1898) - no. 28  (fev-1899)</v>
      </c>
    </row>
    <row r="587" spans="1:9" x14ac:dyDescent="0.25">
      <c r="A587" t="str">
        <f>"055150470"</f>
        <v>055150470</v>
      </c>
      <c r="B587" t="str">
        <f t="shared" si="79"/>
        <v>060042306</v>
      </c>
      <c r="C587" t="str">
        <f t="shared" si="72"/>
        <v>ANTIBES-INRA-UMR R.O.S.E.</v>
      </c>
      <c r="D587" t="str">
        <f t="shared" si="73"/>
        <v>43.5661292</v>
      </c>
      <c r="E587" t="str">
        <f t="shared" si="74"/>
        <v>7.1249398</v>
      </c>
      <c r="F587" t="str">
        <f t="shared" si="75"/>
        <v>Invertebrate neuroscience  [Texte imprimé]</v>
      </c>
      <c r="G587" t="str">
        <f t="shared" si="76"/>
        <v>Invertebrate neuroscience</v>
      </c>
      <c r="H587" t="str">
        <f t="shared" si="77"/>
        <v>1354-2516</v>
      </c>
      <c r="I587" t="str">
        <f t="shared" si="78"/>
        <v>(2000)-....</v>
      </c>
    </row>
    <row r="588" spans="1:9" x14ac:dyDescent="0.25">
      <c r="A588" t="str">
        <f>"037135910"</f>
        <v>037135910</v>
      </c>
      <c r="B588" t="str">
        <f t="shared" si="79"/>
        <v>991385301</v>
      </c>
      <c r="C588" t="str">
        <f t="shared" si="72"/>
        <v>MONACO-Musée Océanographique</v>
      </c>
      <c r="D588" t="str">
        <f t="shared" si="73"/>
        <v>43.7310033</v>
      </c>
      <c r="E588" t="str">
        <f t="shared" si="74"/>
        <v>7.425491600000001</v>
      </c>
      <c r="F588" t="str">
        <f t="shared" si="75"/>
        <v>Immersió  [Texte imprimé]</v>
      </c>
      <c r="G588" t="str">
        <f t="shared" si="76"/>
        <v>Immersió</v>
      </c>
      <c r="H588" t="str">
        <f t="shared" si="77"/>
        <v>0214-1795</v>
      </c>
      <c r="I588" t="str">
        <f t="shared" si="78"/>
        <v>no. 3 (1984) - no. 6  (1985)</v>
      </c>
    </row>
    <row r="589" spans="1:9" x14ac:dyDescent="0.25">
      <c r="A589" t="str">
        <f>"037979582"</f>
        <v>037979582</v>
      </c>
      <c r="B589" t="str">
        <f t="shared" si="79"/>
        <v>991386201</v>
      </c>
      <c r="C589" t="str">
        <f t="shared" si="72"/>
        <v>MONACO-Bibl.Louis Notari</v>
      </c>
      <c r="D589" t="str">
        <f t="shared" si="73"/>
        <v>43.7351319</v>
      </c>
      <c r="E589" t="str">
        <f t="shared" si="74"/>
        <v>7.420563100000001</v>
      </c>
      <c r="F589" t="str">
        <f t="shared" si="75"/>
        <v>Monaco Monte-Carlo  [Texte imprimé]</v>
      </c>
      <c r="G589" t="str">
        <f t="shared" si="76"/>
        <v>Monaco Monte-Carlo</v>
      </c>
      <c r="H589" t="str">
        <f t="shared" si="77"/>
        <v>1018-9769</v>
      </c>
      <c r="I589" t="str">
        <f t="shared" si="78"/>
        <v>(1974) - (1978)</v>
      </c>
    </row>
    <row r="590" spans="1:9" x14ac:dyDescent="0.25">
      <c r="A590" t="str">
        <f>"039034267"</f>
        <v>039034267</v>
      </c>
      <c r="B590" t="str">
        <f t="shared" si="79"/>
        <v>831376201</v>
      </c>
      <c r="C590" t="str">
        <f t="shared" si="72"/>
        <v>TOULON-BM</v>
      </c>
      <c r="D590" t="str">
        <f t="shared" si="73"/>
        <v>43.0823215</v>
      </c>
      <c r="E590" t="str">
        <f t="shared" si="74"/>
        <v>5.920052699999999</v>
      </c>
      <c r="F590" t="str">
        <f t="shared" si="75"/>
        <v>La Grimace  [Texte imprimé]  : Organe officiel des artistes lyriques et dramatiques, des concerts, music-halls, théâtres, cirques, cinémas de Toulon et du Sud-Est</v>
      </c>
      <c r="G590" t="str">
        <f t="shared" si="76"/>
        <v>La Grimace</v>
      </c>
      <c r="H590" t="str">
        <f t="shared" si="77"/>
        <v>2017-0009</v>
      </c>
      <c r="I590" t="str">
        <f t="shared" si="78"/>
        <v>no. 1 (1934) - no. 7  (1934)</v>
      </c>
    </row>
    <row r="591" spans="1:9" x14ac:dyDescent="0.25">
      <c r="A591" t="str">
        <f>"124278531"</f>
        <v>124278531</v>
      </c>
      <c r="B591" t="str">
        <f t="shared" si="79"/>
        <v>060885105</v>
      </c>
      <c r="C591" t="str">
        <f t="shared" si="72"/>
        <v>NICE-Bibl.Chevalier de Cessole</v>
      </c>
      <c r="D591" t="str">
        <f t="shared" si="73"/>
        <v>43.6956246</v>
      </c>
      <c r="E591" t="str">
        <f t="shared" si="74"/>
        <v>7.259380900000001</v>
      </c>
      <c r="F591" t="str">
        <f t="shared" si="75"/>
        <v>Journal comique de Nice-Monaco  [Texte imprimé]</v>
      </c>
      <c r="G591" t="str">
        <f t="shared" si="76"/>
        <v>Journal comique de Nice-Monaco</v>
      </c>
      <c r="H591" t="str">
        <f t="shared" si="77"/>
        <v>1963-8736</v>
      </c>
      <c r="I591" t="str">
        <f t="shared" si="78"/>
        <v>no. 58 (22-fev-1880)</v>
      </c>
    </row>
    <row r="592" spans="1:9" x14ac:dyDescent="0.25">
      <c r="A592" t="str">
        <f>"124278590"</f>
        <v>124278590</v>
      </c>
      <c r="B592" t="str">
        <f t="shared" si="79"/>
        <v>060885105</v>
      </c>
      <c r="C592" t="str">
        <f t="shared" si="72"/>
        <v>NICE-Bibl.Chevalier de Cessole</v>
      </c>
      <c r="D592" t="str">
        <f t="shared" si="73"/>
        <v>43.6956246</v>
      </c>
      <c r="E592" t="str">
        <f t="shared" si="74"/>
        <v>7.259380900000001</v>
      </c>
      <c r="F592" t="str">
        <f t="shared" si="75"/>
        <v>Nice-caricature  [Texte imprimé]</v>
      </c>
      <c r="G592" t="str">
        <f t="shared" si="76"/>
        <v>Nice-caricature</v>
      </c>
      <c r="H592" t="str">
        <f t="shared" si="77"/>
        <v>1963-8795</v>
      </c>
      <c r="I592" t="str">
        <f t="shared" si="78"/>
        <v>no. 1 (30-sep-1883) - no. 3  (14-oct-1883)</v>
      </c>
    </row>
    <row r="593" spans="1:9" x14ac:dyDescent="0.25">
      <c r="A593" t="str">
        <f>"048797162"</f>
        <v>048797162</v>
      </c>
      <c r="B593" t="str">
        <f t="shared" si="79"/>
        <v>991385201</v>
      </c>
      <c r="C593" t="str">
        <f t="shared" si="72"/>
        <v>MONACO-Jardin exotique</v>
      </c>
      <c r="D593" t="str">
        <f t="shared" si="73"/>
        <v>43.7310908</v>
      </c>
      <c r="E593" t="str">
        <f t="shared" si="74"/>
        <v>7.410747499999999</v>
      </c>
      <c r="F593" t="str">
        <f t="shared" si="75"/>
        <v>Die Sukkulentenwelt  [Texte imprimé]</v>
      </c>
      <c r="G593" t="str">
        <f t="shared" si="76"/>
        <v>Die Sukkulentenwelt</v>
      </c>
      <c r="H593" t="str">
        <f t="shared" si="77"/>
        <v>1424-2052</v>
      </c>
      <c r="I593" t="str">
        <f t="shared" si="78"/>
        <v>vol. 1 no. 1 (1998)-....</v>
      </c>
    </row>
    <row r="594" spans="1:9" x14ac:dyDescent="0.25">
      <c r="A594" t="str">
        <f>"037946390"</f>
        <v>037946390</v>
      </c>
      <c r="B594" t="str">
        <f t="shared" si="79"/>
        <v>991386201</v>
      </c>
      <c r="C594" t="str">
        <f t="shared" si="72"/>
        <v>MONACO-Bibl.Louis Notari</v>
      </c>
      <c r="D594" t="str">
        <f t="shared" si="73"/>
        <v>43.7351319</v>
      </c>
      <c r="E594" t="str">
        <f t="shared" si="74"/>
        <v>7.420563100000001</v>
      </c>
      <c r="F594" t="str">
        <f t="shared" si="75"/>
        <v>La Revue du Touring-Club de Monaco  [Texte imprimé]</v>
      </c>
      <c r="G594" t="str">
        <f t="shared" si="76"/>
        <v>La Revue du Touring-Club de Monaco</v>
      </c>
      <c r="H594" t="str">
        <f t="shared" si="77"/>
        <v>1010-4658</v>
      </c>
      <c r="I594" t="str">
        <f t="shared" si="78"/>
        <v>(1920) - (1921)</v>
      </c>
    </row>
    <row r="595" spans="1:9" x14ac:dyDescent="0.25">
      <c r="A595" t="str">
        <f>"039035158"</f>
        <v>039035158</v>
      </c>
      <c r="B595" t="str">
        <f t="shared" si="79"/>
        <v>831376201</v>
      </c>
      <c r="C595" t="str">
        <f t="shared" si="72"/>
        <v>TOULON-BM</v>
      </c>
      <c r="D595" t="str">
        <f t="shared" si="73"/>
        <v>43.0823215</v>
      </c>
      <c r="E595" t="str">
        <f t="shared" si="74"/>
        <v>5.920052699999999</v>
      </c>
      <c r="F595" t="str">
        <f t="shared" si="75"/>
        <v>Le Mistral  [Texte imprimé]  : Littéraire, artistique et mondain, soufflant tous les jeudis</v>
      </c>
      <c r="G595" t="str">
        <f t="shared" si="76"/>
        <v>Le Mistral</v>
      </c>
      <c r="H595" t="str">
        <f t="shared" si="77"/>
        <v>2017-5698</v>
      </c>
      <c r="I595" t="str">
        <f t="shared" si="78"/>
        <v>no. 1 (1892)</v>
      </c>
    </row>
    <row r="596" spans="1:9" x14ac:dyDescent="0.25">
      <c r="A596" t="str">
        <f>"040086364"</f>
        <v>040086364</v>
      </c>
      <c r="B596" t="str">
        <f t="shared" si="79"/>
        <v>061525404</v>
      </c>
      <c r="C596" t="str">
        <f t="shared" si="72"/>
        <v>SOPHIA/ANT.-Thales Und. Systems</v>
      </c>
      <c r="D596" t="e">
        <f t="shared" si="73"/>
        <v>#VALUE!</v>
      </c>
      <c r="E596" t="e">
        <f t="shared" si="74"/>
        <v>#VALUE!</v>
      </c>
      <c r="F596" t="str">
        <f t="shared" si="75"/>
        <v>Jane's defence weekly. Pacific rim ed.  [Texte imprimé]</v>
      </c>
      <c r="G596" t="str">
        <f t="shared" si="76"/>
        <v>Jane's defence weekly. Pacific rim ed.</v>
      </c>
      <c r="H596" t="str">
        <f t="shared" si="77"/>
        <v>0955-6680</v>
      </c>
      <c r="I596" t="str">
        <f t="shared" si="78"/>
        <v>(1989)-....</v>
      </c>
    </row>
    <row r="597" spans="1:9" x14ac:dyDescent="0.25">
      <c r="A597" t="str">
        <f>"178959030"</f>
        <v>178959030</v>
      </c>
      <c r="B597" t="str">
        <f t="shared" si="79"/>
        <v>060695201</v>
      </c>
      <c r="C597" t="str">
        <f t="shared" si="72"/>
        <v>GRASSE-Musée Intern Parfumerie</v>
      </c>
      <c r="D597" t="str">
        <f t="shared" si="73"/>
        <v>43.6582879</v>
      </c>
      <c r="E597" t="str">
        <f t="shared" si="74"/>
        <v>6.9219354</v>
      </c>
      <c r="F597" t="str">
        <f t="shared" si="75"/>
        <v>Les Nouvelles de l'Osmothèque  [Texte imprimé]</v>
      </c>
      <c r="G597" t="str">
        <f t="shared" si="76"/>
        <v>Les Nouvelles de l'Osmothèque</v>
      </c>
      <c r="H597" t="str">
        <f t="shared" si="77"/>
        <v>2273-6077</v>
      </c>
      <c r="I597" t="str">
        <f t="shared" si="78"/>
        <v>no. 1 (1992) - no. 64  (2014) [Lacunes : n°43, 57, 58.]</v>
      </c>
    </row>
    <row r="598" spans="1:9" x14ac:dyDescent="0.25">
      <c r="A598" t="str">
        <f>"03622703X"</f>
        <v>03622703X</v>
      </c>
      <c r="B598" t="str">
        <f t="shared" si="79"/>
        <v>991385301</v>
      </c>
      <c r="C598" t="str">
        <f t="shared" si="72"/>
        <v>MONACO-Musée Océanographique</v>
      </c>
      <c r="D598" t="str">
        <f t="shared" si="73"/>
        <v>43.7310033</v>
      </c>
      <c r="E598" t="str">
        <f t="shared" si="74"/>
        <v>7.425491600000001</v>
      </c>
      <c r="F598" t="str">
        <f t="shared" si="75"/>
        <v>Conférence hydrographique internationale. Compte-rendu des séances</v>
      </c>
      <c r="G598" t="str">
        <f t="shared" si="76"/>
        <v>Conférence hydrographique internationale. Compte-rendu des séances</v>
      </c>
      <c r="H598" t="e">
        <f t="shared" si="77"/>
        <v>#VALUE!</v>
      </c>
      <c r="I598" t="e">
        <f t="shared" si="78"/>
        <v>#VALUE!</v>
      </c>
    </row>
    <row r="599" spans="1:9" x14ac:dyDescent="0.25">
      <c r="A599" t="str">
        <f>"036257184"</f>
        <v>036257184</v>
      </c>
      <c r="B599" t="str">
        <f t="shared" si="79"/>
        <v>991385301</v>
      </c>
      <c r="C599" t="str">
        <f t="shared" si="72"/>
        <v>MONACO-Musée Océanographique</v>
      </c>
      <c r="D599" t="str">
        <f t="shared" si="73"/>
        <v>43.7310033</v>
      </c>
      <c r="E599" t="str">
        <f t="shared" si="74"/>
        <v>7.425491600000001</v>
      </c>
      <c r="F599" t="str">
        <f t="shared" si="75"/>
        <v>Cetacea news  [Texte imprimé]</v>
      </c>
      <c r="G599" t="str">
        <f t="shared" si="76"/>
        <v>Cetacea news</v>
      </c>
      <c r="H599" t="str">
        <f t="shared" si="77"/>
        <v>1122-018X</v>
      </c>
      <c r="I599" t="str">
        <f t="shared" si="78"/>
        <v>no. 1 (1991)-....</v>
      </c>
    </row>
    <row r="600" spans="1:9" x14ac:dyDescent="0.25">
      <c r="A600" t="str">
        <f>"124278256"</f>
        <v>124278256</v>
      </c>
      <c r="B600" t="str">
        <f t="shared" si="79"/>
        <v>060885105</v>
      </c>
      <c r="C600" t="str">
        <f t="shared" si="72"/>
        <v>NICE-Bibl.Chevalier de Cessole</v>
      </c>
      <c r="D600" t="str">
        <f t="shared" si="73"/>
        <v>43.6956246</v>
      </c>
      <c r="E600" t="str">
        <f t="shared" si="74"/>
        <v>7.259380900000001</v>
      </c>
      <c r="F600" t="str">
        <f t="shared" si="75"/>
        <v>L'Alliance des Alpes-Maritimes  [Texte imprimé]</v>
      </c>
      <c r="G600" t="str">
        <f t="shared" si="76"/>
        <v>L'Alliance des Alpes-Maritimes</v>
      </c>
      <c r="H600" t="str">
        <f t="shared" si="77"/>
        <v>1963-8434</v>
      </c>
      <c r="I600" t="str">
        <f t="shared" si="78"/>
        <v>no. 6 (dec-1885)</v>
      </c>
    </row>
    <row r="601" spans="1:9" x14ac:dyDescent="0.25">
      <c r="A601" t="str">
        <f>"058778004"</f>
        <v>058778004</v>
      </c>
      <c r="B601" t="str">
        <f t="shared" si="79"/>
        <v>061522306</v>
      </c>
      <c r="C601" t="str">
        <f t="shared" si="72"/>
        <v>VALBONNE-Inst.Pharmacol.Mol.</v>
      </c>
      <c r="D601" t="e">
        <f t="shared" si="73"/>
        <v>#VALUE!</v>
      </c>
      <c r="E601" t="e">
        <f t="shared" si="74"/>
        <v>#VALUE!</v>
      </c>
      <c r="F601" t="str">
        <f t="shared" si="75"/>
        <v>Molecular interventions  [Texte imprimé]</v>
      </c>
      <c r="G601" t="str">
        <f t="shared" si="76"/>
        <v>Molecular interventions</v>
      </c>
      <c r="H601" t="str">
        <f t="shared" si="77"/>
        <v>1534-0384</v>
      </c>
      <c r="I601" t="str">
        <f t="shared" si="78"/>
        <v>(2001) - (jun-2004)</v>
      </c>
    </row>
    <row r="602" spans="1:9" x14ac:dyDescent="0.25">
      <c r="A602" t="str">
        <f>"224069411"</f>
        <v>224069411</v>
      </c>
      <c r="B602" t="str">
        <f t="shared" si="79"/>
        <v>060696201</v>
      </c>
      <c r="C602" t="str">
        <f t="shared" si="72"/>
        <v>GRASSE-Villa St Hilaire</v>
      </c>
      <c r="D602" t="str">
        <f t="shared" si="73"/>
        <v>43.65711599999999</v>
      </c>
      <c r="E602" t="str">
        <f t="shared" si="74"/>
        <v>6.9183745</v>
      </c>
      <c r="F602" t="str">
        <f t="shared" si="75"/>
        <v>Dialogues  : le droit au service de la médecine</v>
      </c>
      <c r="G602" t="str">
        <f t="shared" si="76"/>
        <v>Dialogues</v>
      </c>
      <c r="H602" t="str">
        <f t="shared" si="77"/>
        <v>2606-8745</v>
      </c>
      <c r="I602" t="str">
        <f t="shared" si="78"/>
        <v>no. 3 (mai-1963) - no. 83  (oct-1976)</v>
      </c>
    </row>
    <row r="603" spans="1:9" x14ac:dyDescent="0.25">
      <c r="A603" t="str">
        <f>"036224642"</f>
        <v>036224642</v>
      </c>
      <c r="B603" t="str">
        <f t="shared" si="79"/>
        <v>991385301</v>
      </c>
      <c r="C603" t="str">
        <f t="shared" si="72"/>
        <v>MONACO-Musée Océanographique</v>
      </c>
      <c r="D603" t="str">
        <f t="shared" si="73"/>
        <v>43.7310033</v>
      </c>
      <c r="E603" t="str">
        <f t="shared" si="74"/>
        <v>7.425491600000001</v>
      </c>
      <c r="F603" t="str">
        <f t="shared" si="75"/>
        <v>Commercial fisheries newsletter  [Texte imprimé]</v>
      </c>
      <c r="G603" t="str">
        <f t="shared" si="76"/>
        <v>Commercial fisheries newsletter</v>
      </c>
      <c r="H603" t="e">
        <f t="shared" si="77"/>
        <v>#VALUE!</v>
      </c>
      <c r="I603" t="str">
        <f t="shared" si="78"/>
        <v>(1970)-....</v>
      </c>
    </row>
    <row r="604" spans="1:9" x14ac:dyDescent="0.25">
      <c r="A604" t="str">
        <f>"037485679"</f>
        <v>037485679</v>
      </c>
      <c r="B604" t="str">
        <f t="shared" si="79"/>
        <v>991385202</v>
      </c>
      <c r="C604" t="str">
        <f t="shared" si="72"/>
        <v>MONACO-Musée Anthropol.Préhi</v>
      </c>
      <c r="D604" t="str">
        <f t="shared" si="73"/>
        <v>43.73338</v>
      </c>
      <c r="E604" t="str">
        <f t="shared" si="74"/>
        <v>7.413762599999999</v>
      </c>
      <c r="F604" t="str">
        <f t="shared" si="75"/>
        <v>Bollettino della Scuola di Polizia scientífica e del Servizio di segnalamento  [Texte imprimé]</v>
      </c>
      <c r="G604" t="str">
        <f t="shared" si="76"/>
        <v>Bollettino della Scuola di Polizia scientífica e del Servizio di segnalamento</v>
      </c>
      <c r="H604" t="str">
        <f t="shared" si="77"/>
        <v>0394-1035</v>
      </c>
      <c r="I604" t="str">
        <f t="shared" si="78"/>
        <v>vol. 1 (1910) - vol. 2  (1911) ; no. 3 (1912)</v>
      </c>
    </row>
    <row r="605" spans="1:9" x14ac:dyDescent="0.25">
      <c r="A605" t="str">
        <f>"140659110"</f>
        <v>140659110</v>
      </c>
      <c r="B605" t="str">
        <f t="shared" si="79"/>
        <v>060696201</v>
      </c>
      <c r="C605" t="str">
        <f t="shared" si="72"/>
        <v>GRASSE-Villa St Hilaire</v>
      </c>
      <c r="D605" t="str">
        <f t="shared" si="73"/>
        <v>43.65711599999999</v>
      </c>
      <c r="E605" t="str">
        <f t="shared" si="74"/>
        <v>6.9183745</v>
      </c>
      <c r="F605" t="str">
        <f t="shared" si="75"/>
        <v>Le Réveil de Grasse  [Texte imprimé]</v>
      </c>
      <c r="G605" t="str">
        <f t="shared" si="76"/>
        <v>Le Réveil de Grasse</v>
      </c>
      <c r="H605" t="str">
        <f t="shared" si="77"/>
        <v>2136-7701</v>
      </c>
      <c r="I605" t="str">
        <f t="shared" si="78"/>
        <v>no. 5 (30-jan-1932) - no. 5  (4-fev-1939) [Lacunaire]</v>
      </c>
    </row>
    <row r="606" spans="1:9" x14ac:dyDescent="0.25">
      <c r="A606" t="str">
        <f>"167431420"</f>
        <v>167431420</v>
      </c>
      <c r="B606" t="str">
        <f t="shared" si="79"/>
        <v>991385203</v>
      </c>
      <c r="C606" t="str">
        <f t="shared" si="72"/>
        <v>MONACO-ES d'Arts Plastiques</v>
      </c>
      <c r="D606" t="str">
        <f t="shared" si="73"/>
        <v>43.7320022</v>
      </c>
      <c r="E606" t="str">
        <f t="shared" si="74"/>
        <v>7.426917999999999</v>
      </c>
      <c r="F606" t="str">
        <f t="shared" si="75"/>
        <v>Cahiers d'art  [Texte imprimé]</v>
      </c>
      <c r="G606" t="str">
        <f t="shared" si="76"/>
        <v>Cahiers d'art</v>
      </c>
      <c r="H606" t="str">
        <f t="shared" si="77"/>
        <v>2262-6395</v>
      </c>
      <c r="I606" t="str">
        <f t="shared" si="78"/>
        <v>no. 1 (2012)-....</v>
      </c>
    </row>
    <row r="607" spans="1:9" x14ac:dyDescent="0.25">
      <c r="A607" t="str">
        <f>"137231679"</f>
        <v>137231679</v>
      </c>
      <c r="B607" t="str">
        <f t="shared" si="79"/>
        <v>060885105</v>
      </c>
      <c r="C607" t="str">
        <f t="shared" si="72"/>
        <v>NICE-Bibl.Chevalier de Cessole</v>
      </c>
      <c r="D607" t="str">
        <f t="shared" si="73"/>
        <v>43.6956246</v>
      </c>
      <c r="E607" t="str">
        <f t="shared" si="74"/>
        <v>7.259380900000001</v>
      </c>
      <c r="F607" t="str">
        <f t="shared" si="75"/>
        <v>Lou Ficanas  [Texte imprimé]</v>
      </c>
      <c r="G607" t="str">
        <f t="shared" si="76"/>
        <v>Lou Ficanas</v>
      </c>
      <c r="H607" t="str">
        <f t="shared" si="77"/>
        <v>2128-0304</v>
      </c>
      <c r="I607" t="str">
        <f t="shared" si="78"/>
        <v>no. 17 (4-aou-1889) - no. 21  (1-sep-1889) [lacunes]</v>
      </c>
    </row>
    <row r="608" spans="1:9" x14ac:dyDescent="0.25">
      <c r="A608" t="str">
        <f>"039095827"</f>
        <v>039095827</v>
      </c>
      <c r="B608" t="str">
        <f t="shared" si="79"/>
        <v>831376201</v>
      </c>
      <c r="C608" t="str">
        <f t="shared" ref="C608:C671" si="80">_xlfn.FILTERXML(_xlfn.WEBSERVICE("http://www.sudoc.fr/services/multiwhere/"&amp;A608),"//query/result/library/shortname")</f>
        <v>TOULON-BM</v>
      </c>
      <c r="D608" t="str">
        <f t="shared" ref="D608:D671" si="81">_xlfn.FILTERXML(_xlfn.WEBSERVICE("http://www.sudoc.fr/services/multiwhere/"&amp;A608),"//query/result/library/latitude")</f>
        <v>43.0823215</v>
      </c>
      <c r="E608" t="str">
        <f t="shared" ref="E608:E671" si="82">_xlfn.FILTERXML(_xlfn.WEBSERVICE("http://www.sudoc.fr/services/multiwhere/"&amp;A608),"//query/result/library/longitude")</f>
        <v>5.920052699999999</v>
      </c>
      <c r="F608" t="str">
        <f t="shared" ref="F608:F671" si="83">_xlfn.FILTERXML(_xlfn.WEBSERVICE("http://www.sudoc.fr/"&amp;A608&amp;".rdf"),"//bibo:Periodical/dc:title")</f>
        <v>Midi-camping  [Texte imprimé]</v>
      </c>
      <c r="G608" t="str">
        <f t="shared" ref="G608:G671" si="84">_xlfn.FILTERXML(_xlfn.WEBSERVICE("http://www.sudoc.fr/"&amp;A608&amp;".abes"),"//datafield[@tag='200']/subfield[@code='a']")</f>
        <v>Midi-camping</v>
      </c>
      <c r="H608" t="str">
        <f t="shared" ref="H608:H671" si="85">_xlfn.FILTERXML(_xlfn.WEBSERVICE("http://www.sudoc.fr/"&amp;A608&amp;".abes"),"//datafield[@tag='011']/subfield[@code='a']")</f>
        <v>2017-5604</v>
      </c>
      <c r="I608" t="str">
        <f t="shared" ref="I608:I671" si="86">_xlfn.FILTERXML(_xlfn.WEBSERVICE("http://www.sudoc.fr/"&amp;A608&amp;".abes"),"//datafield[@tag='955']/subfield[@code='r']")</f>
        <v>no. 2 (1937) - no. 15  (1938)</v>
      </c>
    </row>
    <row r="609" spans="1:9" x14ac:dyDescent="0.25">
      <c r="A609" t="str">
        <f>"039096459"</f>
        <v>039096459</v>
      </c>
      <c r="B609" t="str">
        <f t="shared" si="79"/>
        <v>831376201</v>
      </c>
      <c r="C609" t="str">
        <f t="shared" si="80"/>
        <v>TOULON-BM</v>
      </c>
      <c r="D609" t="str">
        <f t="shared" si="81"/>
        <v>43.0823215</v>
      </c>
      <c r="E609" t="str">
        <f t="shared" si="82"/>
        <v>5.920052699999999</v>
      </c>
      <c r="F609" t="str">
        <f t="shared" si="83"/>
        <v>Toulon journal  [Texte imprimé]</v>
      </c>
      <c r="G609" t="str">
        <f t="shared" si="84"/>
        <v>Toulon journal</v>
      </c>
      <c r="H609" t="str">
        <f t="shared" si="85"/>
        <v>2018-4816</v>
      </c>
      <c r="I609" t="str">
        <f t="shared" si="86"/>
        <v>no. 0 (oct-1873) - no. 3  (nov-1873)</v>
      </c>
    </row>
    <row r="610" spans="1:9" x14ac:dyDescent="0.25">
      <c r="A610" t="str">
        <f>"050937200"</f>
        <v>050937200</v>
      </c>
      <c r="B610" t="str">
        <f t="shared" si="79"/>
        <v>831376201</v>
      </c>
      <c r="C610" t="str">
        <f t="shared" si="80"/>
        <v>TOULON-BM</v>
      </c>
      <c r="D610" t="str">
        <f t="shared" si="81"/>
        <v>43.0823215</v>
      </c>
      <c r="E610" t="str">
        <f t="shared" si="82"/>
        <v>5.920052699999999</v>
      </c>
      <c r="F610" t="str">
        <f t="shared" si="83"/>
        <v>Le Vin  [Texte imprimé]</v>
      </c>
      <c r="G610" t="str">
        <f t="shared" si="84"/>
        <v>Le Vin</v>
      </c>
      <c r="H610" t="str">
        <f t="shared" si="85"/>
        <v>2018-9915</v>
      </c>
      <c r="I610" t="str">
        <f t="shared" si="86"/>
        <v>no. 1 (1920) - no. 15  (1921)</v>
      </c>
    </row>
    <row r="611" spans="1:9" x14ac:dyDescent="0.25">
      <c r="A611" t="str">
        <f>"037396277"</f>
        <v>037396277</v>
      </c>
      <c r="B611" t="str">
        <f t="shared" si="79"/>
        <v>991385301</v>
      </c>
      <c r="C611" t="str">
        <f t="shared" si="80"/>
        <v>MONACO-Musée Océanographique</v>
      </c>
      <c r="D611" t="str">
        <f t="shared" si="81"/>
        <v>43.7310033</v>
      </c>
      <c r="E611" t="str">
        <f t="shared" si="82"/>
        <v>7.425491600000001</v>
      </c>
      <c r="F611" t="str">
        <f t="shared" si="83"/>
        <v>Tavole di marea e delle correnti di marea  [Texte imprimé]</v>
      </c>
      <c r="G611" t="str">
        <f t="shared" si="84"/>
        <v>Tavole di marea e delle correnti di marea</v>
      </c>
      <c r="H611" t="e">
        <f t="shared" si="85"/>
        <v>#VALUE!</v>
      </c>
      <c r="I611" t="str">
        <f t="shared" si="86"/>
        <v>(1967)-.... = (1966)</v>
      </c>
    </row>
    <row r="612" spans="1:9" x14ac:dyDescent="0.25">
      <c r="A612" t="str">
        <f>"039065677"</f>
        <v>039065677</v>
      </c>
      <c r="B612" t="str">
        <f t="shared" si="79"/>
        <v>831376201</v>
      </c>
      <c r="C612" t="str">
        <f t="shared" si="80"/>
        <v>TOULON-BM</v>
      </c>
      <c r="D612" t="str">
        <f t="shared" si="81"/>
        <v>43.0823215</v>
      </c>
      <c r="E612" t="str">
        <f t="shared" si="82"/>
        <v>5.920052699999999</v>
      </c>
      <c r="F612" t="str">
        <f t="shared" si="83"/>
        <v>Le Télégraphe  [Texte imprimé]</v>
      </c>
      <c r="G612" t="str">
        <f t="shared" si="84"/>
        <v>Le Télégraphe</v>
      </c>
      <c r="H612" t="str">
        <f t="shared" si="85"/>
        <v>2018-3879</v>
      </c>
      <c r="I612" t="str">
        <f t="shared" si="86"/>
        <v>no. 21 (nov-1870)</v>
      </c>
    </row>
    <row r="613" spans="1:9" x14ac:dyDescent="0.25">
      <c r="A613" t="str">
        <f>"040198413"</f>
        <v>040198413</v>
      </c>
      <c r="B613" t="str">
        <f t="shared" si="79"/>
        <v>060692301</v>
      </c>
      <c r="C613" t="str">
        <f t="shared" si="80"/>
        <v>GRASSE-Musée Art/Hist Provence</v>
      </c>
      <c r="D613" t="str">
        <f t="shared" si="81"/>
        <v>43.65761759999999</v>
      </c>
      <c r="E613" t="str">
        <f t="shared" si="82"/>
        <v>6.9224541</v>
      </c>
      <c r="F613" t="str">
        <f t="shared" si="83"/>
        <v>L'Armanac dé sei grassenc  [Texte imprimé]</v>
      </c>
      <c r="G613" t="str">
        <f t="shared" si="84"/>
        <v>L'Armanac dé sei grassenc</v>
      </c>
      <c r="H613" t="str">
        <f t="shared" si="85"/>
        <v>1250-7229</v>
      </c>
      <c r="I613" t="str">
        <f t="shared" si="86"/>
        <v>(1971/72) ; (1980)-....</v>
      </c>
    </row>
    <row r="614" spans="1:9" x14ac:dyDescent="0.25">
      <c r="A614" t="str">
        <f>"040272680"</f>
        <v>040272680</v>
      </c>
      <c r="B614" t="str">
        <f t="shared" si="79"/>
        <v>991385301</v>
      </c>
      <c r="C614" t="str">
        <f t="shared" si="80"/>
        <v>MONACO-Musée Océanographique</v>
      </c>
      <c r="D614" t="str">
        <f t="shared" si="81"/>
        <v>43.7310033</v>
      </c>
      <c r="E614" t="str">
        <f t="shared" si="82"/>
        <v>7.425491600000001</v>
      </c>
      <c r="F614" t="e">
        <f t="shared" si="83"/>
        <v>#VALUE!</v>
      </c>
      <c r="G614" t="str">
        <f t="shared" si="84"/>
        <v>Biosphere reserve research report</v>
      </c>
      <c r="H614" t="str">
        <f t="shared" si="85"/>
        <v>1050-5938</v>
      </c>
      <c r="I614" t="str">
        <f t="shared" si="86"/>
        <v>(1986)-....</v>
      </c>
    </row>
    <row r="615" spans="1:9" x14ac:dyDescent="0.25">
      <c r="A615" t="str">
        <f>"075968061"</f>
        <v>075968061</v>
      </c>
      <c r="B615" t="str">
        <f t="shared" si="79"/>
        <v>991385201</v>
      </c>
      <c r="C615" t="str">
        <f t="shared" si="80"/>
        <v>MONACO-Jardin exotique</v>
      </c>
      <c r="D615" t="str">
        <f t="shared" si="81"/>
        <v>43.7310908</v>
      </c>
      <c r="E615" t="str">
        <f t="shared" si="82"/>
        <v>7.410747499999999</v>
      </c>
      <c r="F615" t="str">
        <f t="shared" si="83"/>
        <v>Les Cactophiles  [Texte imprimé]</v>
      </c>
      <c r="G615" t="str">
        <f t="shared" si="84"/>
        <v>Les Cactophiles</v>
      </c>
      <c r="H615" t="str">
        <f t="shared" si="85"/>
        <v>1766-3822</v>
      </c>
      <c r="I615" t="str">
        <f t="shared" si="86"/>
        <v>no. 1 (1941) - no. 3  (1941) ; no. 5 (1942) - no. 6  (1942)</v>
      </c>
    </row>
    <row r="616" spans="1:9" x14ac:dyDescent="0.25">
      <c r="A616" t="str">
        <f>"109354737"</f>
        <v>109354737</v>
      </c>
      <c r="B616" t="str">
        <f t="shared" si="79"/>
        <v>060296201</v>
      </c>
      <c r="C616" t="str">
        <f t="shared" si="80"/>
        <v>CANNES-Médiathèque municipal</v>
      </c>
      <c r="D616" t="str">
        <f t="shared" si="81"/>
        <v>43.5508621</v>
      </c>
      <c r="E616" t="str">
        <f t="shared" si="82"/>
        <v>7.0033444</v>
      </c>
      <c r="F616" t="str">
        <f t="shared" si="83"/>
        <v>Société agricole et horticole de Cannes et de l'arrondissement de Grasse  [Texte imprimé]  : Bulletin</v>
      </c>
      <c r="G616" t="str">
        <f t="shared" si="84"/>
        <v>Société agricole et horticole de Cannes et de l'arrondissement de Grasse</v>
      </c>
      <c r="H616" t="e">
        <f t="shared" si="85"/>
        <v>#VALUE!</v>
      </c>
      <c r="I616" t="str">
        <f t="shared" si="86"/>
        <v>(1866) - (1914)</v>
      </c>
    </row>
    <row r="617" spans="1:9" x14ac:dyDescent="0.25">
      <c r="A617" t="str">
        <f>"036777463"</f>
        <v>036777463</v>
      </c>
      <c r="B617" t="str">
        <f t="shared" si="79"/>
        <v>991385201</v>
      </c>
      <c r="C617" t="str">
        <f t="shared" si="80"/>
        <v>MONACO-Jardin exotique</v>
      </c>
      <c r="D617" t="str">
        <f t="shared" si="81"/>
        <v>43.7310908</v>
      </c>
      <c r="E617" t="str">
        <f t="shared" si="82"/>
        <v>7.410747499999999</v>
      </c>
      <c r="F617" t="str">
        <f t="shared" si="83"/>
        <v>Journal of the Cactus and Succulent Society of New Zealand  [Texte imprimé]</v>
      </c>
      <c r="G617" t="str">
        <f t="shared" si="84"/>
        <v>Journal of the Cactus and Succulent Society of New Zealand</v>
      </c>
      <c r="H617" t="str">
        <f t="shared" si="85"/>
        <v>0112-9384</v>
      </c>
      <c r="I617" t="str">
        <f t="shared" si="86"/>
        <v>vol. 2 no. 1 (1949) - vol. 3  no. 7  (1950)</v>
      </c>
    </row>
    <row r="618" spans="1:9" x14ac:dyDescent="0.25">
      <c r="A618" t="str">
        <f>"037972359"</f>
        <v>037972359</v>
      </c>
      <c r="B618" t="str">
        <f t="shared" si="79"/>
        <v>991386201</v>
      </c>
      <c r="C618" t="str">
        <f t="shared" si="80"/>
        <v>MONACO-Bibl.Louis Notari</v>
      </c>
      <c r="D618" t="str">
        <f t="shared" si="81"/>
        <v>43.7351319</v>
      </c>
      <c r="E618" t="str">
        <f t="shared" si="82"/>
        <v>7.420563100000001</v>
      </c>
      <c r="F618" t="str">
        <f t="shared" si="83"/>
        <v>Monaco informations  [Texte imprimé]</v>
      </c>
      <c r="G618" t="str">
        <f t="shared" si="84"/>
        <v>Monaco informations</v>
      </c>
      <c r="H618" t="str">
        <f t="shared" si="85"/>
        <v>1016-8494</v>
      </c>
      <c r="I618" t="str">
        <f t="shared" si="86"/>
        <v>(1968) - (1974)</v>
      </c>
    </row>
    <row r="619" spans="1:9" x14ac:dyDescent="0.25">
      <c r="A619" t="str">
        <f>"039065758"</f>
        <v>039065758</v>
      </c>
      <c r="B619" t="str">
        <f t="shared" si="79"/>
        <v>831376201</v>
      </c>
      <c r="C619" t="str">
        <f t="shared" si="80"/>
        <v>TOULON-BM</v>
      </c>
      <c r="D619" t="str">
        <f t="shared" si="81"/>
        <v>43.0823215</v>
      </c>
      <c r="E619" t="str">
        <f t="shared" si="82"/>
        <v>5.920052699999999</v>
      </c>
      <c r="F619" t="str">
        <f t="shared" si="83"/>
        <v>La Vigie des ports  [Texte imprimé]  : Organe de défense des personnels de la marine</v>
      </c>
      <c r="G619" t="str">
        <f t="shared" si="84"/>
        <v>La Vigie des ports</v>
      </c>
      <c r="H619" t="str">
        <f t="shared" si="85"/>
        <v>2018-6509</v>
      </c>
      <c r="I619" t="str">
        <f t="shared" si="86"/>
        <v>no. 1 (1921)</v>
      </c>
    </row>
    <row r="620" spans="1:9" x14ac:dyDescent="0.25">
      <c r="A620" t="str">
        <f>"039065774"</f>
        <v>039065774</v>
      </c>
      <c r="B620" t="str">
        <f t="shared" si="79"/>
        <v>831376201</v>
      </c>
      <c r="C620" t="str">
        <f t="shared" si="80"/>
        <v>TOULON-BM</v>
      </c>
      <c r="D620" t="str">
        <f t="shared" si="81"/>
        <v>43.0823215</v>
      </c>
      <c r="E620" t="str">
        <f t="shared" si="82"/>
        <v>5.920052699999999</v>
      </c>
      <c r="F620" t="str">
        <f t="shared" si="83"/>
        <v>La Vigie provençale  [Texte imprimé]</v>
      </c>
      <c r="G620" t="str">
        <f t="shared" si="84"/>
        <v>La Vigie provençale</v>
      </c>
      <c r="H620" t="str">
        <f t="shared" si="85"/>
        <v>2018-6517</v>
      </c>
      <c r="I620" t="str">
        <f t="shared" si="86"/>
        <v>no. 2 (1921)</v>
      </c>
    </row>
    <row r="621" spans="1:9" x14ac:dyDescent="0.25">
      <c r="A621" t="str">
        <f>"036226297"</f>
        <v>036226297</v>
      </c>
      <c r="B621" t="str">
        <f t="shared" si="79"/>
        <v>991385301</v>
      </c>
      <c r="C621" t="str">
        <f t="shared" si="80"/>
        <v>MONACO-Musée Océanographique</v>
      </c>
      <c r="D621" t="str">
        <f t="shared" si="81"/>
        <v>43.7310033</v>
      </c>
      <c r="E621" t="str">
        <f t="shared" si="82"/>
        <v>7.425491600000001</v>
      </c>
      <c r="F621" t="str">
        <f t="shared" si="83"/>
        <v>The Compass  [Texte imprimé]</v>
      </c>
      <c r="G621" t="str">
        <f t="shared" si="84"/>
        <v>The Compass</v>
      </c>
      <c r="H621" t="e">
        <f t="shared" si="85"/>
        <v>#VALUE!</v>
      </c>
      <c r="I621" t="str">
        <f t="shared" si="86"/>
        <v>(1960)-....</v>
      </c>
    </row>
    <row r="622" spans="1:9" x14ac:dyDescent="0.25">
      <c r="A622" t="str">
        <f>"036745200"</f>
        <v>036745200</v>
      </c>
      <c r="B622" t="str">
        <f t="shared" si="79"/>
        <v>991385301</v>
      </c>
      <c r="C622" t="str">
        <f t="shared" si="80"/>
        <v>MONACO-Musée Océanographique</v>
      </c>
      <c r="D622" t="str">
        <f t="shared" si="81"/>
        <v>43.7310033</v>
      </c>
      <c r="E622" t="str">
        <f t="shared" si="82"/>
        <v>7.425491600000001</v>
      </c>
      <c r="F622" t="str">
        <f t="shared" si="83"/>
        <v>NHBS bulletin  [Texte imprimé]</v>
      </c>
      <c r="G622" t="str">
        <f t="shared" si="84"/>
        <v>NHBS bulletin</v>
      </c>
      <c r="H622" t="str">
        <f t="shared" si="85"/>
        <v>1358-4014</v>
      </c>
      <c r="I622" t="str">
        <f t="shared" si="86"/>
        <v>vol. 1 no. 1 (1991)-....</v>
      </c>
    </row>
    <row r="623" spans="1:9" x14ac:dyDescent="0.25">
      <c r="A623" t="str">
        <f>"038378248"</f>
        <v>038378248</v>
      </c>
      <c r="B623" t="str">
        <f t="shared" si="79"/>
        <v>060886101</v>
      </c>
      <c r="C623" t="str">
        <f t="shared" si="80"/>
        <v>NICE- BMVR Louis Nucéra</v>
      </c>
      <c r="D623" t="str">
        <f t="shared" si="81"/>
        <v>43.7015650</v>
      </c>
      <c r="E623" t="str">
        <f t="shared" si="82"/>
        <v>7.2786247</v>
      </c>
      <c r="F623" t="str">
        <f t="shared" si="83"/>
        <v>Il Mondo elegante  [Texte imprimé]</v>
      </c>
      <c r="G623" t="str">
        <f t="shared" si="84"/>
        <v>Il Mondo elegante</v>
      </c>
      <c r="H623" t="e">
        <f t="shared" si="85"/>
        <v>#VALUE!</v>
      </c>
      <c r="I623" t="str">
        <f t="shared" si="86"/>
        <v>no. 3 (1875) - no. 52  (1875)</v>
      </c>
    </row>
    <row r="624" spans="1:9" x14ac:dyDescent="0.25">
      <c r="A624" t="str">
        <f>"039052060"</f>
        <v>039052060</v>
      </c>
      <c r="B624" t="str">
        <f t="shared" si="79"/>
        <v>831376201</v>
      </c>
      <c r="C624" t="str">
        <f t="shared" si="80"/>
        <v>TOULON-BM</v>
      </c>
      <c r="D624" t="str">
        <f t="shared" si="81"/>
        <v>43.0823215</v>
      </c>
      <c r="E624" t="str">
        <f t="shared" si="82"/>
        <v>5.920052699999999</v>
      </c>
      <c r="F624" t="str">
        <f t="shared" si="83"/>
        <v>Le Réveil national du Var  [Texte imprimé]</v>
      </c>
      <c r="G624" t="str">
        <f t="shared" si="84"/>
        <v>Le Réveil national du Var</v>
      </c>
      <c r="H624" t="str">
        <f t="shared" si="85"/>
        <v>2017-6449</v>
      </c>
      <c r="I624" t="str">
        <f t="shared" si="86"/>
        <v>no. 2 (1924)</v>
      </c>
    </row>
    <row r="625" spans="1:9" x14ac:dyDescent="0.25">
      <c r="A625" t="str">
        <f>"036371831"</f>
        <v>036371831</v>
      </c>
      <c r="B625" t="str">
        <f t="shared" si="79"/>
        <v>991385301</v>
      </c>
      <c r="C625" t="str">
        <f t="shared" si="80"/>
        <v>MONACO-Musée Océanographique</v>
      </c>
      <c r="D625" t="str">
        <f t="shared" si="81"/>
        <v>43.7310033</v>
      </c>
      <c r="E625" t="str">
        <f t="shared" si="82"/>
        <v>7.425491600000001</v>
      </c>
      <c r="F625" t="str">
        <f t="shared" si="83"/>
        <v>Oulun yliopiston eläintieteen laitos. Reprints</v>
      </c>
      <c r="G625" t="str">
        <f t="shared" si="84"/>
        <v>Oulun yliopiston eläintieteen laitos. Reprints</v>
      </c>
      <c r="H625" t="e">
        <f t="shared" si="85"/>
        <v>#VALUE!</v>
      </c>
      <c r="I625" t="str">
        <f t="shared" si="86"/>
        <v>no. 33 (1966)-.... [lac]</v>
      </c>
    </row>
    <row r="626" spans="1:9" x14ac:dyDescent="0.25">
      <c r="A626" t="str">
        <f>"048886971"</f>
        <v>048886971</v>
      </c>
      <c r="B626" t="str">
        <f t="shared" si="79"/>
        <v>831375101</v>
      </c>
      <c r="C626" t="str">
        <f t="shared" si="80"/>
        <v>TOULON-Serv.Historique Marine</v>
      </c>
      <c r="D626" t="str">
        <f t="shared" si="81"/>
        <v>43.124228</v>
      </c>
      <c r="E626" t="str">
        <f t="shared" si="82"/>
        <v>5.928</v>
      </c>
      <c r="F626" t="str">
        <f t="shared" si="83"/>
        <v>Bulletin quotidien de l'Afrique du Nord  II, Sahara et territoires du Sud  [Texte imprimé]</v>
      </c>
      <c r="G626" t="str">
        <f t="shared" si="84"/>
        <v>Bulletin quotidien de l'Afrique du Nord</v>
      </c>
      <c r="H626" t="str">
        <f t="shared" si="85"/>
        <v>2020-6208</v>
      </c>
      <c r="I626" t="str">
        <f t="shared" si="86"/>
        <v>no. 78 (1930) - no. 149  (1932)</v>
      </c>
    </row>
    <row r="627" spans="1:9" x14ac:dyDescent="0.25">
      <c r="A627" t="str">
        <f>"048886742"</f>
        <v>048886742</v>
      </c>
      <c r="B627" t="str">
        <f t="shared" si="79"/>
        <v>831375101</v>
      </c>
      <c r="C627" t="str">
        <f t="shared" si="80"/>
        <v>TOULON-Serv.Historique Marine</v>
      </c>
      <c r="D627" t="str">
        <f t="shared" si="81"/>
        <v>43.124228</v>
      </c>
      <c r="E627" t="str">
        <f t="shared" si="82"/>
        <v>5.928</v>
      </c>
      <c r="F627" t="str">
        <f t="shared" si="83"/>
        <v>Le Bachi du Var  [Texte imprimé]</v>
      </c>
      <c r="G627" t="str">
        <f t="shared" si="84"/>
        <v>Le Bachi du Var</v>
      </c>
      <c r="H627" t="str">
        <f t="shared" si="85"/>
        <v>0999-8985</v>
      </c>
      <c r="I627" t="str">
        <f t="shared" si="86"/>
        <v>(1990)-....</v>
      </c>
    </row>
    <row r="628" spans="1:9" x14ac:dyDescent="0.25">
      <c r="A628" t="str">
        <f>"039705390"</f>
        <v>039705390</v>
      </c>
      <c r="B628" t="str">
        <f t="shared" si="79"/>
        <v>061525404</v>
      </c>
      <c r="C628" t="str">
        <f t="shared" si="80"/>
        <v>SOPHIA/ANT.-Thales Und. Systems</v>
      </c>
      <c r="D628" t="e">
        <f t="shared" si="81"/>
        <v>#VALUE!</v>
      </c>
      <c r="E628" t="e">
        <f t="shared" si="82"/>
        <v>#VALUE!</v>
      </c>
      <c r="F628" t="str">
        <f t="shared" si="83"/>
        <v>Sound &amp; video contractor  [Texte imprimé]</v>
      </c>
      <c r="G628" t="str">
        <f t="shared" si="84"/>
        <v>Sound &amp; video contractor</v>
      </c>
      <c r="H628" t="str">
        <f t="shared" si="85"/>
        <v>0741-1715</v>
      </c>
      <c r="I628" t="str">
        <f t="shared" si="86"/>
        <v>(1983) - (1985)</v>
      </c>
    </row>
    <row r="629" spans="1:9" x14ac:dyDescent="0.25">
      <c r="A629" t="str">
        <f>"055391796"</f>
        <v>055391796</v>
      </c>
      <c r="B629" t="str">
        <f t="shared" si="79"/>
        <v>060885101</v>
      </c>
      <c r="C629" t="str">
        <f t="shared" si="80"/>
        <v>NICE-Archives Municipales</v>
      </c>
      <c r="D629" t="str">
        <f t="shared" si="81"/>
        <v>43.68774699999999</v>
      </c>
      <c r="E629" t="str">
        <f t="shared" si="82"/>
        <v>7.235200000000001</v>
      </c>
      <c r="F629" t="str">
        <f t="shared" si="83"/>
        <v>Le Skieur des Alpes niçoises  [Texte imprimé]  : bulletin trimestriel du Ski Club de Nice</v>
      </c>
      <c r="G629" t="str">
        <f t="shared" si="84"/>
        <v>Le Skieur des Alpes niçoises</v>
      </c>
      <c r="H629" t="str">
        <f t="shared" si="85"/>
        <v>2021-1503</v>
      </c>
      <c r="I629" t="str">
        <f t="shared" si="86"/>
        <v>no. 14 (1934) ; no. 5 (avr-1954)</v>
      </c>
    </row>
    <row r="630" spans="1:9" x14ac:dyDescent="0.25">
      <c r="A630" t="str">
        <f>"070933154"</f>
        <v>070933154</v>
      </c>
      <c r="B630" t="str">
        <f t="shared" si="79"/>
        <v>991385201</v>
      </c>
      <c r="C630" t="str">
        <f t="shared" si="80"/>
        <v>MONACO-Jardin exotique</v>
      </c>
      <c r="D630" t="str">
        <f t="shared" si="81"/>
        <v>43.7310908</v>
      </c>
      <c r="E630" t="str">
        <f t="shared" si="82"/>
        <v>7.410747499999999</v>
      </c>
      <c r="F630" t="str">
        <f t="shared" si="83"/>
        <v>Alsterworthia international  [Texte imprimé]</v>
      </c>
      <c r="G630" t="str">
        <f t="shared" si="84"/>
        <v>Alsterworthia international</v>
      </c>
      <c r="H630" t="str">
        <f t="shared" si="85"/>
        <v>1474-4635</v>
      </c>
      <c r="I630" t="str">
        <f t="shared" si="86"/>
        <v>vol. 1 no. 1 (2001)-....</v>
      </c>
    </row>
    <row r="631" spans="1:9" x14ac:dyDescent="0.25">
      <c r="A631" t="str">
        <f>"039066290"</f>
        <v>039066290</v>
      </c>
      <c r="B631" t="str">
        <f t="shared" si="79"/>
        <v>831376201</v>
      </c>
      <c r="C631" t="str">
        <f t="shared" si="80"/>
        <v>TOULON-BM</v>
      </c>
      <c r="D631" t="str">
        <f t="shared" si="81"/>
        <v>43.0823215</v>
      </c>
      <c r="E631" t="str">
        <f t="shared" si="82"/>
        <v>5.920052699999999</v>
      </c>
      <c r="F631" t="str">
        <f t="shared" si="83"/>
        <v>Bulletin semestriel  [Texte imprimé]  / Cercle des mécaniciens de la Marine Nationale à Toulon</v>
      </c>
      <c r="G631" t="str">
        <f t="shared" si="84"/>
        <v>Bulletin semestriel</v>
      </c>
      <c r="H631" t="str">
        <f t="shared" si="85"/>
        <v>2016-3134</v>
      </c>
      <c r="I631" t="str">
        <f t="shared" si="86"/>
        <v>(avr-1874) - (jan-1878)</v>
      </c>
    </row>
    <row r="632" spans="1:9" x14ac:dyDescent="0.25">
      <c r="A632" t="str">
        <f>"039066274"</f>
        <v>039066274</v>
      </c>
      <c r="B632" t="str">
        <f t="shared" si="79"/>
        <v>831376201</v>
      </c>
      <c r="C632" t="str">
        <f t="shared" si="80"/>
        <v>TOULON-BM</v>
      </c>
      <c r="D632" t="str">
        <f t="shared" si="81"/>
        <v>43.0823215</v>
      </c>
      <c r="E632" t="str">
        <f t="shared" si="82"/>
        <v>5.920052699999999</v>
      </c>
      <c r="F632" t="str">
        <f t="shared" si="83"/>
        <v>Bulletin du Cercle des mécaniciens de la Marine Impériale  [Texte imprimé]</v>
      </c>
      <c r="G632" t="str">
        <f t="shared" si="84"/>
        <v>Bulletin du Cercle des mécaniciens de la Marine Impériale</v>
      </c>
      <c r="H632" t="str">
        <f t="shared" si="85"/>
        <v>2016-4211</v>
      </c>
      <c r="I632" t="str">
        <f t="shared" si="86"/>
        <v>no. 1 (1867) - no. 7  (1869)</v>
      </c>
    </row>
    <row r="633" spans="1:9" x14ac:dyDescent="0.25">
      <c r="A633" t="str">
        <f>"039991032"</f>
        <v>039991032</v>
      </c>
      <c r="B633" t="str">
        <f t="shared" si="79"/>
        <v>991385301</v>
      </c>
      <c r="C633" t="str">
        <f t="shared" si="80"/>
        <v>MONACO-Musée Océanographique</v>
      </c>
      <c r="D633" t="str">
        <f t="shared" si="81"/>
        <v>43.7310033</v>
      </c>
      <c r="E633" t="str">
        <f t="shared" si="82"/>
        <v>7.425491600000001</v>
      </c>
      <c r="F633" t="str">
        <f t="shared" si="83"/>
        <v>CSA update  [Texte imprimé]</v>
      </c>
      <c r="G633" t="str">
        <f t="shared" si="84"/>
        <v>CSA update</v>
      </c>
      <c r="H633" t="str">
        <f t="shared" si="85"/>
        <v>0892-3531</v>
      </c>
      <c r="I633" t="str">
        <f t="shared" si="86"/>
        <v>vol. 1 no. 1 (1982)-....</v>
      </c>
    </row>
    <row r="634" spans="1:9" x14ac:dyDescent="0.25">
      <c r="A634" t="str">
        <f>"040113728"</f>
        <v>040113728</v>
      </c>
      <c r="B634" t="str">
        <f t="shared" si="79"/>
        <v>991385301</v>
      </c>
      <c r="C634" t="str">
        <f t="shared" si="80"/>
        <v>MONACO-Musée Océanographique</v>
      </c>
      <c r="D634" t="str">
        <f t="shared" si="81"/>
        <v>43.7310033</v>
      </c>
      <c r="E634" t="str">
        <f t="shared" si="82"/>
        <v>7.425491600000001</v>
      </c>
      <c r="F634" t="str">
        <f t="shared" si="83"/>
        <v>Haiyang wenzhai  [Texte imprimé]</v>
      </c>
      <c r="G634" t="str">
        <f t="shared" si="84"/>
        <v>Haiyang wenzhai</v>
      </c>
      <c r="H634" t="str">
        <f t="shared" si="85"/>
        <v>1001-0157</v>
      </c>
      <c r="I634" t="str">
        <f t="shared" si="86"/>
        <v>no. 1 (1987)-....</v>
      </c>
    </row>
    <row r="635" spans="1:9" x14ac:dyDescent="0.25">
      <c r="A635" t="str">
        <f>"036419354"</f>
        <v>036419354</v>
      </c>
      <c r="B635" t="str">
        <f t="shared" si="79"/>
        <v>991385301</v>
      </c>
      <c r="C635" t="str">
        <f t="shared" si="80"/>
        <v>MONACO-Musée Océanographique</v>
      </c>
      <c r="D635" t="str">
        <f t="shared" si="81"/>
        <v>43.7310033</v>
      </c>
      <c r="E635" t="str">
        <f t="shared" si="82"/>
        <v>7.425491600000001</v>
      </c>
      <c r="F635" t="str">
        <f t="shared" si="83"/>
        <v>Sea grant technical bulletin  [Texte imprimé]</v>
      </c>
      <c r="G635" t="str">
        <f t="shared" si="84"/>
        <v>Sea grant technical bulletin</v>
      </c>
      <c r="H635" t="e">
        <f t="shared" si="85"/>
        <v>#VALUE!</v>
      </c>
      <c r="I635" t="str">
        <f t="shared" si="86"/>
        <v>(1970)-....</v>
      </c>
    </row>
    <row r="636" spans="1:9" x14ac:dyDescent="0.25">
      <c r="A636" t="str">
        <f>"039518566"</f>
        <v>039518566</v>
      </c>
      <c r="B636" t="str">
        <f t="shared" si="79"/>
        <v>991385301</v>
      </c>
      <c r="C636" t="str">
        <f t="shared" si="80"/>
        <v>MONACO-Musée Océanographique</v>
      </c>
      <c r="D636" t="str">
        <f t="shared" si="81"/>
        <v>43.7310033</v>
      </c>
      <c r="E636" t="str">
        <f t="shared" si="82"/>
        <v>7.425491600000001</v>
      </c>
      <c r="F636" t="str">
        <f t="shared" si="83"/>
        <v>Canadian Fish Culturist  [Texte imprimé]</v>
      </c>
      <c r="G636" t="str">
        <f t="shared" si="84"/>
        <v>Canadian Fish Culturist</v>
      </c>
      <c r="H636" t="str">
        <f t="shared" si="85"/>
        <v>0366-7286</v>
      </c>
      <c r="I636" t="e">
        <f t="shared" si="86"/>
        <v>#VALUE!</v>
      </c>
    </row>
    <row r="637" spans="1:9" x14ac:dyDescent="0.25">
      <c r="A637" t="str">
        <f>"058147764"</f>
        <v>058147764</v>
      </c>
      <c r="B637" t="str">
        <f t="shared" si="79"/>
        <v>060885109</v>
      </c>
      <c r="C637" t="str">
        <f t="shared" si="80"/>
        <v>NICE-Théâtre Photo. et Image</v>
      </c>
      <c r="D637" t="str">
        <f t="shared" si="81"/>
        <v>43.6958659</v>
      </c>
      <c r="E637" t="str">
        <f t="shared" si="82"/>
        <v>7.274715499999957</v>
      </c>
      <c r="F637" t="str">
        <f t="shared" si="83"/>
        <v>Reportage  [Texte imprimé]</v>
      </c>
      <c r="G637" t="str">
        <f t="shared" si="84"/>
        <v>Reportage</v>
      </c>
      <c r="H637" t="str">
        <f t="shared" si="85"/>
        <v>1350-4010</v>
      </c>
      <c r="I637" t="str">
        <f t="shared" si="86"/>
        <v>no. 1 (1993) - no. 5  (1999)</v>
      </c>
    </row>
    <row r="638" spans="1:9" x14ac:dyDescent="0.25">
      <c r="A638" t="str">
        <f>"12427868X"</f>
        <v>12427868X</v>
      </c>
      <c r="B638" t="str">
        <f t="shared" si="79"/>
        <v>060886101</v>
      </c>
      <c r="C638" t="str">
        <f t="shared" si="80"/>
        <v>NICE- BMVR Louis Nucéra</v>
      </c>
      <c r="D638" t="str">
        <f t="shared" si="81"/>
        <v>43.7015650</v>
      </c>
      <c r="E638" t="str">
        <f t="shared" si="82"/>
        <v>7.2786247</v>
      </c>
      <c r="F638" t="str">
        <f t="shared" si="83"/>
        <v>Radio-Nice et Méditerranée  [Texte imprimé]</v>
      </c>
      <c r="G638" t="str">
        <f t="shared" si="84"/>
        <v>Radio-Nice et Méditerranée</v>
      </c>
      <c r="H638" t="str">
        <f t="shared" si="85"/>
        <v>1963-8876</v>
      </c>
      <c r="I638" t="str">
        <f t="shared" si="86"/>
        <v>(fev-1928) - (jun-1928)</v>
      </c>
    </row>
    <row r="639" spans="1:9" x14ac:dyDescent="0.25">
      <c r="A639" t="str">
        <f>"039150941"</f>
        <v>039150941</v>
      </c>
      <c r="B639" t="str">
        <f t="shared" si="79"/>
        <v>991385301</v>
      </c>
      <c r="C639" t="str">
        <f t="shared" si="80"/>
        <v>MONACO-Musée Océanographique</v>
      </c>
      <c r="D639" t="str">
        <f t="shared" si="81"/>
        <v>43.7310033</v>
      </c>
      <c r="E639" t="str">
        <f t="shared" si="82"/>
        <v>7.425491600000001</v>
      </c>
      <c r="F639" t="str">
        <f t="shared" si="83"/>
        <v>Aquasphere  [Texte imprimé]</v>
      </c>
      <c r="G639" t="str">
        <f t="shared" si="84"/>
        <v>Aquasphere</v>
      </c>
      <c r="H639" t="str">
        <f t="shared" si="85"/>
        <v>0196-0199</v>
      </c>
      <c r="I639" t="str">
        <f t="shared" si="86"/>
        <v>(1972)-....</v>
      </c>
    </row>
    <row r="640" spans="1:9" x14ac:dyDescent="0.25">
      <c r="A640" t="str">
        <f>"039326047"</f>
        <v>039326047</v>
      </c>
      <c r="B640" t="str">
        <f t="shared" si="79"/>
        <v>061525404</v>
      </c>
      <c r="C640" t="str">
        <f t="shared" si="80"/>
        <v>SOPHIA/ANT.-Thales Und. Systems</v>
      </c>
      <c r="D640" t="e">
        <f t="shared" si="81"/>
        <v>#VALUE!</v>
      </c>
      <c r="E640" t="e">
        <f t="shared" si="82"/>
        <v>#VALUE!</v>
      </c>
      <c r="F640" t="str">
        <f t="shared" si="83"/>
        <v>Strategy &amp; defence  [Texte imprimé]</v>
      </c>
      <c r="G640" t="str">
        <f t="shared" si="84"/>
        <v>Strategy &amp; defence</v>
      </c>
      <c r="H640" t="str">
        <f t="shared" si="85"/>
        <v>0269-4093</v>
      </c>
      <c r="I640" t="str">
        <f t="shared" si="86"/>
        <v>(1984) - (1984)</v>
      </c>
    </row>
    <row r="641" spans="1:9" x14ac:dyDescent="0.25">
      <c r="A641" t="str">
        <f>"040160297"</f>
        <v>040160297</v>
      </c>
      <c r="B641" t="str">
        <f t="shared" si="79"/>
        <v>991386201</v>
      </c>
      <c r="C641" t="str">
        <f t="shared" si="80"/>
        <v>MONACO-Bibl.Louis Notari</v>
      </c>
      <c r="D641" t="str">
        <f t="shared" si="81"/>
        <v>43.7351319</v>
      </c>
      <c r="E641" t="str">
        <f t="shared" si="82"/>
        <v>7.420563100000001</v>
      </c>
      <c r="F641" t="str">
        <f t="shared" si="83"/>
        <v>Abri de Monaco  [Texte imprimé]</v>
      </c>
      <c r="G641" t="str">
        <f t="shared" si="84"/>
        <v>Abri de Monaco</v>
      </c>
      <c r="H641" t="str">
        <f t="shared" si="85"/>
        <v>1016-1953</v>
      </c>
      <c r="I641" t="str">
        <f t="shared" si="86"/>
        <v>(1977) - (1982) ; (1987) - (1989)</v>
      </c>
    </row>
    <row r="642" spans="1:9" x14ac:dyDescent="0.25">
      <c r="A642" t="str">
        <f>"044868596"</f>
        <v>044868596</v>
      </c>
      <c r="B642" t="str">
        <f t="shared" si="79"/>
        <v>991385201</v>
      </c>
      <c r="C642" t="str">
        <f t="shared" si="80"/>
        <v>MONACO-Jardin exotique</v>
      </c>
      <c r="D642" t="str">
        <f t="shared" si="81"/>
        <v>43.7310908</v>
      </c>
      <c r="E642" t="str">
        <f t="shared" si="82"/>
        <v>7.410747499999999</v>
      </c>
      <c r="F642" t="str">
        <f t="shared" si="83"/>
        <v>Debreceni pozsgás-tár  [Texte imprimé]</v>
      </c>
      <c r="G642" t="str">
        <f t="shared" si="84"/>
        <v>Debreceni pozsgás-tár</v>
      </c>
      <c r="H642" t="str">
        <f t="shared" si="85"/>
        <v>1419-130X</v>
      </c>
      <c r="I642" t="str">
        <f t="shared" si="86"/>
        <v>vol. 1 (1999)-.... [Lacunes : vol 4 n°2 (2001), vol 5 n°3 (2002) et vol 6 n°4 (2003)]</v>
      </c>
    </row>
    <row r="643" spans="1:9" x14ac:dyDescent="0.25">
      <c r="A643" t="str">
        <f>"036390755"</f>
        <v>036390755</v>
      </c>
      <c r="B643" t="str">
        <f t="shared" ref="B643:B706" si="87">TEXT(_xlfn.FILTERXML(_xlfn.WEBSERVICE("http://www.sudoc.fr/services/multiwhere/"&amp;A643),"//query/result/library/rcr"),"000000000")</f>
        <v>991385301</v>
      </c>
      <c r="C643" t="str">
        <f t="shared" si="80"/>
        <v>MONACO-Musée Océanographique</v>
      </c>
      <c r="D643" t="str">
        <f t="shared" si="81"/>
        <v>43.7310033</v>
      </c>
      <c r="E643" t="str">
        <f t="shared" si="82"/>
        <v>7.425491600000001</v>
      </c>
      <c r="F643" t="str">
        <f t="shared" si="83"/>
        <v>Publicacão do Instituto hidrográfico  [Texte imprimé]</v>
      </c>
      <c r="G643" t="str">
        <f t="shared" si="84"/>
        <v>Publicacão do Instituto hidrográfico</v>
      </c>
      <c r="H643" t="e">
        <f t="shared" si="85"/>
        <v>#VALUE!</v>
      </c>
      <c r="I643" t="e">
        <f t="shared" si="86"/>
        <v>#VALUE!</v>
      </c>
    </row>
    <row r="644" spans="1:9" x14ac:dyDescent="0.25">
      <c r="A644" t="str">
        <f>"038489880"</f>
        <v>038489880</v>
      </c>
      <c r="B644" t="str">
        <f t="shared" si="87"/>
        <v>991385301</v>
      </c>
      <c r="C644" t="str">
        <f t="shared" si="80"/>
        <v>MONACO-Musée Océanographique</v>
      </c>
      <c r="D644" t="str">
        <f t="shared" si="81"/>
        <v>43.7310033</v>
      </c>
      <c r="E644" t="str">
        <f t="shared" si="82"/>
        <v>7.425491600000001</v>
      </c>
      <c r="F644" t="str">
        <f t="shared" si="83"/>
        <v>Pubblicazioni della stazione zoologica di napoli  Section i,   marine ecology,   [Texte imprimé]</v>
      </c>
      <c r="G644" t="str">
        <f t="shared" si="84"/>
        <v>Pubblicazioni della stazione zoologica di napoli</v>
      </c>
      <c r="H644" t="e">
        <f t="shared" si="85"/>
        <v>#VALUE!</v>
      </c>
      <c r="I644" t="str">
        <f t="shared" si="86"/>
        <v>vol. 1 no. 1 (1980)-....</v>
      </c>
    </row>
    <row r="645" spans="1:9" x14ac:dyDescent="0.25">
      <c r="A645" t="str">
        <f>"03902282X"</f>
        <v>03902282X</v>
      </c>
      <c r="B645" t="str">
        <f t="shared" si="87"/>
        <v>060886101</v>
      </c>
      <c r="C645" t="str">
        <f t="shared" si="80"/>
        <v>NICE- BMVR Louis Nucéra</v>
      </c>
      <c r="D645" t="str">
        <f t="shared" si="81"/>
        <v>43.7015650</v>
      </c>
      <c r="E645" t="str">
        <f t="shared" si="82"/>
        <v>7.2786247</v>
      </c>
      <c r="F645" t="str">
        <f t="shared" si="83"/>
        <v>La Province Nouvelle  [Texte imprimé]</v>
      </c>
      <c r="G645" t="str">
        <f t="shared" si="84"/>
        <v>La Province Nouvelle</v>
      </c>
      <c r="H645" t="str">
        <f t="shared" si="85"/>
        <v>2018-2554</v>
      </c>
      <c r="I645" t="str">
        <f t="shared" si="86"/>
        <v>no. 1 (1896) ; no. 4 (1896) - no. 13  (1897) ; no. 15 (1897) - no. 25  (1898)</v>
      </c>
    </row>
    <row r="646" spans="1:9" x14ac:dyDescent="0.25">
      <c r="A646" t="str">
        <f>"039674460"</f>
        <v>039674460</v>
      </c>
      <c r="B646" t="str">
        <f t="shared" si="87"/>
        <v>991385301</v>
      </c>
      <c r="C646" t="str">
        <f t="shared" si="80"/>
        <v>MONACO-Musée Océanographique</v>
      </c>
      <c r="D646" t="str">
        <f t="shared" si="81"/>
        <v>43.7310033</v>
      </c>
      <c r="E646" t="str">
        <f t="shared" si="82"/>
        <v>7.425491600000001</v>
      </c>
      <c r="F646" t="str">
        <f t="shared" si="83"/>
        <v>Canadian technical report of hydrography and ocean sciences  [Texte imprimé]</v>
      </c>
      <c r="G646" t="str">
        <f t="shared" si="84"/>
        <v>Canadian technical report of hydrography and ocean sciences</v>
      </c>
      <c r="H646" t="str">
        <f t="shared" si="85"/>
        <v>0711-6764</v>
      </c>
      <c r="I646" t="str">
        <f t="shared" si="86"/>
        <v>no. 1 (1982) - no. 47  (1984) [lac]</v>
      </c>
    </row>
    <row r="647" spans="1:9" x14ac:dyDescent="0.25">
      <c r="A647" t="str">
        <f>"04016036X"</f>
        <v>04016036X</v>
      </c>
      <c r="B647" t="str">
        <f t="shared" si="87"/>
        <v>991385301</v>
      </c>
      <c r="C647" t="str">
        <f t="shared" si="80"/>
        <v>MONACO-Musée Océanographique</v>
      </c>
      <c r="D647" t="str">
        <f t="shared" si="81"/>
        <v>43.7310033</v>
      </c>
      <c r="E647" t="str">
        <f t="shared" si="82"/>
        <v>7.425491600000001</v>
      </c>
      <c r="F647" t="str">
        <f t="shared" si="83"/>
        <v>Newsletter of the Cetacean Specialist Group  [Texte imprimé]</v>
      </c>
      <c r="G647" t="str">
        <f t="shared" si="84"/>
        <v>Newsletter of the Cetacean Specialist Group</v>
      </c>
      <c r="H647" t="str">
        <f t="shared" si="85"/>
        <v>1016-2046</v>
      </c>
      <c r="I647" t="str">
        <f t="shared" si="86"/>
        <v>no. 1 (1985)-....</v>
      </c>
    </row>
    <row r="648" spans="1:9" x14ac:dyDescent="0.25">
      <c r="A648" t="str">
        <f>"146433157"</f>
        <v>146433157</v>
      </c>
      <c r="B648" t="str">
        <f t="shared" si="87"/>
        <v>830616201</v>
      </c>
      <c r="C648" t="str">
        <f t="shared" si="80"/>
        <v>FREJUS-Médiathèque Villa-Mar</v>
      </c>
      <c r="D648" t="e">
        <f t="shared" si="81"/>
        <v>#VALUE!</v>
      </c>
      <c r="E648" t="e">
        <f t="shared" si="82"/>
        <v>#VALUE!</v>
      </c>
      <c r="F648" t="str">
        <f t="shared" si="83"/>
        <v>Cuisine du sud  [Texte imprimé]</v>
      </c>
      <c r="G648" t="str">
        <f t="shared" si="84"/>
        <v>Cuisine du sud</v>
      </c>
      <c r="H648" t="str">
        <f t="shared" si="85"/>
        <v>2109-4063</v>
      </c>
      <c r="I648" t="str">
        <f t="shared" si="86"/>
        <v>no. 1 (2010)-....</v>
      </c>
    </row>
    <row r="649" spans="1:9" x14ac:dyDescent="0.25">
      <c r="A649" t="str">
        <f>"039140636"</f>
        <v>039140636</v>
      </c>
      <c r="B649" t="str">
        <f t="shared" si="87"/>
        <v>831375101</v>
      </c>
      <c r="C649" t="str">
        <f t="shared" si="80"/>
        <v>TOULON-Serv.Historique Marine</v>
      </c>
      <c r="D649" t="str">
        <f t="shared" si="81"/>
        <v>43.124228</v>
      </c>
      <c r="E649" t="str">
        <f t="shared" si="82"/>
        <v>5.928</v>
      </c>
      <c r="F649" t="str">
        <f t="shared" si="83"/>
        <v>Entr'aide marine  [Texte imprimé]</v>
      </c>
      <c r="G649" t="str">
        <f t="shared" si="84"/>
        <v>Entr'aide marine</v>
      </c>
      <c r="H649" t="str">
        <f t="shared" si="85"/>
        <v>2024-4002</v>
      </c>
      <c r="I649" t="e">
        <f t="shared" si="86"/>
        <v>#VALUE!</v>
      </c>
    </row>
    <row r="650" spans="1:9" x14ac:dyDescent="0.25">
      <c r="A650" t="str">
        <f>"136600387"</f>
        <v>136600387</v>
      </c>
      <c r="B650" t="str">
        <f t="shared" si="87"/>
        <v>060885105</v>
      </c>
      <c r="C650" t="str">
        <f t="shared" si="80"/>
        <v>NICE-Bibl.Chevalier de Cessole</v>
      </c>
      <c r="D650" t="str">
        <f t="shared" si="81"/>
        <v>43.6956246</v>
      </c>
      <c r="E650" t="str">
        <f t="shared" si="82"/>
        <v>7.259380900000001</v>
      </c>
      <c r="F650" t="str">
        <f t="shared" si="83"/>
        <v>Le Cri de Nice et de la Riviera  [Texte imprimé]</v>
      </c>
      <c r="G650" t="str">
        <f t="shared" si="84"/>
        <v>Le Cri de Nice et de la Riviera</v>
      </c>
      <c r="H650" t="str">
        <f t="shared" si="85"/>
        <v>2125-0669</v>
      </c>
      <c r="I650" t="str">
        <f t="shared" si="86"/>
        <v>no. 1 (8-oct-1910)</v>
      </c>
    </row>
    <row r="651" spans="1:9" x14ac:dyDescent="0.25">
      <c r="A651" t="str">
        <f>"039234398"</f>
        <v>039234398</v>
      </c>
      <c r="B651" t="str">
        <f t="shared" si="87"/>
        <v>991385301</v>
      </c>
      <c r="C651" t="str">
        <f t="shared" si="80"/>
        <v>MONACO-Musée Océanographique</v>
      </c>
      <c r="D651" t="str">
        <f t="shared" si="81"/>
        <v>43.7310033</v>
      </c>
      <c r="E651" t="str">
        <f t="shared" si="82"/>
        <v>7.425491600000001</v>
      </c>
      <c r="F651" t="str">
        <f t="shared" si="83"/>
        <v>Bibliografia Hydrologii i Oceanologii  [Texte imprimé]</v>
      </c>
      <c r="G651" t="str">
        <f t="shared" si="84"/>
        <v>Bibliografia Hydrologii i Oceanologii</v>
      </c>
      <c r="H651" t="str">
        <f t="shared" si="85"/>
        <v>0239-6246</v>
      </c>
      <c r="I651" t="str">
        <f t="shared" si="86"/>
        <v>(1977)-.... = (1971)</v>
      </c>
    </row>
    <row r="652" spans="1:9" x14ac:dyDescent="0.25">
      <c r="A652" t="str">
        <f>"04018806X"</f>
        <v>04018806X</v>
      </c>
      <c r="B652" t="str">
        <f t="shared" si="87"/>
        <v>991385301</v>
      </c>
      <c r="C652" t="str">
        <f t="shared" si="80"/>
        <v>MONACO-Musée Océanographique</v>
      </c>
      <c r="D652" t="str">
        <f t="shared" si="81"/>
        <v>43.7310033</v>
      </c>
      <c r="E652" t="str">
        <f t="shared" si="82"/>
        <v>7.425491600000001</v>
      </c>
      <c r="F652" t="str">
        <f t="shared" si="83"/>
        <v>Océanographie, limnologie, hydrologie CH  [Texte imprimé]</v>
      </c>
      <c r="G652" t="str">
        <f t="shared" si="84"/>
        <v>Océanographie, limnologie, hydrologie CH</v>
      </c>
      <c r="H652" t="str">
        <f t="shared" si="85"/>
        <v>1021-531X</v>
      </c>
      <c r="I652" t="str">
        <f t="shared" si="86"/>
        <v>no. 16 (1990)-....</v>
      </c>
    </row>
    <row r="653" spans="1:9" x14ac:dyDescent="0.25">
      <c r="A653" t="str">
        <f>"038773872"</f>
        <v>038773872</v>
      </c>
      <c r="B653" t="str">
        <f t="shared" si="87"/>
        <v>060885101</v>
      </c>
      <c r="C653" t="str">
        <f t="shared" si="80"/>
        <v>NICE-Archives Municipales</v>
      </c>
      <c r="D653" t="str">
        <f t="shared" si="81"/>
        <v>43.68774699999999</v>
      </c>
      <c r="E653" t="str">
        <f t="shared" si="82"/>
        <v>7.235200000000001</v>
      </c>
      <c r="F653" t="str">
        <f t="shared" si="83"/>
        <v>Le Nicéen  [Texte imprimé]</v>
      </c>
      <c r="G653" t="str">
        <f t="shared" si="84"/>
        <v>Le Nicéen</v>
      </c>
      <c r="H653" t="str">
        <f t="shared" si="85"/>
        <v>1248-3605</v>
      </c>
      <c r="I653" t="str">
        <f t="shared" si="86"/>
        <v>no. 15 (1803) - no. 71  (1804) [lac.n°16-20, 23,25,26,45]</v>
      </c>
    </row>
    <row r="654" spans="1:9" x14ac:dyDescent="0.25">
      <c r="A654" t="str">
        <f>"03902346X"</f>
        <v>03902346X</v>
      </c>
      <c r="B654" t="str">
        <f t="shared" si="87"/>
        <v>831376201</v>
      </c>
      <c r="C654" t="str">
        <f t="shared" si="80"/>
        <v>TOULON-BM</v>
      </c>
      <c r="D654" t="str">
        <f t="shared" si="81"/>
        <v>43.0823215</v>
      </c>
      <c r="E654" t="str">
        <f t="shared" si="82"/>
        <v>5.920052699999999</v>
      </c>
      <c r="F654" t="str">
        <f t="shared" si="83"/>
        <v>L'Agitateur  [Texte imprimé]</v>
      </c>
      <c r="G654" t="str">
        <f t="shared" si="84"/>
        <v>L'Agitateur</v>
      </c>
      <c r="H654" t="str">
        <f t="shared" si="85"/>
        <v>2015-6340</v>
      </c>
      <c r="I654" t="str">
        <f t="shared" si="86"/>
        <v>(11-fev-1893)</v>
      </c>
    </row>
    <row r="655" spans="1:9" x14ac:dyDescent="0.25">
      <c r="A655" t="str">
        <f>"039023478"</f>
        <v>039023478</v>
      </c>
      <c r="B655" t="str">
        <f t="shared" si="87"/>
        <v>831376201</v>
      </c>
      <c r="C655" t="str">
        <f t="shared" si="80"/>
        <v>TOULON-BM</v>
      </c>
      <c r="D655" t="str">
        <f t="shared" si="81"/>
        <v>43.0823215</v>
      </c>
      <c r="E655" t="str">
        <f t="shared" si="82"/>
        <v>5.920052699999999</v>
      </c>
      <c r="F655" t="str">
        <f t="shared" si="83"/>
        <v>L'Arapède  [Texte imprimé]  : Journal critique, satirique et littéraire paraissant toutes les fois qu'il le pourra</v>
      </c>
      <c r="G655" t="str">
        <f t="shared" si="84"/>
        <v>L'Arapède</v>
      </c>
      <c r="H655" t="str">
        <f t="shared" si="85"/>
        <v>2015-9765</v>
      </c>
      <c r="I655" t="str">
        <f t="shared" si="86"/>
        <v>no. 5 (1867)</v>
      </c>
    </row>
    <row r="656" spans="1:9" x14ac:dyDescent="0.25">
      <c r="A656" t="str">
        <f>"039066878"</f>
        <v>039066878</v>
      </c>
      <c r="B656" t="str">
        <f t="shared" si="87"/>
        <v>831376201</v>
      </c>
      <c r="C656" t="str">
        <f t="shared" si="80"/>
        <v>TOULON-BM</v>
      </c>
      <c r="D656" t="str">
        <f t="shared" si="81"/>
        <v>43.0823215</v>
      </c>
      <c r="E656" t="str">
        <f t="shared" si="82"/>
        <v>5.920052699999999</v>
      </c>
      <c r="F656" t="str">
        <f t="shared" si="83"/>
        <v>La Feuille Pierrefeucaine  [Texte imprimé]</v>
      </c>
      <c r="G656" t="str">
        <f t="shared" si="84"/>
        <v>La Feuille Pierrefeucaine</v>
      </c>
      <c r="H656" t="str">
        <f t="shared" si="85"/>
        <v>2017-1250</v>
      </c>
      <c r="I656" t="str">
        <f t="shared" si="86"/>
        <v>no. 1 (1915) - no. 11  (1915)</v>
      </c>
    </row>
    <row r="657" spans="1:9" x14ac:dyDescent="0.25">
      <c r="A657" t="str">
        <f>"039065847"</f>
        <v>039065847</v>
      </c>
      <c r="B657" t="str">
        <f t="shared" si="87"/>
        <v>831376201</v>
      </c>
      <c r="C657" t="str">
        <f t="shared" si="80"/>
        <v>TOULON-BM</v>
      </c>
      <c r="D657" t="str">
        <f t="shared" si="81"/>
        <v>43.0823215</v>
      </c>
      <c r="E657" t="str">
        <f t="shared" si="82"/>
        <v>5.920052699999999</v>
      </c>
      <c r="F657" t="str">
        <f t="shared" si="83"/>
        <v>Revue maritime  [Texte imprimé]</v>
      </c>
      <c r="G657" t="str">
        <f t="shared" si="84"/>
        <v>Revue maritime</v>
      </c>
      <c r="H657" t="str">
        <f t="shared" si="85"/>
        <v>2017-9596</v>
      </c>
      <c r="I657" t="str">
        <f t="shared" si="86"/>
        <v>vol. 1 (1830)</v>
      </c>
    </row>
    <row r="658" spans="1:9" x14ac:dyDescent="0.25">
      <c r="A658" t="str">
        <f>"039076105"</f>
        <v>039076105</v>
      </c>
      <c r="B658" t="str">
        <f t="shared" si="87"/>
        <v>991385201</v>
      </c>
      <c r="C658" t="str">
        <f t="shared" si="80"/>
        <v>MONACO-Jardin exotique</v>
      </c>
      <c r="D658" t="str">
        <f t="shared" si="81"/>
        <v>43.7310908</v>
      </c>
      <c r="E658" t="str">
        <f t="shared" si="82"/>
        <v>7.410747499999999</v>
      </c>
      <c r="F658" t="str">
        <f t="shared" si="83"/>
        <v>Succulent Plant Trust newsletter  [Texte imprimé]</v>
      </c>
      <c r="G658" t="str">
        <f t="shared" si="84"/>
        <v>Succulent Plant Trust newsletter</v>
      </c>
      <c r="H658" t="str">
        <f t="shared" si="85"/>
        <v>0140-7716</v>
      </c>
      <c r="I658" t="str">
        <f t="shared" si="86"/>
        <v>no. 45 (1978) - no. 48  (1979) ; no. 50 (1979) - no. 106  (2000)</v>
      </c>
    </row>
    <row r="659" spans="1:9" x14ac:dyDescent="0.25">
      <c r="A659" t="str">
        <f>"039095584"</f>
        <v>039095584</v>
      </c>
      <c r="B659" t="str">
        <f t="shared" si="87"/>
        <v>831376201</v>
      </c>
      <c r="C659" t="str">
        <f t="shared" si="80"/>
        <v>TOULON-BM</v>
      </c>
      <c r="D659" t="str">
        <f t="shared" si="81"/>
        <v>43.0823215</v>
      </c>
      <c r="E659" t="str">
        <f t="shared" si="82"/>
        <v>5.920052699999999</v>
      </c>
      <c r="F659" t="str">
        <f t="shared" si="83"/>
        <v>Le Palmier  [Texte imprimé]  : Journal d'Hyères</v>
      </c>
      <c r="G659" t="str">
        <f t="shared" si="84"/>
        <v>Le Palmier</v>
      </c>
      <c r="H659" t="str">
        <f t="shared" si="85"/>
        <v>2018-0705</v>
      </c>
      <c r="I659" t="str">
        <f t="shared" si="86"/>
        <v>(1896) - (1944) [lac5%]</v>
      </c>
    </row>
    <row r="660" spans="1:9" x14ac:dyDescent="0.25">
      <c r="A660" t="str">
        <f>"039140954"</f>
        <v>039140954</v>
      </c>
      <c r="B660" t="str">
        <f t="shared" si="87"/>
        <v>060692301</v>
      </c>
      <c r="C660" t="str">
        <f t="shared" si="80"/>
        <v>GRASSE-Musée Art/Hist Provence</v>
      </c>
      <c r="D660" t="str">
        <f t="shared" si="81"/>
        <v>43.65761759999999</v>
      </c>
      <c r="E660" t="str">
        <f t="shared" si="82"/>
        <v>6.9224541</v>
      </c>
      <c r="F660" t="str">
        <f t="shared" si="83"/>
        <v>Extrait des procès-verbaux des séances  [Texte imprimé]  / Société d'études scientifiques &amp; archéologiques de Draguignan</v>
      </c>
      <c r="G660" t="str">
        <f t="shared" si="84"/>
        <v>Extrait des procès-verbaux des séances</v>
      </c>
      <c r="H660" t="str">
        <f t="shared" si="85"/>
        <v>2024-4622</v>
      </c>
      <c r="I660" t="str">
        <f t="shared" si="86"/>
        <v>(1888) - (1900)</v>
      </c>
    </row>
    <row r="661" spans="1:9" x14ac:dyDescent="0.25">
      <c r="A661" t="str">
        <f>"036268690"</f>
        <v>036268690</v>
      </c>
      <c r="B661" t="str">
        <f t="shared" si="87"/>
        <v>060886101</v>
      </c>
      <c r="C661" t="str">
        <f t="shared" si="80"/>
        <v>NICE- BMVR Louis Nucéra</v>
      </c>
      <c r="D661" t="str">
        <f t="shared" si="81"/>
        <v>43.7015650</v>
      </c>
      <c r="E661" t="str">
        <f t="shared" si="82"/>
        <v>7.2786247</v>
      </c>
      <c r="F661" t="str">
        <f t="shared" si="83"/>
        <v>La Gazzetta del popolo [Nuova]  [Texte imprimé]</v>
      </c>
      <c r="G661" t="str">
        <f t="shared" si="84"/>
        <v>La Gazzetta del popolo [Nuova]</v>
      </c>
      <c r="H661" t="e">
        <f t="shared" si="85"/>
        <v>#VALUE!</v>
      </c>
      <c r="I661" t="str">
        <f t="shared" si="86"/>
        <v>vol. 38 no. 1 (1885) - vol. 43  no. 180  (1890)</v>
      </c>
    </row>
    <row r="662" spans="1:9" x14ac:dyDescent="0.25">
      <c r="A662" t="str">
        <f>"038574462"</f>
        <v>038574462</v>
      </c>
      <c r="B662" t="str">
        <f t="shared" si="87"/>
        <v>060882303</v>
      </c>
      <c r="C662" t="str">
        <f t="shared" si="80"/>
        <v>NICE-Museum Hist.Naturelle</v>
      </c>
      <c r="D662" t="str">
        <f t="shared" si="81"/>
        <v>43.7017477</v>
      </c>
      <c r="E662" t="str">
        <f t="shared" si="82"/>
        <v>7.279483399999999</v>
      </c>
      <c r="F662" t="str">
        <f t="shared" si="83"/>
        <v>Revista del instituto nacional de investigacion de las ciencias naturales... Ciencias geologicas</v>
      </c>
      <c r="G662" t="str">
        <f t="shared" si="84"/>
        <v>Revista del instituto nacional de investigacion de las ciencias naturales... Ciencias geologicas</v>
      </c>
      <c r="H662" t="e">
        <f t="shared" si="85"/>
        <v>#VALUE!</v>
      </c>
      <c r="I662" t="str">
        <f t="shared" si="86"/>
        <v>vol. 1 no. 1 (1948) - vol. 1  no. 4  (1948) ; vol. 3 no. 3 (1954) - vol. 3  no. 4  (1954) ; vol. 6 no. 1 (1957) ; vol. 6 no. 6 (1961)</v>
      </c>
    </row>
    <row r="663" spans="1:9" x14ac:dyDescent="0.25">
      <c r="A663" t="str">
        <f>"036250945"</f>
        <v>036250945</v>
      </c>
      <c r="B663" t="str">
        <f t="shared" si="87"/>
        <v>991385301</v>
      </c>
      <c r="C663" t="str">
        <f t="shared" si="80"/>
        <v>MONACO-Musée Océanographique</v>
      </c>
      <c r="D663" t="str">
        <f t="shared" si="81"/>
        <v>43.7310033</v>
      </c>
      <c r="E663" t="str">
        <f t="shared" si="82"/>
        <v>7.425491600000001</v>
      </c>
      <c r="F663" t="str">
        <f t="shared" si="83"/>
        <v>The Environment this month  [Texte imprimé]</v>
      </c>
      <c r="G663" t="str">
        <f t="shared" si="84"/>
        <v>The Environment this month</v>
      </c>
      <c r="H663" t="e">
        <f t="shared" si="85"/>
        <v>#VALUE!</v>
      </c>
      <c r="I663">
        <f t="shared" si="86"/>
        <v>-1972</v>
      </c>
    </row>
    <row r="664" spans="1:9" x14ac:dyDescent="0.25">
      <c r="A664" t="str">
        <f>"036390976"</f>
        <v>036390976</v>
      </c>
      <c r="B664" t="str">
        <f t="shared" si="87"/>
        <v>991385301</v>
      </c>
      <c r="C664" t="str">
        <f t="shared" si="80"/>
        <v>MONACO-Musée Océanographique</v>
      </c>
      <c r="D664" t="str">
        <f t="shared" si="81"/>
        <v>43.7310033</v>
      </c>
      <c r="E664" t="str">
        <f t="shared" si="82"/>
        <v>7.425491600000001</v>
      </c>
      <c r="F664" t="str">
        <f t="shared" si="83"/>
        <v>Publicaciones técnicas de la Dirección general de pesca marítima  [Texte imprimé]</v>
      </c>
      <c r="G664" t="str">
        <f t="shared" si="84"/>
        <v>Publicaciones técnicas de la Dirección general de pesca marítima</v>
      </c>
      <c r="H664" t="e">
        <f t="shared" si="85"/>
        <v>#VALUE!</v>
      </c>
      <c r="I664" t="str">
        <f t="shared" si="86"/>
        <v>(1971)-....</v>
      </c>
    </row>
    <row r="665" spans="1:9" x14ac:dyDescent="0.25">
      <c r="A665" t="str">
        <f>"037201360"</f>
        <v>037201360</v>
      </c>
      <c r="B665" t="str">
        <f t="shared" si="87"/>
        <v>060886101</v>
      </c>
      <c r="C665" t="str">
        <f t="shared" si="80"/>
        <v>NICE- BMVR Louis Nucéra</v>
      </c>
      <c r="D665" t="str">
        <f t="shared" si="81"/>
        <v>43.7015650</v>
      </c>
      <c r="E665" t="str">
        <f t="shared" si="82"/>
        <v>7.2786247</v>
      </c>
      <c r="F665" t="str">
        <f t="shared" si="83"/>
        <v>Universum  [Texte imprimé]</v>
      </c>
      <c r="G665" t="str">
        <f t="shared" si="84"/>
        <v>Universum</v>
      </c>
      <c r="H665" t="str">
        <f t="shared" si="85"/>
        <v>0258-4271</v>
      </c>
      <c r="I665" t="str">
        <f t="shared" si="86"/>
        <v>vol. 9 no. 1 (1892/93) - vol. 11  no. 26  (1894/95)</v>
      </c>
    </row>
    <row r="666" spans="1:9" x14ac:dyDescent="0.25">
      <c r="A666" t="str">
        <f>"150157924"</f>
        <v>150157924</v>
      </c>
      <c r="B666" t="str">
        <f t="shared" si="87"/>
        <v>060885215</v>
      </c>
      <c r="C666" t="str">
        <f t="shared" si="80"/>
        <v>NICE-Musée des Beaux-Arts</v>
      </c>
      <c r="D666" t="str">
        <f t="shared" si="81"/>
        <v>43.694748</v>
      </c>
      <c r="E666" t="str">
        <f t="shared" si="82"/>
        <v>7.2491359</v>
      </c>
      <c r="F666" t="str">
        <f t="shared" si="83"/>
        <v>Bulletin de la société des beaux-arts de Nice  [Texte imprimé]</v>
      </c>
      <c r="G666" t="str">
        <f t="shared" si="84"/>
        <v>Bulletin de la société des beaux-arts de Nice</v>
      </c>
      <c r="H666" t="str">
        <f t="shared" si="85"/>
        <v>2119-7032</v>
      </c>
      <c r="I666" t="str">
        <f t="shared" si="86"/>
        <v>no. 1 (1925) ; no. 13 (1936) [Lacunes : no 2 (1925) ; no 3, 4 (1926) ; no 6 (1927) - no 12 (1936)]</v>
      </c>
    </row>
    <row r="667" spans="1:9" x14ac:dyDescent="0.25">
      <c r="A667" t="str">
        <f>"037235893"</f>
        <v>037235893</v>
      </c>
      <c r="B667" t="str">
        <f t="shared" si="87"/>
        <v>061525404</v>
      </c>
      <c r="C667" t="str">
        <f t="shared" si="80"/>
        <v>SOPHIA/ANT.-Thales Und. Systems</v>
      </c>
      <c r="D667" t="e">
        <f t="shared" si="81"/>
        <v>#VALUE!</v>
      </c>
      <c r="E667" t="e">
        <f t="shared" si="82"/>
        <v>#VALUE!</v>
      </c>
      <c r="F667" t="str">
        <f t="shared" si="83"/>
        <v>Transactions of the I.R.E. Professional Group on Ultrasonics Engineering  [Texte imprimé]</v>
      </c>
      <c r="G667" t="str">
        <f t="shared" si="84"/>
        <v>Transactions of the I.R.E. Professional Group on Ultrasonics Engineering</v>
      </c>
      <c r="H667" t="str">
        <f t="shared" si="85"/>
        <v>0277-626X</v>
      </c>
      <c r="I667">
        <f t="shared" si="86"/>
        <v>-1954</v>
      </c>
    </row>
    <row r="668" spans="1:9" x14ac:dyDescent="0.25">
      <c r="A668" t="str">
        <f>"036366099"</f>
        <v>036366099</v>
      </c>
      <c r="B668" t="str">
        <f t="shared" si="87"/>
        <v>991385301</v>
      </c>
      <c r="C668" t="str">
        <f t="shared" si="80"/>
        <v>MONACO-Musée Océanographique</v>
      </c>
      <c r="D668" t="str">
        <f t="shared" si="81"/>
        <v>43.7310033</v>
      </c>
      <c r="E668" t="str">
        <f t="shared" si="82"/>
        <v>7.425491600000001</v>
      </c>
      <c r="F668" t="str">
        <f t="shared" si="83"/>
        <v>Okayama-ken suisan shikensho. Jigyo hōkokusho  [Texte imprimé]</v>
      </c>
      <c r="G668" t="str">
        <f t="shared" si="84"/>
        <v>Okayama-ken suisan shikensho. Jigyo hōkokusho</v>
      </c>
      <c r="H668" t="e">
        <f t="shared" si="85"/>
        <v>#VALUE!</v>
      </c>
      <c r="I668" t="str">
        <f t="shared" si="86"/>
        <v>(1967)-....</v>
      </c>
    </row>
    <row r="669" spans="1:9" x14ac:dyDescent="0.25">
      <c r="A669" t="str">
        <f>"036938343"</f>
        <v>036938343</v>
      </c>
      <c r="B669" t="str">
        <f t="shared" si="87"/>
        <v>061525404</v>
      </c>
      <c r="C669" t="str">
        <f t="shared" si="80"/>
        <v>SOPHIA/ANT.-Thales Und. Systems</v>
      </c>
      <c r="D669" t="e">
        <f t="shared" si="81"/>
        <v>#VALUE!</v>
      </c>
      <c r="E669" t="e">
        <f t="shared" si="82"/>
        <v>#VALUE!</v>
      </c>
      <c r="F669" t="str">
        <f t="shared" si="83"/>
        <v>Microelectronic manufacturing and testing  [Texte imprimé]</v>
      </c>
      <c r="G669" t="str">
        <f t="shared" si="84"/>
        <v>Microelectronic manufacturing and testing</v>
      </c>
      <c r="H669" t="str">
        <f t="shared" si="85"/>
        <v>0161-7427</v>
      </c>
      <c r="I669" t="str">
        <f t="shared" si="86"/>
        <v>(1986) - (1991)</v>
      </c>
    </row>
    <row r="670" spans="1:9" x14ac:dyDescent="0.25">
      <c r="A670" t="str">
        <f>"039198014"</f>
        <v>039198014</v>
      </c>
      <c r="B670" t="str">
        <f t="shared" si="87"/>
        <v>991385301</v>
      </c>
      <c r="C670" t="str">
        <f t="shared" si="80"/>
        <v>MONACO-Musée Océanographique</v>
      </c>
      <c r="D670" t="str">
        <f t="shared" si="81"/>
        <v>43.7310033</v>
      </c>
      <c r="E670" t="str">
        <f t="shared" si="82"/>
        <v>7.425491600000001</v>
      </c>
      <c r="F670" t="str">
        <f t="shared" si="83"/>
        <v>Aquamar  [Texte imprimé]</v>
      </c>
      <c r="G670" t="str">
        <f t="shared" si="84"/>
        <v>Aquamar</v>
      </c>
      <c r="H670" t="str">
        <f t="shared" si="85"/>
        <v>0212-2537</v>
      </c>
      <c r="I670" t="str">
        <f t="shared" si="86"/>
        <v>vol. 1 no. 1 (1982)-....</v>
      </c>
    </row>
    <row r="671" spans="1:9" x14ac:dyDescent="0.25">
      <c r="A671" t="str">
        <f>"037815881"</f>
        <v>037815881</v>
      </c>
      <c r="B671" t="str">
        <f t="shared" si="87"/>
        <v>061525404</v>
      </c>
      <c r="C671" t="str">
        <f t="shared" si="80"/>
        <v>SOPHIA/ANT.-Thales Und. Systems</v>
      </c>
      <c r="D671" t="e">
        <f t="shared" si="81"/>
        <v>#VALUE!</v>
      </c>
      <c r="E671" t="e">
        <f t="shared" si="82"/>
        <v>#VALUE!</v>
      </c>
      <c r="F671" t="str">
        <f t="shared" si="83"/>
        <v>Military fiber optics news  [Texte imprimé]</v>
      </c>
      <c r="G671" t="str">
        <f t="shared" si="84"/>
        <v>Military fiber optics news</v>
      </c>
      <c r="H671" t="str">
        <f t="shared" si="85"/>
        <v>0887-2465</v>
      </c>
      <c r="I671" t="str">
        <f t="shared" si="86"/>
        <v>(1988) - (1990)</v>
      </c>
    </row>
    <row r="672" spans="1:9" x14ac:dyDescent="0.25">
      <c r="A672" t="str">
        <f>"03912827X"</f>
        <v>03912827X</v>
      </c>
      <c r="B672" t="str">
        <f t="shared" si="87"/>
        <v>991385201</v>
      </c>
      <c r="C672" t="str">
        <f t="shared" ref="C672:C728" si="88">_xlfn.FILTERXML(_xlfn.WEBSERVICE("http://www.sudoc.fr/services/multiwhere/"&amp;A672),"//query/result/library/shortname")</f>
        <v>MONACO-Jardin exotique</v>
      </c>
      <c r="D672" t="str">
        <f t="shared" ref="D672:D728" si="89">_xlfn.FILTERXML(_xlfn.WEBSERVICE("http://www.sudoc.fr/services/multiwhere/"&amp;A672),"//query/result/library/latitude")</f>
        <v>43.7310908</v>
      </c>
      <c r="E672" t="str">
        <f t="shared" ref="E672:E728" si="90">_xlfn.FILTERXML(_xlfn.WEBSERVICE("http://www.sudoc.fr/services/multiwhere/"&amp;A672),"//query/result/library/longitude")</f>
        <v>7.410747499999999</v>
      </c>
      <c r="F672" t="str">
        <f t="shared" ref="F672:F728" si="91">_xlfn.FILTERXML(_xlfn.WEBSERVICE("http://www.sudoc.fr/"&amp;A672&amp;".rdf"),"//bibo:Periodical/dc:title")</f>
        <v>Kakteen- und Orchideen-Rundschau  [Texte imprimé]</v>
      </c>
      <c r="G672" t="str">
        <f t="shared" ref="G672:G728" si="92">_xlfn.FILTERXML(_xlfn.WEBSERVICE("http://www.sudoc.fr/"&amp;A672&amp;".abes"),"//datafield[@tag='200']/subfield[@code='a']")</f>
        <v>Kakteen- und Orchideen-Rundschau</v>
      </c>
      <c r="H672" t="str">
        <f t="shared" ref="H672:H728" si="93">_xlfn.FILTERXML(_xlfn.WEBSERVICE("http://www.sudoc.fr/"&amp;A672&amp;".abes"),"//datafield[@tag='011']/subfield[@code='a']")</f>
        <v>0174-7088</v>
      </c>
      <c r="I672" t="str">
        <f t="shared" ref="I672:I728" si="94">_xlfn.FILTERXML(_xlfn.WEBSERVICE("http://www.sudoc.fr/"&amp;A672&amp;".abes"),"//datafield[@tag='955']/subfield[@code='r']")</f>
        <v>no. 2 (1978) - vol. 6  no. 1  (1981) ; vol. 6 no. 3 (1981) - vol. 7  no. 4  (1982) ; vol. 8 no. 1 (1983) - vol. 10  no. 3  (1985) ; vol. 11 no. 1 (1986) ; vol. 12 no. 2 (1987) ; vol. 15 no. 1 (1990) ; no. 1 (1996)</v>
      </c>
    </row>
    <row r="673" spans="1:9" x14ac:dyDescent="0.25">
      <c r="A673" t="str">
        <f>"03914058X"</f>
        <v>03914058X</v>
      </c>
      <c r="B673" t="str">
        <f t="shared" si="87"/>
        <v>060845301</v>
      </c>
      <c r="C673" t="str">
        <f t="shared" si="88"/>
        <v>MOUANS SARTOUX-CRD Occitane</v>
      </c>
      <c r="D673" t="str">
        <f t="shared" si="89"/>
        <v>43.6188186</v>
      </c>
      <c r="E673" t="str">
        <f t="shared" si="90"/>
        <v>6.972011600000001</v>
      </c>
      <c r="F673" t="str">
        <f t="shared" si="91"/>
        <v>L'Occitan de Tarn et Garonne  [Texte imprimé]</v>
      </c>
      <c r="G673" t="str">
        <f t="shared" si="92"/>
        <v>L'Occitan de Tarn et Garonne</v>
      </c>
      <c r="H673" t="e">
        <f t="shared" si="93"/>
        <v>#VALUE!</v>
      </c>
      <c r="I673" t="str">
        <f t="shared" si="94"/>
        <v>no. 2 (1988)</v>
      </c>
    </row>
    <row r="674" spans="1:9" x14ac:dyDescent="0.25">
      <c r="A674" t="str">
        <f>"044820445"</f>
        <v>044820445</v>
      </c>
      <c r="B674" t="str">
        <f t="shared" si="87"/>
        <v>991385203</v>
      </c>
      <c r="C674" t="str">
        <f t="shared" si="88"/>
        <v>MONACO-ES d'Arts Plastiques</v>
      </c>
      <c r="D674" t="str">
        <f t="shared" si="89"/>
        <v>43.7320022</v>
      </c>
      <c r="E674" t="str">
        <f t="shared" si="90"/>
        <v>7.426917999999999</v>
      </c>
      <c r="F674" t="str">
        <f t="shared" si="91"/>
        <v>Ceramics technical  [Texte imprimé]</v>
      </c>
      <c r="G674" t="str">
        <f t="shared" si="92"/>
        <v>Ceramics technical</v>
      </c>
      <c r="H674" t="str">
        <f t="shared" si="93"/>
        <v>1324-4175</v>
      </c>
      <c r="I674" t="str">
        <f t="shared" si="94"/>
        <v>no. 10 (2000)-....</v>
      </c>
    </row>
    <row r="675" spans="1:9" x14ac:dyDescent="0.25">
      <c r="A675" t="str">
        <f>"127822585"</f>
        <v>127822585</v>
      </c>
      <c r="B675" t="str">
        <f t="shared" si="87"/>
        <v>060885111</v>
      </c>
      <c r="C675" t="str">
        <f t="shared" si="88"/>
        <v>NICE-Jardin botanique</v>
      </c>
      <c r="D675" t="str">
        <f t="shared" si="89"/>
        <v>43.6857624</v>
      </c>
      <c r="E675" t="str">
        <f t="shared" si="90"/>
        <v>7.210481499999998</v>
      </c>
      <c r="F675" t="str">
        <f t="shared" si="91"/>
        <v>The botanics  [Texte imprimé]</v>
      </c>
      <c r="G675" t="str">
        <f t="shared" si="92"/>
        <v>The botanics</v>
      </c>
      <c r="H675" t="str">
        <f t="shared" si="93"/>
        <v>0956-3237</v>
      </c>
      <c r="I675" t="str">
        <f t="shared" si="94"/>
        <v>printemps (2000)-....</v>
      </c>
    </row>
    <row r="676" spans="1:9" x14ac:dyDescent="0.25">
      <c r="A676" t="str">
        <f>"036234702"</f>
        <v>036234702</v>
      </c>
      <c r="B676" t="str">
        <f t="shared" si="87"/>
        <v>991385301</v>
      </c>
      <c r="C676" t="str">
        <f t="shared" si="88"/>
        <v>MONACO-Musée Océanographique</v>
      </c>
      <c r="D676" t="str">
        <f t="shared" si="89"/>
        <v>43.7310033</v>
      </c>
      <c r="E676" t="str">
        <f t="shared" si="90"/>
        <v>7.425491600000001</v>
      </c>
      <c r="F676" t="str">
        <f t="shared" si="91"/>
        <v>Data from deep moored instrument stations  [Texte imprimé]</v>
      </c>
      <c r="G676" t="str">
        <f t="shared" si="92"/>
        <v>Data from deep moored instrument stations</v>
      </c>
      <c r="H676" t="e">
        <f t="shared" si="93"/>
        <v>#VALUE!</v>
      </c>
      <c r="I676" t="e">
        <f t="shared" si="94"/>
        <v>#VALUE!</v>
      </c>
    </row>
    <row r="677" spans="1:9" x14ac:dyDescent="0.25">
      <c r="A677" t="str">
        <f>"037156691"</f>
        <v>037156691</v>
      </c>
      <c r="B677" t="str">
        <f t="shared" si="87"/>
        <v>991385201</v>
      </c>
      <c r="C677" t="str">
        <f t="shared" si="88"/>
        <v>MONACO-Jardin exotique</v>
      </c>
      <c r="D677" t="str">
        <f t="shared" si="89"/>
        <v>43.7310908</v>
      </c>
      <c r="E677" t="str">
        <f t="shared" si="90"/>
        <v>7.410747499999999</v>
      </c>
      <c r="F677" t="str">
        <f t="shared" si="91"/>
        <v>Kakteen, Sukkulenten  [Texte imprimé]</v>
      </c>
      <c r="G677" t="str">
        <f t="shared" si="92"/>
        <v>Kakteen, Sukkulenten</v>
      </c>
      <c r="H677" t="str">
        <f t="shared" si="93"/>
        <v>0233-2124</v>
      </c>
      <c r="I677" t="str">
        <f t="shared" si="94"/>
        <v>no. 1 (1966) - no. 2  (1970) ; vol. 8 no. 1 (1973) - vol. 25  no. 4  (1990)</v>
      </c>
    </row>
    <row r="678" spans="1:9" x14ac:dyDescent="0.25">
      <c r="A678" t="str">
        <f>"050926683"</f>
        <v>050926683</v>
      </c>
      <c r="B678" t="str">
        <f t="shared" si="87"/>
        <v>831375101</v>
      </c>
      <c r="C678" t="str">
        <f t="shared" si="88"/>
        <v>TOULON-Serv.Historique Marine</v>
      </c>
      <c r="D678" t="str">
        <f t="shared" si="89"/>
        <v>43.124228</v>
      </c>
      <c r="E678" t="str">
        <f t="shared" si="90"/>
        <v>5.928</v>
      </c>
      <c r="F678" t="str">
        <f t="shared" si="91"/>
        <v>Meteorological observations at stations of the second order for the year...  [Texte imprimé]</v>
      </c>
      <c r="G678" t="str">
        <f t="shared" si="92"/>
        <v>Meteorological observations at stations of the second order for the year...</v>
      </c>
      <c r="H678" t="e">
        <f t="shared" si="93"/>
        <v>#VALUE!</v>
      </c>
      <c r="I678" t="str">
        <f t="shared" si="94"/>
        <v>(1880) = (1878)</v>
      </c>
    </row>
    <row r="679" spans="1:9" x14ac:dyDescent="0.25">
      <c r="A679" t="str">
        <f>"038976439"</f>
        <v>038976439</v>
      </c>
      <c r="B679" t="str">
        <f t="shared" si="87"/>
        <v>991385202</v>
      </c>
      <c r="C679" t="str">
        <f t="shared" si="88"/>
        <v>MONACO-Musée Anthropol.Préhi</v>
      </c>
      <c r="D679" t="str">
        <f t="shared" si="89"/>
        <v>43.73338</v>
      </c>
      <c r="E679" t="str">
        <f t="shared" si="90"/>
        <v>7.413762599999999</v>
      </c>
      <c r="F679" t="str">
        <f t="shared" si="91"/>
        <v>Arqueologia  [Texte imprimé]  / Centro de Estudos e Pesquisas Arqueológicas, Universidade Federal do Paraná</v>
      </c>
      <c r="G679" t="str">
        <f t="shared" si="92"/>
        <v>Arqueologia</v>
      </c>
      <c r="H679" t="str">
        <f t="shared" si="93"/>
        <v>0102-6364</v>
      </c>
      <c r="I679" t="str">
        <f t="shared" si="94"/>
        <v>(1959) ; (1968)</v>
      </c>
    </row>
    <row r="680" spans="1:9" x14ac:dyDescent="0.25">
      <c r="A680" t="str">
        <f>"040062619"</f>
        <v>040062619</v>
      </c>
      <c r="B680" t="str">
        <f t="shared" si="87"/>
        <v>060885102</v>
      </c>
      <c r="C680" t="str">
        <f t="shared" si="88"/>
        <v>NICE-Archives Départementales</v>
      </c>
      <c r="D680" t="str">
        <f t="shared" si="89"/>
        <v>43.6877482</v>
      </c>
      <c r="E680" t="str">
        <f t="shared" si="90"/>
        <v>7.2113605</v>
      </c>
      <c r="F680" t="str">
        <f t="shared" si="91"/>
        <v>Bulletin d'information  [Texte imprimé]  / Conseil général des Alpes-Maritimes</v>
      </c>
      <c r="G680" t="str">
        <f t="shared" si="92"/>
        <v>Bulletin d'information</v>
      </c>
      <c r="H680" t="str">
        <f t="shared" si="93"/>
        <v>1241-6924</v>
      </c>
      <c r="I680" t="str">
        <f t="shared" si="94"/>
        <v>vol. 1 (1982)-....</v>
      </c>
    </row>
    <row r="681" spans="1:9" x14ac:dyDescent="0.25">
      <c r="A681" t="str">
        <f>"03659945X"</f>
        <v>03659945X</v>
      </c>
      <c r="B681" t="str">
        <f t="shared" si="87"/>
        <v>991385301</v>
      </c>
      <c r="C681" t="str">
        <f t="shared" si="88"/>
        <v>MONACO-Musée Océanographique</v>
      </c>
      <c r="D681" t="str">
        <f t="shared" si="89"/>
        <v>43.7310033</v>
      </c>
      <c r="E681" t="str">
        <f t="shared" si="90"/>
        <v>7.425491600000001</v>
      </c>
      <c r="F681" t="e">
        <f t="shared" si="91"/>
        <v>#VALUE!</v>
      </c>
      <c r="G681" t="str">
        <f t="shared" si="92"/>
        <v>Data series</v>
      </c>
      <c r="H681" t="str">
        <f t="shared" si="93"/>
        <v>0067-4788</v>
      </c>
      <c r="I681" t="str">
        <f t="shared" si="94"/>
        <v>no. 72 (1972) - no. 6  (1974) ; mf no. 76 (1976) - no. 1  (1981) [Quelques lacunes en (1972-1974)]</v>
      </c>
    </row>
    <row r="682" spans="1:9" x14ac:dyDescent="0.25">
      <c r="A682" t="str">
        <f>"036607975"</f>
        <v>036607975</v>
      </c>
      <c r="B682" t="str">
        <f t="shared" si="87"/>
        <v>991385301</v>
      </c>
      <c r="C682" t="str">
        <f t="shared" si="88"/>
        <v>MONACO-Musée Océanographique</v>
      </c>
      <c r="D682" t="str">
        <f t="shared" si="89"/>
        <v>43.7310033</v>
      </c>
      <c r="E682" t="str">
        <f t="shared" si="90"/>
        <v>7.425491600000001</v>
      </c>
      <c r="F682" t="str">
        <f t="shared" si="91"/>
        <v>Fishery and oceanography translations  [Texte imprimé]</v>
      </c>
      <c r="G682" t="str">
        <f t="shared" si="92"/>
        <v>Fishery and oceanography translations</v>
      </c>
      <c r="H682" t="str">
        <f t="shared" si="93"/>
        <v>0071-559X</v>
      </c>
      <c r="I682" t="str">
        <f t="shared" si="94"/>
        <v>no. 1 (1964) - no. 6  (1965)</v>
      </c>
    </row>
    <row r="683" spans="1:9" x14ac:dyDescent="0.25">
      <c r="A683" t="str">
        <f>"037676318"</f>
        <v>037676318</v>
      </c>
      <c r="B683" t="str">
        <f t="shared" si="87"/>
        <v>991385201</v>
      </c>
      <c r="C683" t="str">
        <f t="shared" si="88"/>
        <v>MONACO-Jardin exotique</v>
      </c>
      <c r="D683" t="str">
        <f t="shared" si="89"/>
        <v>43.7310908</v>
      </c>
      <c r="E683" t="str">
        <f t="shared" si="90"/>
        <v>7.410747499999999</v>
      </c>
      <c r="F683" t="str">
        <f t="shared" si="91"/>
        <v>Maandblad voor liefhebbers van cactussen, vetplanten en kamerplanten  [Texte imprimé]</v>
      </c>
      <c r="G683" t="str">
        <f t="shared" si="92"/>
        <v>Maandblad voor liefhebbers van cactussen, vetplanten en kamerplanten</v>
      </c>
      <c r="H683" t="str">
        <f t="shared" si="93"/>
        <v>0775-6895</v>
      </c>
      <c r="I683" t="str">
        <f t="shared" si="94"/>
        <v>vol. 1 no. 1 (1988) - vol. 5  no. 11  (1992)</v>
      </c>
    </row>
    <row r="684" spans="1:9" x14ac:dyDescent="0.25">
      <c r="A684" t="str">
        <f>"039140504"</f>
        <v>039140504</v>
      </c>
      <c r="B684" t="str">
        <f t="shared" si="87"/>
        <v>060845301</v>
      </c>
      <c r="C684" t="str">
        <f t="shared" si="88"/>
        <v>MOUANS SARTOUX-CRD Occitane</v>
      </c>
      <c r="D684" t="str">
        <f t="shared" si="89"/>
        <v>43.6188186</v>
      </c>
      <c r="E684" t="str">
        <f t="shared" si="90"/>
        <v>6.972011600000001</v>
      </c>
      <c r="F684" t="str">
        <f t="shared" si="91"/>
        <v>L'Écho du Vidourle  [Texte imprimé]  : Politique, commercial, artistique, théâtral, sportif</v>
      </c>
      <c r="G684" t="str">
        <f t="shared" si="92"/>
        <v>L'Écho du Vidourle</v>
      </c>
      <c r="H684" t="str">
        <f t="shared" si="93"/>
        <v>2024-0805</v>
      </c>
      <c r="I684" t="str">
        <f t="shared" si="94"/>
        <v>no. 1065 (1939)</v>
      </c>
    </row>
    <row r="685" spans="1:9" x14ac:dyDescent="0.25">
      <c r="A685" t="str">
        <f>"039734447"</f>
        <v>039734447</v>
      </c>
      <c r="B685" t="str">
        <f t="shared" si="87"/>
        <v>991385301</v>
      </c>
      <c r="C685" t="str">
        <f t="shared" si="88"/>
        <v>MONACO-Musée Océanographique</v>
      </c>
      <c r="D685" t="str">
        <f t="shared" si="89"/>
        <v>43.7310033</v>
      </c>
      <c r="E685" t="str">
        <f t="shared" si="90"/>
        <v>7.425491600000001</v>
      </c>
      <c r="F685" t="str">
        <f t="shared" si="91"/>
        <v>Artemia newsletter  [Texte imprimé]</v>
      </c>
      <c r="G685" t="str">
        <f t="shared" si="92"/>
        <v>Artemia newsletter</v>
      </c>
      <c r="H685" t="str">
        <f t="shared" si="93"/>
        <v>0775-454X</v>
      </c>
      <c r="I685" t="str">
        <f t="shared" si="94"/>
        <v>no. 1 (1986) - no. 14  (1989)</v>
      </c>
    </row>
    <row r="686" spans="1:9" x14ac:dyDescent="0.25">
      <c r="A686" t="str">
        <f>"040320626"</f>
        <v>040320626</v>
      </c>
      <c r="B686" t="str">
        <f t="shared" si="87"/>
        <v>060884001</v>
      </c>
      <c r="C686" t="str">
        <f t="shared" si="88"/>
        <v>NICE-Lycée hôtelier P.Augier</v>
      </c>
      <c r="D686" t="str">
        <f t="shared" si="89"/>
        <v>43.668306</v>
      </c>
      <c r="E686" t="str">
        <f t="shared" si="90"/>
        <v>7.21230</v>
      </c>
      <c r="F686" t="str">
        <f t="shared" si="91"/>
        <v>Saveur  [Texte imprimé]</v>
      </c>
      <c r="G686" t="str">
        <f t="shared" si="92"/>
        <v>Saveur</v>
      </c>
      <c r="H686" t="str">
        <f t="shared" si="93"/>
        <v>1075-7864</v>
      </c>
      <c r="I686" t="str">
        <f t="shared" si="94"/>
        <v>(1997)-.... [non consultable] [Lacunes]</v>
      </c>
    </row>
    <row r="687" spans="1:9" x14ac:dyDescent="0.25">
      <c r="A687" t="str">
        <f>"055384641"</f>
        <v>055384641</v>
      </c>
      <c r="B687" t="str">
        <f t="shared" si="87"/>
        <v>060885101</v>
      </c>
      <c r="C687" t="str">
        <f t="shared" si="88"/>
        <v>NICE-Archives Municipales</v>
      </c>
      <c r="D687" t="str">
        <f t="shared" si="89"/>
        <v>43.68774699999999</v>
      </c>
      <c r="E687" t="str">
        <f t="shared" si="90"/>
        <v>7.235200000000001</v>
      </c>
      <c r="F687" t="str">
        <f t="shared" si="91"/>
        <v>Riviera  [Texte imprimé]</v>
      </c>
      <c r="G687" t="str">
        <f t="shared" si="92"/>
        <v>Riviera</v>
      </c>
      <c r="H687" t="str">
        <f t="shared" si="93"/>
        <v>2071-6117</v>
      </c>
      <c r="I687" t="str">
        <f t="shared" si="94"/>
        <v>(fev-1943) ; (avr-1943) ; (sep-1943) ; (nov-1943) - (dec-1943)</v>
      </c>
    </row>
    <row r="688" spans="1:9" x14ac:dyDescent="0.25">
      <c r="A688" t="str">
        <f>"150553560"</f>
        <v>150553560</v>
      </c>
      <c r="B688" t="str">
        <f t="shared" si="87"/>
        <v>060885215</v>
      </c>
      <c r="C688" t="str">
        <f t="shared" si="88"/>
        <v>NICE-Musée des Beaux-Arts</v>
      </c>
      <c r="D688" t="str">
        <f t="shared" si="89"/>
        <v>43.694748</v>
      </c>
      <c r="E688" t="str">
        <f t="shared" si="90"/>
        <v>7.2491359</v>
      </c>
      <c r="F688" t="str">
        <f t="shared" si="91"/>
        <v>Côte d'Azur des peintres  [Texte imprimé]</v>
      </c>
      <c r="G688" t="str">
        <f t="shared" si="92"/>
        <v>Côte d'Azur des peintres</v>
      </c>
      <c r="H688" t="e">
        <f t="shared" si="93"/>
        <v>#VALUE!</v>
      </c>
      <c r="I688">
        <f t="shared" si="94"/>
        <v>-2008</v>
      </c>
    </row>
    <row r="689" spans="1:9" x14ac:dyDescent="0.25">
      <c r="A689" t="str">
        <f>"039401375"</f>
        <v>039401375</v>
      </c>
      <c r="B689" t="str">
        <f t="shared" si="87"/>
        <v>991385301</v>
      </c>
      <c r="C689" t="str">
        <f t="shared" si="88"/>
        <v>MONACO-Musée Océanographique</v>
      </c>
      <c r="D689" t="str">
        <f t="shared" si="89"/>
        <v>43.7310033</v>
      </c>
      <c r="E689" t="str">
        <f t="shared" si="90"/>
        <v>7.425491600000001</v>
      </c>
      <c r="F689" t="str">
        <f t="shared" si="91"/>
        <v>Natural history book reviews  [Texte imprimé]</v>
      </c>
      <c r="G689" t="str">
        <f t="shared" si="92"/>
        <v>Natural history book reviews</v>
      </c>
      <c r="H689" t="str">
        <f t="shared" si="93"/>
        <v>0308-180X</v>
      </c>
      <c r="I689" t="str">
        <f t="shared" si="94"/>
        <v>vol. 1 no. 1 (1976)-....</v>
      </c>
    </row>
    <row r="690" spans="1:9" x14ac:dyDescent="0.25">
      <c r="A690" t="str">
        <f>"039347303"</f>
        <v>039347303</v>
      </c>
      <c r="B690" t="str">
        <f t="shared" si="87"/>
        <v>991385201</v>
      </c>
      <c r="C690" t="str">
        <f t="shared" si="88"/>
        <v>MONACO-Jardin exotique</v>
      </c>
      <c r="D690" t="str">
        <f t="shared" si="89"/>
        <v>43.7310908</v>
      </c>
      <c r="E690" t="str">
        <f t="shared" si="90"/>
        <v>7.410747499999999</v>
      </c>
      <c r="F690" t="str">
        <f t="shared" si="91"/>
        <v>The Planthunter  [Texte imprimé]</v>
      </c>
      <c r="G690" t="str">
        <f t="shared" si="92"/>
        <v>The Planthunter</v>
      </c>
      <c r="H690" t="str">
        <f t="shared" si="93"/>
        <v>0282-4515</v>
      </c>
      <c r="I690" t="str">
        <f t="shared" si="94"/>
        <v>no. 1 (1983)</v>
      </c>
    </row>
    <row r="691" spans="1:9" x14ac:dyDescent="0.25">
      <c r="A691" t="str">
        <f>"110988841"</f>
        <v>110988841</v>
      </c>
      <c r="B691" t="str">
        <f t="shared" si="87"/>
        <v>060696201</v>
      </c>
      <c r="C691" t="str">
        <f t="shared" si="88"/>
        <v>GRASSE-Villa St Hilaire</v>
      </c>
      <c r="D691" t="str">
        <f t="shared" si="89"/>
        <v>43.65711599999999</v>
      </c>
      <c r="E691" t="str">
        <f t="shared" si="90"/>
        <v>6.9183745</v>
      </c>
      <c r="F691" t="str">
        <f t="shared" si="91"/>
        <v>Allo !... Allo !...ici l'Institut Fénelon à Grasse  [Texte imprimé]</v>
      </c>
      <c r="G691" t="str">
        <f t="shared" si="92"/>
        <v>Allo !... Allo !...ici l'Institut Fénelon à Grasse</v>
      </c>
      <c r="H691" t="str">
        <f t="shared" si="93"/>
        <v>2022-6683</v>
      </c>
      <c r="I691" t="str">
        <f t="shared" si="94"/>
        <v>(avr-1935) - (jul-1938)</v>
      </c>
    </row>
    <row r="692" spans="1:9" x14ac:dyDescent="0.25">
      <c r="A692" t="str">
        <f>"135939860"</f>
        <v>135939860</v>
      </c>
      <c r="B692" t="str">
        <f t="shared" si="87"/>
        <v>830616201</v>
      </c>
      <c r="C692" t="str">
        <f t="shared" si="88"/>
        <v>FREJUS-Médiathèque Villa-Mar</v>
      </c>
      <c r="D692" t="e">
        <f t="shared" si="89"/>
        <v>#VALUE!</v>
      </c>
      <c r="E692" t="e">
        <f t="shared" si="90"/>
        <v>#VALUE!</v>
      </c>
      <c r="F692" t="str">
        <f t="shared" si="91"/>
        <v>Terre des Alpes  [Texte imprimé]</v>
      </c>
      <c r="G692" t="str">
        <f t="shared" si="92"/>
        <v>Terre des Alpes</v>
      </c>
      <c r="H692" t="str">
        <f t="shared" si="93"/>
        <v>1969-346X</v>
      </c>
      <c r="I692" t="str">
        <f t="shared" si="94"/>
        <v>no. 1 (2008)-....</v>
      </c>
    </row>
    <row r="693" spans="1:9" x14ac:dyDescent="0.25">
      <c r="A693" t="str">
        <f>"195273044"</f>
        <v>195273044</v>
      </c>
      <c r="B693" t="str">
        <f t="shared" si="87"/>
        <v>060882303</v>
      </c>
      <c r="C693" t="str">
        <f t="shared" si="88"/>
        <v>NICE-Museum Hist.Naturelle</v>
      </c>
      <c r="D693" t="str">
        <f t="shared" si="89"/>
        <v>43.7017477</v>
      </c>
      <c r="E693" t="str">
        <f t="shared" si="90"/>
        <v>7.279483399999999</v>
      </c>
      <c r="F693" t="str">
        <f t="shared" si="91"/>
        <v>Bollettino della F.E.S.P.E.M</v>
      </c>
      <c r="G693" t="str">
        <f t="shared" si="92"/>
        <v>Bollettino della F.E.S.P.E.M</v>
      </c>
      <c r="H693" t="e">
        <f t="shared" si="93"/>
        <v>#VALUE!</v>
      </c>
      <c r="I693" t="str">
        <f t="shared" si="94"/>
        <v>no. 1 (2003) - no. 35  (2011) [lacunes : 2, 3 (2003) ;12 (2005)]</v>
      </c>
    </row>
    <row r="694" spans="1:9" x14ac:dyDescent="0.25">
      <c r="A694" t="str">
        <f>"040091627"</f>
        <v>040091627</v>
      </c>
      <c r="B694" t="str">
        <f t="shared" si="87"/>
        <v>991385301</v>
      </c>
      <c r="C694" t="str">
        <f t="shared" si="88"/>
        <v>MONACO-Musée Océanographique</v>
      </c>
      <c r="D694" t="str">
        <f t="shared" si="89"/>
        <v>43.7310033</v>
      </c>
      <c r="E694" t="str">
        <f t="shared" si="90"/>
        <v>7.425491600000001</v>
      </c>
      <c r="F694" t="str">
        <f t="shared" si="91"/>
        <v>Ocean challenge  [Texte imprimé]</v>
      </c>
      <c r="G694" t="str">
        <f t="shared" si="92"/>
        <v>Ocean challenge</v>
      </c>
      <c r="H694" t="str">
        <f t="shared" si="93"/>
        <v>0959-0161</v>
      </c>
      <c r="I694" t="str">
        <f t="shared" si="94"/>
        <v>vol. 1 no. 1 (1990)-....</v>
      </c>
    </row>
    <row r="695" spans="1:9" x14ac:dyDescent="0.25">
      <c r="A695" t="str">
        <f>"140301372"</f>
        <v>140301372</v>
      </c>
      <c r="B695" t="str">
        <f t="shared" si="87"/>
        <v>060885105</v>
      </c>
      <c r="C695" t="str">
        <f t="shared" si="88"/>
        <v>NICE-Bibl.Chevalier de Cessole</v>
      </c>
      <c r="D695" t="str">
        <f t="shared" si="89"/>
        <v>43.6956246</v>
      </c>
      <c r="E695" t="str">
        <f t="shared" si="90"/>
        <v>7.259380900000001</v>
      </c>
      <c r="F695" t="str">
        <f t="shared" si="91"/>
        <v>La Voix du peuple  [Texte imprimé]</v>
      </c>
      <c r="G695" t="str">
        <f t="shared" si="92"/>
        <v>La Voix du peuple</v>
      </c>
      <c r="H695" t="str">
        <f t="shared" si="93"/>
        <v>2140-2485</v>
      </c>
      <c r="I695" t="str">
        <f t="shared" si="94"/>
        <v>no. 1 (29-dec-1887) - no. 2  (01-jan-1888)</v>
      </c>
    </row>
    <row r="696" spans="1:9" x14ac:dyDescent="0.25">
      <c r="A696" t="str">
        <f>"039951057"</f>
        <v>039951057</v>
      </c>
      <c r="B696" t="str">
        <f t="shared" si="87"/>
        <v>991385201</v>
      </c>
      <c r="C696" t="str">
        <f t="shared" si="88"/>
        <v>MONACO-Jardin exotique</v>
      </c>
      <c r="D696" t="str">
        <f t="shared" si="89"/>
        <v>43.7310908</v>
      </c>
      <c r="E696" t="str">
        <f t="shared" si="90"/>
        <v>7.410747499999999</v>
      </c>
      <c r="F696" t="str">
        <f t="shared" si="91"/>
        <v>Die anderen Sukkulenten  [Texte imprimé]</v>
      </c>
      <c r="G696" t="str">
        <f t="shared" si="92"/>
        <v>Die anderen Sukkulenten</v>
      </c>
      <c r="H696" t="str">
        <f t="shared" si="93"/>
        <v>0863-0763</v>
      </c>
      <c r="I696" t="str">
        <f t="shared" si="94"/>
        <v>no. 1 (1983) - no. 30  (1997)</v>
      </c>
    </row>
    <row r="697" spans="1:9" x14ac:dyDescent="0.25">
      <c r="A697" t="str">
        <f>"076004864"</f>
        <v>076004864</v>
      </c>
      <c r="B697" t="str">
        <f t="shared" si="87"/>
        <v>991385201</v>
      </c>
      <c r="C697" t="str">
        <f t="shared" si="88"/>
        <v>MONACO-Jardin exotique</v>
      </c>
      <c r="D697" t="str">
        <f t="shared" si="89"/>
        <v>43.7310908</v>
      </c>
      <c r="E697" t="str">
        <f t="shared" si="90"/>
        <v>7.410747499999999</v>
      </c>
      <c r="F697" t="str">
        <f t="shared" si="91"/>
        <v>Suculentas desde Argentina  [Texte imprimé]</v>
      </c>
      <c r="G697" t="str">
        <f t="shared" si="92"/>
        <v>Suculentas desde Argentina</v>
      </c>
      <c r="H697" t="str">
        <f t="shared" si="93"/>
        <v>1668-7760</v>
      </c>
      <c r="I697" t="str">
        <f t="shared" si="94"/>
        <v>vol. 1 no. 1 (1999) - vol. 2  no. 6  (2000) ; vol. 3 no. 5 (2001) - vol. 3  no. 6  (2001)</v>
      </c>
    </row>
    <row r="698" spans="1:9" x14ac:dyDescent="0.25">
      <c r="A698" t="str">
        <f>"036908983"</f>
        <v>036908983</v>
      </c>
      <c r="B698" t="str">
        <f t="shared" si="87"/>
        <v>991385201</v>
      </c>
      <c r="C698" t="str">
        <f t="shared" si="88"/>
        <v>MONACO-Jardin exotique</v>
      </c>
      <c r="D698" t="str">
        <f t="shared" si="89"/>
        <v>43.7310908</v>
      </c>
      <c r="E698" t="str">
        <f t="shared" si="90"/>
        <v>7.410747499999999</v>
      </c>
      <c r="F698" t="str">
        <f t="shared" si="91"/>
        <v>Sempervivum Society journal  [Texte imprimé]</v>
      </c>
      <c r="G698" t="str">
        <f t="shared" si="92"/>
        <v>Sempervivum Society journal</v>
      </c>
      <c r="H698" t="str">
        <f t="shared" si="93"/>
        <v>0140-0215</v>
      </c>
      <c r="I698" t="str">
        <f t="shared" si="94"/>
        <v>vol. 2 no. 1 (1971) - vol. 8  no. 3  (1977)</v>
      </c>
    </row>
    <row r="699" spans="1:9" x14ac:dyDescent="0.25">
      <c r="A699" t="str">
        <f>"040079015"</f>
        <v>040079015</v>
      </c>
      <c r="B699" t="str">
        <f t="shared" si="87"/>
        <v>991385201</v>
      </c>
      <c r="C699" t="str">
        <f t="shared" si="88"/>
        <v>MONACO-Jardin exotique</v>
      </c>
      <c r="D699" t="str">
        <f t="shared" si="89"/>
        <v>43.7310908</v>
      </c>
      <c r="E699" t="str">
        <f t="shared" si="90"/>
        <v>7.410747499999999</v>
      </c>
      <c r="F699" t="str">
        <f t="shared" si="91"/>
        <v>The Chileans  [Texte imprimé]</v>
      </c>
      <c r="G699" t="str">
        <f t="shared" si="92"/>
        <v>The Chileans</v>
      </c>
      <c r="H699" t="str">
        <f t="shared" si="93"/>
        <v>0950-7965</v>
      </c>
      <c r="I699" t="str">
        <f t="shared" si="94"/>
        <v>vol. 1 no. 6 (1967) - vol. 1  no. 9  (1968) ; vol. 14 no. 46 (1988)-....</v>
      </c>
    </row>
    <row r="700" spans="1:9" x14ac:dyDescent="0.25">
      <c r="A700" t="str">
        <f>"036355607"</f>
        <v>036355607</v>
      </c>
      <c r="B700" t="str">
        <f t="shared" si="87"/>
        <v>991385301</v>
      </c>
      <c r="C700" t="str">
        <f t="shared" si="88"/>
        <v>MONACO-Musée Océanographique</v>
      </c>
      <c r="D700" t="str">
        <f t="shared" si="89"/>
        <v>43.7310033</v>
      </c>
      <c r="E700" t="str">
        <f t="shared" si="90"/>
        <v>7.425491600000001</v>
      </c>
      <c r="F700" t="str">
        <f t="shared" si="91"/>
        <v>Naval oceanographic office. Technical report</v>
      </c>
      <c r="G700" t="str">
        <f t="shared" si="92"/>
        <v>Naval oceanographic office. Technical report</v>
      </c>
      <c r="H700" t="e">
        <f t="shared" si="93"/>
        <v>#VALUE!</v>
      </c>
      <c r="I700" t="e">
        <f t="shared" si="94"/>
        <v>#VALUE!</v>
      </c>
    </row>
    <row r="701" spans="1:9" x14ac:dyDescent="0.25">
      <c r="A701" t="str">
        <f>"039315347"</f>
        <v>039315347</v>
      </c>
      <c r="B701" t="str">
        <f t="shared" si="87"/>
        <v>061525404</v>
      </c>
      <c r="C701" t="str">
        <f t="shared" si="88"/>
        <v>SOPHIA/ANT.-Thales Und. Systems</v>
      </c>
      <c r="D701" t="e">
        <f t="shared" si="89"/>
        <v>#VALUE!</v>
      </c>
      <c r="E701" t="e">
        <f t="shared" si="90"/>
        <v>#VALUE!</v>
      </c>
      <c r="F701" t="str">
        <f t="shared" si="91"/>
        <v>Defence helicopter world  [Texte imprimé]</v>
      </c>
      <c r="G701" t="str">
        <f t="shared" si="92"/>
        <v>Defence helicopter world</v>
      </c>
      <c r="H701" t="str">
        <f t="shared" si="93"/>
        <v>0263-5062</v>
      </c>
      <c r="I701" t="str">
        <f t="shared" si="94"/>
        <v>(1986)-....</v>
      </c>
    </row>
    <row r="702" spans="1:9" x14ac:dyDescent="0.25">
      <c r="A702" t="str">
        <f>"122402073"</f>
        <v>122402073</v>
      </c>
      <c r="B702" t="str">
        <f t="shared" si="87"/>
        <v>830616201</v>
      </c>
      <c r="C702" t="str">
        <f t="shared" si="88"/>
        <v>FREJUS-Médiathèque Villa-Mar</v>
      </c>
      <c r="D702" t="e">
        <f t="shared" si="89"/>
        <v>#VALUE!</v>
      </c>
      <c r="E702" t="e">
        <f t="shared" si="90"/>
        <v>#VALUE!</v>
      </c>
      <c r="F702" t="str">
        <f t="shared" si="91"/>
        <v>L'Écho magazine  [Texte imprimé]</v>
      </c>
      <c r="G702" t="str">
        <f t="shared" si="92"/>
        <v>L'Écho magazine</v>
      </c>
      <c r="H702" t="str">
        <f t="shared" si="93"/>
        <v>1960-8268</v>
      </c>
      <c r="I702" t="str">
        <f t="shared" si="94"/>
        <v>no. 111 (2008) - no. 156  (2012)</v>
      </c>
    </row>
    <row r="703" spans="1:9" x14ac:dyDescent="0.25">
      <c r="A703" t="str">
        <f>"03674722X"</f>
        <v>03674722X</v>
      </c>
      <c r="B703" t="str">
        <f t="shared" si="87"/>
        <v>991385301</v>
      </c>
      <c r="C703" t="str">
        <f t="shared" si="88"/>
        <v>MONACO-Musée Océanographique</v>
      </c>
      <c r="D703" t="str">
        <f t="shared" si="89"/>
        <v>43.7310033</v>
      </c>
      <c r="E703" t="str">
        <f t="shared" si="90"/>
        <v>7.425491600000001</v>
      </c>
      <c r="F703" t="str">
        <f t="shared" si="91"/>
        <v>Impact  [Texte imprimé]</v>
      </c>
      <c r="G703" t="str">
        <f t="shared" si="92"/>
        <v>Impact</v>
      </c>
      <c r="H703" t="str">
        <f t="shared" si="93"/>
        <v>1359-589X</v>
      </c>
      <c r="I703" t="str">
        <f t="shared" si="94"/>
        <v>no. 1 (1990)-....</v>
      </c>
    </row>
    <row r="704" spans="1:9" x14ac:dyDescent="0.25">
      <c r="A704" t="str">
        <f>"040002659"</f>
        <v>040002659</v>
      </c>
      <c r="B704" t="str">
        <f t="shared" si="87"/>
        <v>991385301</v>
      </c>
      <c r="C704" t="str">
        <f t="shared" si="88"/>
        <v>MONACO-Musée Océanographique</v>
      </c>
      <c r="D704" t="str">
        <f t="shared" si="89"/>
        <v>43.7310033</v>
      </c>
      <c r="E704" t="str">
        <f t="shared" si="90"/>
        <v>7.425491600000001</v>
      </c>
      <c r="F704" t="str">
        <f t="shared" si="91"/>
        <v>The Ecdysiast  [Texte imprimé]</v>
      </c>
      <c r="G704" t="str">
        <f t="shared" si="92"/>
        <v>The Ecdysiast</v>
      </c>
      <c r="H704" t="str">
        <f t="shared" si="93"/>
        <v>0898-1043</v>
      </c>
      <c r="I704" t="str">
        <f t="shared" si="94"/>
        <v>vol. 4 no. 2 (1985)-....</v>
      </c>
    </row>
    <row r="705" spans="1:9" x14ac:dyDescent="0.25">
      <c r="A705" t="str">
        <f>"040198588"</f>
        <v>040198588</v>
      </c>
      <c r="B705" t="str">
        <f t="shared" si="87"/>
        <v>060692301</v>
      </c>
      <c r="C705" t="str">
        <f t="shared" si="88"/>
        <v>GRASSE-Musée Art/Hist Provence</v>
      </c>
      <c r="D705" t="str">
        <f t="shared" si="89"/>
        <v>43.65761759999999</v>
      </c>
      <c r="E705" t="str">
        <f t="shared" si="90"/>
        <v>6.9224541</v>
      </c>
      <c r="F705" t="str">
        <f t="shared" si="91"/>
        <v>Les Cahiers du Rode  [Texte imprimé]</v>
      </c>
      <c r="G705" t="str">
        <f t="shared" si="92"/>
        <v>Les Cahiers du Rode</v>
      </c>
      <c r="H705" t="str">
        <f t="shared" si="93"/>
        <v>1250-7393</v>
      </c>
      <c r="I705" t="str">
        <f t="shared" si="94"/>
        <v>no. 1 (1986) - no. 3  (1986) ; no. 4 (1986) - no. 6  (1986)</v>
      </c>
    </row>
    <row r="706" spans="1:9" x14ac:dyDescent="0.25">
      <c r="A706" t="str">
        <f>"040198510"</f>
        <v>040198510</v>
      </c>
      <c r="B706" t="str">
        <f t="shared" si="87"/>
        <v>060845301</v>
      </c>
      <c r="C706" t="str">
        <f t="shared" si="88"/>
        <v>MOUANS SARTOUX-CRD Occitane</v>
      </c>
      <c r="D706" t="str">
        <f t="shared" si="89"/>
        <v>43.6188186</v>
      </c>
      <c r="E706" t="str">
        <f t="shared" si="90"/>
        <v>6.972011600000001</v>
      </c>
      <c r="F706" t="str">
        <f t="shared" si="91"/>
        <v>L'Espigau  [Texte imprimé]</v>
      </c>
      <c r="G706" t="str">
        <f t="shared" si="92"/>
        <v>L'Espigau</v>
      </c>
      <c r="H706" t="str">
        <f t="shared" si="93"/>
        <v>1250-7288</v>
      </c>
      <c r="I706" t="str">
        <f t="shared" si="94"/>
        <v>(1977) - (1980)</v>
      </c>
    </row>
    <row r="707" spans="1:9" x14ac:dyDescent="0.25">
      <c r="A707" t="str">
        <f>"03858834X"</f>
        <v>03858834X</v>
      </c>
      <c r="B707" t="str">
        <f t="shared" ref="B707:B770" si="95">TEXT(_xlfn.FILTERXML(_xlfn.WEBSERVICE("http://www.sudoc.fr/services/multiwhere/"&amp;A707),"//query/result/library/rcr"),"000000000")</f>
        <v>060885101</v>
      </c>
      <c r="C707" t="str">
        <f t="shared" si="88"/>
        <v>NICE-Archives Municipales</v>
      </c>
      <c r="D707" t="str">
        <f t="shared" si="89"/>
        <v>43.68774699999999</v>
      </c>
      <c r="E707" t="str">
        <f t="shared" si="90"/>
        <v>7.235200000000001</v>
      </c>
      <c r="F707" t="str">
        <f t="shared" si="91"/>
        <v>Fraternité de Nice et de la Côte d'Azur  [Texte imprimé]</v>
      </c>
      <c r="G707" t="str">
        <f t="shared" si="92"/>
        <v>Fraternité de Nice et de la Côte d'Azur</v>
      </c>
      <c r="H707" t="str">
        <f t="shared" si="93"/>
        <v>1153-7388</v>
      </c>
      <c r="I707" t="str">
        <f t="shared" si="94"/>
        <v>NS no. 1 (1945) - no. 2  (1945)</v>
      </c>
    </row>
    <row r="708" spans="1:9" x14ac:dyDescent="0.25">
      <c r="A708" t="str">
        <f>"039113302"</f>
        <v>039113302</v>
      </c>
      <c r="B708" t="str">
        <f t="shared" si="95"/>
        <v>831376201</v>
      </c>
      <c r="C708" t="str">
        <f t="shared" si="88"/>
        <v>TOULON-BM</v>
      </c>
      <c r="D708" t="str">
        <f t="shared" si="89"/>
        <v>43.0823215</v>
      </c>
      <c r="E708" t="str">
        <f t="shared" si="90"/>
        <v>5.920052699999999</v>
      </c>
      <c r="F708" t="str">
        <f t="shared" si="91"/>
        <v>Bulletin administratif de la Ville de Toulon  [Texte imprimé]</v>
      </c>
      <c r="G708" t="str">
        <f t="shared" si="92"/>
        <v>Bulletin administratif de la Ville de Toulon</v>
      </c>
      <c r="H708" t="str">
        <f t="shared" si="93"/>
        <v>2016-2022</v>
      </c>
      <c r="I708" t="str">
        <f t="shared" si="94"/>
        <v>(1866) - (1871)</v>
      </c>
    </row>
    <row r="709" spans="1:9" x14ac:dyDescent="0.25">
      <c r="A709" t="str">
        <f>"037824864"</f>
        <v>037824864</v>
      </c>
      <c r="B709" t="str">
        <f t="shared" si="95"/>
        <v>991385201</v>
      </c>
      <c r="C709" t="str">
        <f t="shared" si="88"/>
        <v>MONACO-Jardin exotique</v>
      </c>
      <c r="D709" t="str">
        <f t="shared" si="89"/>
        <v>43.7310908</v>
      </c>
      <c r="E709" t="str">
        <f t="shared" si="90"/>
        <v>7.410747499999999</v>
      </c>
      <c r="F709" t="str">
        <f t="shared" si="91"/>
        <v>Euphorbia review  [Texte imprimé]</v>
      </c>
      <c r="G709" t="str">
        <f t="shared" si="92"/>
        <v>Euphorbia review</v>
      </c>
      <c r="H709" t="str">
        <f t="shared" si="93"/>
        <v>0891-9968</v>
      </c>
      <c r="I709" t="str">
        <f t="shared" si="94"/>
        <v>vol. 1 no. 1 (1935) - vol. 3  no. 2  (1937)</v>
      </c>
    </row>
    <row r="710" spans="1:9" x14ac:dyDescent="0.25">
      <c r="A710" t="str">
        <f>"039034097"</f>
        <v>039034097</v>
      </c>
      <c r="B710" t="str">
        <f t="shared" si="95"/>
        <v>831376201</v>
      </c>
      <c r="C710" t="str">
        <f t="shared" si="88"/>
        <v>TOULON-BM</v>
      </c>
      <c r="D710" t="str">
        <f t="shared" si="89"/>
        <v>43.0823215</v>
      </c>
      <c r="E710" t="str">
        <f t="shared" si="90"/>
        <v>5.920052699999999</v>
      </c>
      <c r="F710" t="str">
        <f t="shared" si="91"/>
        <v>L'Écho paroissial de Tavernes  [Texte imprimé]</v>
      </c>
      <c r="G710" t="str">
        <f t="shared" si="92"/>
        <v>L'Écho paroissial de Tavernes</v>
      </c>
      <c r="H710" t="str">
        <f t="shared" si="93"/>
        <v>2016-9949</v>
      </c>
      <c r="I710" t="str">
        <f t="shared" si="94"/>
        <v>no. 1 (1911) - no. 4  (1911)</v>
      </c>
    </row>
    <row r="711" spans="1:9" x14ac:dyDescent="0.25">
      <c r="A711" t="str">
        <f>"039051501"</f>
        <v>039051501</v>
      </c>
      <c r="B711" t="str">
        <f t="shared" si="95"/>
        <v>831376201</v>
      </c>
      <c r="C711" t="str">
        <f t="shared" si="88"/>
        <v>TOULON-BM</v>
      </c>
      <c r="D711" t="str">
        <f t="shared" si="89"/>
        <v>43.0823215</v>
      </c>
      <c r="E711" t="str">
        <f t="shared" si="90"/>
        <v>5.920052699999999</v>
      </c>
      <c r="F711" t="str">
        <f t="shared" si="91"/>
        <v>Le Poilu varois  [Texte imprimé]</v>
      </c>
      <c r="G711" t="str">
        <f t="shared" si="92"/>
        <v>Le Poilu varois</v>
      </c>
      <c r="H711" t="str">
        <f t="shared" si="93"/>
        <v>2017-9251</v>
      </c>
      <c r="I711" t="str">
        <f t="shared" si="94"/>
        <v>no. 1 (mar-1932)</v>
      </c>
    </row>
    <row r="712" spans="1:9" x14ac:dyDescent="0.25">
      <c r="A712" t="str">
        <f>"03622863X"</f>
        <v>03622863X</v>
      </c>
      <c r="B712" t="str">
        <f t="shared" si="95"/>
        <v>991385301</v>
      </c>
      <c r="C712" t="str">
        <f t="shared" si="88"/>
        <v>MONACO-Musée Océanographique</v>
      </c>
      <c r="D712" t="str">
        <f t="shared" si="89"/>
        <v>43.7310033</v>
      </c>
      <c r="E712" t="str">
        <f t="shared" si="90"/>
        <v>7.425491600000001</v>
      </c>
      <c r="F712" t="str">
        <f t="shared" si="91"/>
        <v>Contributions from the Mote marine laboratory  [Texte imprimé]</v>
      </c>
      <c r="G712" t="str">
        <f t="shared" si="92"/>
        <v>Contributions from the Mote marine laboratory</v>
      </c>
      <c r="H712" t="e">
        <f t="shared" si="93"/>
        <v>#VALUE!</v>
      </c>
      <c r="I712" t="str">
        <f t="shared" si="94"/>
        <v>(1972)-....</v>
      </c>
    </row>
    <row r="713" spans="1:9" x14ac:dyDescent="0.25">
      <c r="A713" t="str">
        <f>"03849146X"</f>
        <v>03849146X</v>
      </c>
      <c r="B713" t="str">
        <f t="shared" si="95"/>
        <v>060886101</v>
      </c>
      <c r="C713" t="str">
        <f t="shared" si="88"/>
        <v>NICE- BMVR Louis Nucéra</v>
      </c>
      <c r="D713" t="str">
        <f t="shared" si="89"/>
        <v>43.7015650</v>
      </c>
      <c r="E713" t="str">
        <f t="shared" si="90"/>
        <v>7.2786247</v>
      </c>
      <c r="F713" t="str">
        <f t="shared" si="91"/>
        <v>Journal du theatre de nice  [Texte imprimé]</v>
      </c>
      <c r="G713" t="str">
        <f t="shared" si="92"/>
        <v>Journal du theatre de nice</v>
      </c>
      <c r="H713" t="e">
        <f t="shared" si="93"/>
        <v>#VALUE!</v>
      </c>
      <c r="I713" t="str">
        <f t="shared" si="94"/>
        <v>(1975) [lac.50%]</v>
      </c>
    </row>
    <row r="714" spans="1:9" x14ac:dyDescent="0.25">
      <c r="A714" t="str">
        <f>"058260846"</f>
        <v>058260846</v>
      </c>
      <c r="B714" t="str">
        <f t="shared" si="95"/>
        <v>061522308</v>
      </c>
      <c r="C714" t="str">
        <f t="shared" si="88"/>
        <v>SOPHIA/ANT.-Doc.Institut Eurecom</v>
      </c>
      <c r="D714" t="e">
        <f t="shared" si="89"/>
        <v>#VALUE!</v>
      </c>
      <c r="E714" t="e">
        <f t="shared" si="90"/>
        <v>#VALUE!</v>
      </c>
      <c r="F714" t="str">
        <f t="shared" si="91"/>
        <v>Computer &amp; communications security abstracts  [Texte imprimé]</v>
      </c>
      <c r="G714" t="str">
        <f t="shared" si="92"/>
        <v>Computer &amp; communications security abstracts</v>
      </c>
      <c r="H714" t="str">
        <f t="shared" si="93"/>
        <v>1468-1714</v>
      </c>
      <c r="I714" t="str">
        <f t="shared" si="94"/>
        <v>(2000) - (dec-2003)</v>
      </c>
    </row>
    <row r="715" spans="1:9" x14ac:dyDescent="0.25">
      <c r="A715" t="str">
        <f>"037432788"</f>
        <v>037432788</v>
      </c>
      <c r="B715" t="str">
        <f t="shared" si="95"/>
        <v>991385301</v>
      </c>
      <c r="C715" t="str">
        <f t="shared" si="88"/>
        <v>MONACO-Musée Océanographique</v>
      </c>
      <c r="D715" t="str">
        <f t="shared" si="89"/>
        <v>43.7310033</v>
      </c>
      <c r="E715" t="str">
        <f t="shared" si="90"/>
        <v>7.425491600000001</v>
      </c>
      <c r="F715" t="str">
        <f t="shared" si="91"/>
        <v>Nedbøriakttagelser i Norge  [Texte imprimé]</v>
      </c>
      <c r="G715" t="str">
        <f t="shared" si="92"/>
        <v>Nedbøriakttagelser i Norge</v>
      </c>
      <c r="H715" t="str">
        <f t="shared" si="93"/>
        <v>0373-5087</v>
      </c>
      <c r="I715" t="str">
        <f t="shared" si="94"/>
        <v>(1960) - (1980)</v>
      </c>
    </row>
    <row r="716" spans="1:9" x14ac:dyDescent="0.25">
      <c r="A716" t="str">
        <f>"036341622"</f>
        <v>036341622</v>
      </c>
      <c r="B716" t="str">
        <f t="shared" si="95"/>
        <v>991385301</v>
      </c>
      <c r="C716" t="str">
        <f t="shared" si="88"/>
        <v>MONACO-Musée Océanographique</v>
      </c>
      <c r="D716" t="str">
        <f t="shared" si="89"/>
        <v>43.7310033</v>
      </c>
      <c r="E716" t="str">
        <f t="shared" si="90"/>
        <v>7.425491600000001</v>
      </c>
      <c r="F716" t="str">
        <f t="shared" si="91"/>
        <v>Mission zoologique belge aux îles Galapagos et en Ecuador. Résultats scientifiques.</v>
      </c>
      <c r="G716" t="str">
        <f t="shared" si="92"/>
        <v>Mission zoologique belge aux îles Galapagos et en Ecuador. Résultats scientifiques.</v>
      </c>
      <c r="H716" t="e">
        <f t="shared" si="93"/>
        <v>#VALUE!</v>
      </c>
      <c r="I716" t="e">
        <f t="shared" si="94"/>
        <v>#VALUE!</v>
      </c>
    </row>
    <row r="717" spans="1:9" x14ac:dyDescent="0.25">
      <c r="A717" t="str">
        <f>"036463353"</f>
        <v>036463353</v>
      </c>
      <c r="B717" t="str">
        <f t="shared" si="95"/>
        <v>991385301</v>
      </c>
      <c r="C717" t="str">
        <f t="shared" si="88"/>
        <v>MONACO-Musée Océanographique</v>
      </c>
      <c r="D717" t="str">
        <f t="shared" si="89"/>
        <v>43.7310033</v>
      </c>
      <c r="E717" t="str">
        <f t="shared" si="90"/>
        <v>7.425491600000001</v>
      </c>
      <c r="F717" t="str">
        <f t="shared" si="91"/>
        <v>U[nited] S[tates]. Coast guard. Oceanographic cruise announcement.</v>
      </c>
      <c r="G717" t="str">
        <f t="shared" si="92"/>
        <v>U[nited] S[tates]. Coast guard. Oceanographic cruise announcement.</v>
      </c>
      <c r="H717" t="e">
        <f t="shared" si="93"/>
        <v>#VALUE!</v>
      </c>
      <c r="I717" t="e">
        <f t="shared" si="94"/>
        <v>#VALUE!</v>
      </c>
    </row>
    <row r="718" spans="1:9" x14ac:dyDescent="0.25">
      <c r="A718" t="str">
        <f>"037194771"</f>
        <v>037194771</v>
      </c>
      <c r="B718" t="str">
        <f t="shared" si="95"/>
        <v>991386201</v>
      </c>
      <c r="C718" t="str">
        <f t="shared" si="88"/>
        <v>MONACO-Bibl.Louis Notari</v>
      </c>
      <c r="D718" t="str">
        <f t="shared" si="89"/>
        <v>43.7351319</v>
      </c>
      <c r="E718" t="str">
        <f t="shared" si="90"/>
        <v>7.420563100000001</v>
      </c>
      <c r="F718" t="str">
        <f t="shared" si="91"/>
        <v>Bulletin officiel d'informations de la Principauté de Monaco  [Texte imprimé]</v>
      </c>
      <c r="G718" t="str">
        <f t="shared" si="92"/>
        <v>Bulletin officiel d'informations de la Principauté de Monaco</v>
      </c>
      <c r="H718" t="str">
        <f t="shared" si="93"/>
        <v>0256-9965</v>
      </c>
      <c r="I718" t="str">
        <f t="shared" si="94"/>
        <v>no. 1 (16-sep-1944) - (31-avr-1945)</v>
      </c>
    </row>
    <row r="719" spans="1:9" x14ac:dyDescent="0.25">
      <c r="A719" t="str">
        <f>"037950975"</f>
        <v>037950975</v>
      </c>
      <c r="B719" t="str">
        <f t="shared" si="95"/>
        <v>991386201</v>
      </c>
      <c r="C719" t="str">
        <f t="shared" si="88"/>
        <v>MONACO-Bibl.Louis Notari</v>
      </c>
      <c r="D719" t="str">
        <f t="shared" si="89"/>
        <v>43.7351319</v>
      </c>
      <c r="E719" t="str">
        <f t="shared" si="90"/>
        <v>7.420563100000001</v>
      </c>
      <c r="F719" t="str">
        <f t="shared" si="91"/>
        <v>Al-difāʿ wa-al-amn  [Texte imprimé]</v>
      </c>
      <c r="G719" t="str">
        <f t="shared" si="92"/>
        <v>Al-difāʿ wa-al-amn</v>
      </c>
      <c r="H719" t="str">
        <f t="shared" si="93"/>
        <v>1011-2391</v>
      </c>
      <c r="I719" t="str">
        <f t="shared" si="94"/>
        <v>no. 37 (1978) - no. 57  (1979)</v>
      </c>
    </row>
    <row r="720" spans="1:9" x14ac:dyDescent="0.25">
      <c r="A720" t="str">
        <f>"039765954"</f>
        <v>039765954</v>
      </c>
      <c r="B720" t="str">
        <f t="shared" si="95"/>
        <v>991386201</v>
      </c>
      <c r="C720" t="str">
        <f t="shared" si="88"/>
        <v>MONACO-Bibl.Louis Notari</v>
      </c>
      <c r="D720" t="str">
        <f t="shared" si="89"/>
        <v>43.7351319</v>
      </c>
      <c r="E720" t="str">
        <f t="shared" si="90"/>
        <v>7.420563100000001</v>
      </c>
      <c r="F720" t="str">
        <f t="shared" si="91"/>
        <v>Dehors  [Texte imprimé]</v>
      </c>
      <c r="G720" t="str">
        <f t="shared" si="92"/>
        <v>Dehors</v>
      </c>
      <c r="H720" t="str">
        <f t="shared" si="93"/>
        <v>0767-3213</v>
      </c>
      <c r="I720" t="str">
        <f t="shared" si="94"/>
        <v>no. 1 (1982)-....</v>
      </c>
    </row>
    <row r="721" spans="1:9" x14ac:dyDescent="0.25">
      <c r="A721" t="str">
        <f>"037947001"</f>
        <v>037947001</v>
      </c>
      <c r="B721" t="str">
        <f t="shared" si="95"/>
        <v>991385301</v>
      </c>
      <c r="C721" t="str">
        <f t="shared" si="88"/>
        <v>MONACO-Musée Océanographique</v>
      </c>
      <c r="D721" t="str">
        <f t="shared" si="89"/>
        <v>43.7310033</v>
      </c>
      <c r="E721" t="str">
        <f t="shared" si="90"/>
        <v>7.425491600000001</v>
      </c>
      <c r="F721" t="str">
        <f t="shared" si="91"/>
        <v>Geofísica panamericana  [Texte imprimé]</v>
      </c>
      <c r="G721" t="str">
        <f t="shared" si="92"/>
        <v>Geofísica panamericana</v>
      </c>
      <c r="H721" t="str">
        <f t="shared" si="93"/>
        <v>1010-5514</v>
      </c>
      <c r="I721" t="str">
        <f t="shared" si="94"/>
        <v>(1971)-....</v>
      </c>
    </row>
    <row r="722" spans="1:9" x14ac:dyDescent="0.25">
      <c r="A722" t="str">
        <f>"039034887"</f>
        <v>039034887</v>
      </c>
      <c r="B722" t="str">
        <f t="shared" si="95"/>
        <v>831376201</v>
      </c>
      <c r="C722" t="str">
        <f t="shared" si="88"/>
        <v>TOULON-BM</v>
      </c>
      <c r="D722" t="str">
        <f t="shared" si="89"/>
        <v>43.0823215</v>
      </c>
      <c r="E722" t="str">
        <f t="shared" si="90"/>
        <v>5.920052699999999</v>
      </c>
      <c r="F722" t="str">
        <f t="shared" si="91"/>
        <v>L'Avenir du Var  [Texte imprimé]</v>
      </c>
      <c r="G722" t="str">
        <f t="shared" si="92"/>
        <v>L'Avenir du Var</v>
      </c>
      <c r="H722" t="str">
        <f t="shared" si="93"/>
        <v>2016-1026</v>
      </c>
      <c r="I722" t="str">
        <f t="shared" si="94"/>
        <v>no. 1 (1927) - no. 100  (1929) [lac.]</v>
      </c>
    </row>
    <row r="723" spans="1:9" x14ac:dyDescent="0.25">
      <c r="A723" t="str">
        <f>"039685144"</f>
        <v>039685144</v>
      </c>
      <c r="B723" t="str">
        <f t="shared" si="95"/>
        <v>991385201</v>
      </c>
      <c r="C723" t="str">
        <f t="shared" si="88"/>
        <v>MONACO-Jardin exotique</v>
      </c>
      <c r="D723" t="str">
        <f t="shared" si="89"/>
        <v>43.7310908</v>
      </c>
      <c r="E723" t="str">
        <f t="shared" si="90"/>
        <v>7.410747499999999</v>
      </c>
      <c r="F723" t="str">
        <f t="shared" si="91"/>
        <v>INTERNOTO  [Texte imprimé]</v>
      </c>
      <c r="G723" t="str">
        <f t="shared" si="92"/>
        <v>INTERNOTO</v>
      </c>
      <c r="H723" t="str">
        <f t="shared" si="93"/>
        <v>0722-4923</v>
      </c>
      <c r="I723" t="str">
        <f t="shared" si="94"/>
        <v>vol. 5 no. 1 (1984)-....</v>
      </c>
    </row>
    <row r="724" spans="1:9" x14ac:dyDescent="0.25">
      <c r="A724" t="str">
        <f>"039930920"</f>
        <v>039930920</v>
      </c>
      <c r="B724" t="str">
        <f t="shared" si="95"/>
        <v>831376201</v>
      </c>
      <c r="C724" t="str">
        <f t="shared" si="88"/>
        <v>TOULON-BM</v>
      </c>
      <c r="D724" t="str">
        <f t="shared" si="89"/>
        <v>43.0823215</v>
      </c>
      <c r="E724" t="str">
        <f t="shared" si="90"/>
        <v>5.920052699999999</v>
      </c>
      <c r="F724" t="str">
        <f t="shared" si="91"/>
        <v>Bulletin mensuel du service municipal d'hygiène  [Texte imprimé]</v>
      </c>
      <c r="G724" t="str">
        <f t="shared" si="92"/>
        <v>Bulletin mensuel du service municipal d'hygiène</v>
      </c>
      <c r="H724" t="str">
        <f t="shared" si="93"/>
        <v>1157-0997</v>
      </c>
      <c r="I724" t="str">
        <f t="shared" si="94"/>
        <v>(jan-1965) - (dec-1998)</v>
      </c>
    </row>
    <row r="725" spans="1:9" x14ac:dyDescent="0.25">
      <c r="A725" t="str">
        <f>"039983226"</f>
        <v>039983226</v>
      </c>
      <c r="B725" t="str">
        <f t="shared" si="95"/>
        <v>991385301</v>
      </c>
      <c r="C725" t="str">
        <f t="shared" si="88"/>
        <v>MONACO-Musée Océanographique</v>
      </c>
      <c r="D725" t="str">
        <f t="shared" si="89"/>
        <v>43.7310033</v>
      </c>
      <c r="E725" t="str">
        <f t="shared" si="90"/>
        <v>7.425491600000001</v>
      </c>
      <c r="F725" t="e">
        <f t="shared" si="91"/>
        <v>#VALUE!</v>
      </c>
      <c r="G725" t="str">
        <f t="shared" si="92"/>
        <v>Symposia series for undersea research</v>
      </c>
      <c r="H725" t="str">
        <f t="shared" si="93"/>
        <v>0888-6237</v>
      </c>
      <c r="I725" t="str">
        <f t="shared" si="94"/>
        <v>vol. 1 no. 1 (1983)-....</v>
      </c>
    </row>
    <row r="726" spans="1:9" x14ac:dyDescent="0.25">
      <c r="A726" t="str">
        <f>"090231112"</f>
        <v>090231112</v>
      </c>
      <c r="B726" t="str">
        <f t="shared" si="95"/>
        <v>060882303</v>
      </c>
      <c r="C726" t="str">
        <f t="shared" si="88"/>
        <v>NICE-Museum Hist.Naturelle</v>
      </c>
      <c r="D726" t="str">
        <f t="shared" si="89"/>
        <v>43.7017477</v>
      </c>
      <c r="E726" t="str">
        <f t="shared" si="90"/>
        <v>7.279483399999999</v>
      </c>
      <c r="F726" t="str">
        <f t="shared" si="91"/>
        <v>Imperial Bureau of Agricultural Parasitology  [Texte imprimé]  : notes and memoranda</v>
      </c>
      <c r="G726" t="str">
        <f t="shared" si="92"/>
        <v>Imperial Bureau of Agricultural Parasitology</v>
      </c>
      <c r="H726" t="e">
        <f t="shared" si="93"/>
        <v>#VALUE!</v>
      </c>
      <c r="I726" t="str">
        <f t="shared" si="94"/>
        <v>no. 5 (1932) - no. 6  (1932) ; no. 8 (1933) - no. 9  (1933) ; no. 11 (1936)</v>
      </c>
    </row>
    <row r="727" spans="1:9" x14ac:dyDescent="0.25">
      <c r="A727" t="str">
        <f>"04030423X"</f>
        <v>04030423X</v>
      </c>
      <c r="B727" t="str">
        <f t="shared" si="95"/>
        <v>991385301</v>
      </c>
      <c r="C727" t="str">
        <f t="shared" si="88"/>
        <v>MONACO-Musée Océanographique</v>
      </c>
      <c r="D727" t="str">
        <f t="shared" si="89"/>
        <v>43.7310033</v>
      </c>
      <c r="E727" t="str">
        <f t="shared" si="90"/>
        <v>7.425491600000001</v>
      </c>
      <c r="F727" t="str">
        <f t="shared" si="91"/>
        <v>Seawords  [Texte imprimé]</v>
      </c>
      <c r="G727" t="str">
        <f t="shared" si="92"/>
        <v>Seawords</v>
      </c>
      <c r="H727" t="str">
        <f t="shared" si="93"/>
        <v>1068-3429</v>
      </c>
      <c r="I727" t="str">
        <f t="shared" si="94"/>
        <v>vol. 5 no. 1 (1992)-....</v>
      </c>
    </row>
    <row r="728" spans="1:9" x14ac:dyDescent="0.25">
      <c r="A728" t="str">
        <f>"156137666"</f>
        <v>156137666</v>
      </c>
      <c r="B728" t="str">
        <f t="shared" si="95"/>
        <v>060885105</v>
      </c>
      <c r="C728" t="str">
        <f t="shared" si="88"/>
        <v>NICE-Bibl.Chevalier de Cessole</v>
      </c>
      <c r="D728" t="str">
        <f t="shared" si="89"/>
        <v>43.6956246</v>
      </c>
      <c r="E728" t="str">
        <f t="shared" si="90"/>
        <v>7.259380900000001</v>
      </c>
      <c r="F728" t="str">
        <f t="shared" si="91"/>
        <v>Lou Pajoun  [Texte imprimé]</v>
      </c>
      <c r="G728" t="str">
        <f t="shared" si="92"/>
        <v>Lou Pajoun</v>
      </c>
      <c r="H728" t="str">
        <f t="shared" si="93"/>
        <v>2133-5028</v>
      </c>
      <c r="I728" t="str">
        <f t="shared" si="94"/>
        <v>no. 1 (9-jul-1876) - no. 2  (19-avr-1877) [lacunes]</v>
      </c>
    </row>
    <row r="729" spans="1:9" x14ac:dyDescent="0.25">
      <c r="A729" t="str">
        <f>"036445347"</f>
        <v>036445347</v>
      </c>
      <c r="B729" t="str">
        <f t="shared" si="95"/>
        <v>991385301</v>
      </c>
      <c r="C729" t="str">
        <f t="shared" ref="C729:C792" si="96">_xlfn.FILTERXML(_xlfn.WEBSERVICE("http://www.sudoc.fr/services/multiwhere/"&amp;A729),"//query/result/library/shortname")</f>
        <v>MONACO-Musée Océanographique</v>
      </c>
      <c r="D729" t="str">
        <f t="shared" ref="D729:D792" si="97">_xlfn.FILTERXML(_xlfn.WEBSERVICE("http://www.sudoc.fr/services/multiwhere/"&amp;A729),"//query/result/library/latitude")</f>
        <v>43.7310033</v>
      </c>
      <c r="E729" t="str">
        <f t="shared" ref="E729:E792" si="98">_xlfn.FILTERXML(_xlfn.WEBSERVICE("http://www.sudoc.fr/services/multiwhere/"&amp;A729),"//query/result/library/longitude")</f>
        <v>7.425491600000001</v>
      </c>
      <c r="F729" t="str">
        <f t="shared" ref="F729:F792" si="99">_xlfn.FILTERXML(_xlfn.WEBSERVICE("http://www.sudoc.fr/"&amp;A729&amp;".rdf"),"//bibo:Periodical/dc:title")</f>
        <v>Tavole di marea  [Texte imprimé]</v>
      </c>
      <c r="G729" t="str">
        <f t="shared" ref="G729:G792" si="100">_xlfn.FILTERXML(_xlfn.WEBSERVICE("http://www.sudoc.fr/"&amp;A729&amp;".abes"),"//datafield[@tag='200']/subfield[@code='a']")</f>
        <v>Tavole di marea</v>
      </c>
      <c r="H729" t="e">
        <f t="shared" ref="H729:H792" si="101">_xlfn.FILTERXML(_xlfn.WEBSERVICE("http://www.sudoc.fr/"&amp;A729&amp;".abes"),"//datafield[@tag='011']/subfield[@code='a']")</f>
        <v>#VALUE!</v>
      </c>
      <c r="I729" t="str">
        <f t="shared" ref="I729:I792" si="102">_xlfn.FILTERXML(_xlfn.WEBSERVICE("http://www.sudoc.fr/"&amp;A729&amp;".abes"),"//datafield[@tag='955']/subfield[@code='r']")</f>
        <v>(1961) - (1965)</v>
      </c>
    </row>
    <row r="730" spans="1:9" x14ac:dyDescent="0.25">
      <c r="A730" t="str">
        <f>"056522819"</f>
        <v>056522819</v>
      </c>
      <c r="B730" t="str">
        <f t="shared" si="95"/>
        <v>060885101</v>
      </c>
      <c r="C730" t="str">
        <f t="shared" si="96"/>
        <v>NICE-Archives Municipales</v>
      </c>
      <c r="D730" t="str">
        <f t="shared" si="97"/>
        <v>43.68774699999999</v>
      </c>
      <c r="E730" t="str">
        <f t="shared" si="98"/>
        <v>7.235200000000001</v>
      </c>
      <c r="F730" t="str">
        <f t="shared" si="99"/>
        <v>Bulletin officiel municipal  [Texte imprimé]  / Mairie de la Trinité</v>
      </c>
      <c r="G730" t="str">
        <f t="shared" si="100"/>
        <v>Bulletin officiel municipal</v>
      </c>
      <c r="H730" t="e">
        <f t="shared" si="101"/>
        <v>#VALUE!</v>
      </c>
      <c r="I730" t="str">
        <f t="shared" si="102"/>
        <v>no. 1 (1964) - no. 2  (1967)</v>
      </c>
    </row>
    <row r="731" spans="1:9" x14ac:dyDescent="0.25">
      <c r="A731" t="str">
        <f>"037868748"</f>
        <v>037868748</v>
      </c>
      <c r="B731" t="str">
        <f t="shared" si="95"/>
        <v>831376201</v>
      </c>
      <c r="C731" t="str">
        <f t="shared" si="96"/>
        <v>TOULON-BM</v>
      </c>
      <c r="D731" t="str">
        <f t="shared" si="97"/>
        <v>43.0823215</v>
      </c>
      <c r="E731" t="str">
        <f t="shared" si="98"/>
        <v>5.920052699999999</v>
      </c>
      <c r="F731" t="e">
        <f t="shared" si="99"/>
        <v>#VALUE!</v>
      </c>
      <c r="G731" t="str">
        <f t="shared" si="100"/>
        <v>Amusemens du beau-sexe</v>
      </c>
      <c r="H731" t="str">
        <f t="shared" si="101"/>
        <v>0921-3511</v>
      </c>
      <c r="I731" t="str">
        <f t="shared" si="102"/>
        <v>(jan-1741) - (sep-1741)</v>
      </c>
    </row>
    <row r="732" spans="1:9" x14ac:dyDescent="0.25">
      <c r="A732" t="str">
        <f>"039096025"</f>
        <v>039096025</v>
      </c>
      <c r="B732" t="str">
        <f t="shared" si="95"/>
        <v>831376201</v>
      </c>
      <c r="C732" t="str">
        <f t="shared" si="96"/>
        <v>TOULON-BM</v>
      </c>
      <c r="D732" t="str">
        <f t="shared" si="97"/>
        <v>43.0823215</v>
      </c>
      <c r="E732" t="str">
        <f t="shared" si="98"/>
        <v>5.920052699999999</v>
      </c>
      <c r="F732" t="str">
        <f t="shared" si="99"/>
        <v>Le Papillon  [Texte imprimé]  : Journal hebdomadaire critique, satirique et humoristique</v>
      </c>
      <c r="G732" t="str">
        <f t="shared" si="100"/>
        <v>Le Papillon</v>
      </c>
      <c r="H732" t="str">
        <f t="shared" si="101"/>
        <v>2018-073X</v>
      </c>
      <c r="I732" t="str">
        <f t="shared" si="102"/>
        <v>no. 258 (1887) - no. 308  (1888)</v>
      </c>
    </row>
    <row r="733" spans="1:9" x14ac:dyDescent="0.25">
      <c r="A733" t="str">
        <f>"040288439"</f>
        <v>040288439</v>
      </c>
      <c r="B733" t="str">
        <f t="shared" si="95"/>
        <v>991385301</v>
      </c>
      <c r="C733" t="str">
        <f t="shared" si="96"/>
        <v>MONACO-Musée Océanographique</v>
      </c>
      <c r="D733" t="str">
        <f t="shared" si="97"/>
        <v>43.7310033</v>
      </c>
      <c r="E733" t="str">
        <f t="shared" si="98"/>
        <v>7.425491600000001</v>
      </c>
      <c r="F733" t="e">
        <f t="shared" si="99"/>
        <v>#VALUE!</v>
      </c>
      <c r="G733" t="str">
        <f t="shared" si="100"/>
        <v>U.S. WOCE implementation report</v>
      </c>
      <c r="H733" t="str">
        <f t="shared" si="101"/>
        <v>1060-1953</v>
      </c>
      <c r="I733" t="str">
        <f t="shared" si="102"/>
        <v>no. 1 (1989)-....</v>
      </c>
    </row>
    <row r="734" spans="1:9" x14ac:dyDescent="0.25">
      <c r="A734" t="str">
        <f>"174283520"</f>
        <v>174283520</v>
      </c>
      <c r="B734" t="str">
        <f t="shared" si="95"/>
        <v>060885109</v>
      </c>
      <c r="C734" t="str">
        <f t="shared" si="96"/>
        <v>NICE-Théâtre Photo. et Image</v>
      </c>
      <c r="D734" t="str">
        <f t="shared" si="97"/>
        <v>43.6958659</v>
      </c>
      <c r="E734" t="str">
        <f t="shared" si="98"/>
        <v>7.274715499999957</v>
      </c>
      <c r="F734" t="str">
        <f t="shared" si="99"/>
        <v>CLA rev  [Texte imprimé]</v>
      </c>
      <c r="G734" t="str">
        <f t="shared" si="100"/>
        <v>CLA rev</v>
      </c>
      <c r="H734" t="str">
        <f t="shared" si="101"/>
        <v>2350-6571</v>
      </c>
      <c r="I734" t="str">
        <f t="shared" si="102"/>
        <v>(2003) - (2005) ; (2007)-.... [Lac. : n°3, 2004]</v>
      </c>
    </row>
    <row r="735" spans="1:9" x14ac:dyDescent="0.25">
      <c r="A735" t="str">
        <f>"04008146X"</f>
        <v>04008146X</v>
      </c>
      <c r="B735" t="str">
        <f t="shared" si="95"/>
        <v>061525404</v>
      </c>
      <c r="C735" t="str">
        <f t="shared" si="96"/>
        <v>SOPHIA/ANT.-Thales Und. Systems</v>
      </c>
      <c r="D735" t="e">
        <f t="shared" si="97"/>
        <v>#VALUE!</v>
      </c>
      <c r="E735" t="e">
        <f t="shared" si="98"/>
        <v>#VALUE!</v>
      </c>
      <c r="F735" t="str">
        <f t="shared" si="99"/>
        <v>Aerospace design &amp; components  [Texte imprimé]</v>
      </c>
      <c r="G735" t="str">
        <f t="shared" si="100"/>
        <v>Aerospace design &amp; components</v>
      </c>
      <c r="H735" t="str">
        <f t="shared" si="101"/>
        <v>0952-3804</v>
      </c>
      <c r="I735" t="str">
        <f t="shared" si="102"/>
        <v>(1986)-....</v>
      </c>
    </row>
    <row r="736" spans="1:9" x14ac:dyDescent="0.25">
      <c r="A736" t="str">
        <f>"038764229"</f>
        <v>038764229</v>
      </c>
      <c r="B736" t="str">
        <f t="shared" si="95"/>
        <v>991385201</v>
      </c>
      <c r="C736" t="str">
        <f t="shared" si="96"/>
        <v>MONACO-Jardin exotique</v>
      </c>
      <c r="D736" t="str">
        <f t="shared" si="97"/>
        <v>43.7310908</v>
      </c>
      <c r="E736" t="str">
        <f t="shared" si="98"/>
        <v>7.410747499999999</v>
      </c>
      <c r="F736" t="str">
        <f t="shared" si="99"/>
        <v>Orchis  [Texte imprimé]</v>
      </c>
      <c r="G736" t="str">
        <f t="shared" si="100"/>
        <v>Orchis</v>
      </c>
      <c r="H736" t="str">
        <f t="shared" si="101"/>
        <v>1247-052X</v>
      </c>
      <c r="I736" t="str">
        <f t="shared" si="102"/>
        <v>no. 56 (1988) ; vol. 4 no. 2 (1988) - no. 60  (1989)</v>
      </c>
    </row>
    <row r="737" spans="1:9" x14ac:dyDescent="0.25">
      <c r="A737" t="str">
        <f>"040112357"</f>
        <v>040112357</v>
      </c>
      <c r="B737" t="str">
        <f t="shared" si="95"/>
        <v>991385301</v>
      </c>
      <c r="C737" t="str">
        <f t="shared" si="96"/>
        <v>MONACO-Musée Océanographique</v>
      </c>
      <c r="D737" t="str">
        <f t="shared" si="97"/>
        <v>43.7310033</v>
      </c>
      <c r="E737" t="str">
        <f t="shared" si="98"/>
        <v>7.425491600000001</v>
      </c>
      <c r="F737" t="str">
        <f t="shared" si="99"/>
        <v>Redai haiyang  [Texte imprimé]</v>
      </c>
      <c r="G737" t="str">
        <f t="shared" si="100"/>
        <v>Redai haiyang</v>
      </c>
      <c r="H737" t="str">
        <f t="shared" si="101"/>
        <v>1000-3053</v>
      </c>
      <c r="I737" t="str">
        <f t="shared" si="102"/>
        <v>vol. 1 no. 1 (1982)-....</v>
      </c>
    </row>
    <row r="738" spans="1:9" x14ac:dyDescent="0.25">
      <c r="A738" t="str">
        <f>"06778495X"</f>
        <v>06778495X</v>
      </c>
      <c r="B738" t="str">
        <f t="shared" si="95"/>
        <v>061522308</v>
      </c>
      <c r="C738" t="str">
        <f t="shared" si="96"/>
        <v>SOPHIA/ANT.-Doc.Institut Eurecom</v>
      </c>
      <c r="D738" t="e">
        <f t="shared" si="97"/>
        <v>#VALUE!</v>
      </c>
      <c r="E738" t="e">
        <f t="shared" si="98"/>
        <v>#VALUE!</v>
      </c>
      <c r="F738" t="str">
        <f t="shared" si="99"/>
        <v>The Journal  [Texte imprimé]</v>
      </c>
      <c r="G738" t="str">
        <f t="shared" si="100"/>
        <v>The Journal</v>
      </c>
      <c r="H738" t="str">
        <f t="shared" si="101"/>
        <v>1477-4739</v>
      </c>
      <c r="I738" t="str">
        <f t="shared" si="102"/>
        <v>(2002)-....</v>
      </c>
    </row>
    <row r="739" spans="1:9" x14ac:dyDescent="0.25">
      <c r="A739" t="str">
        <f>"036365246"</f>
        <v>036365246</v>
      </c>
      <c r="B739" t="str">
        <f t="shared" si="95"/>
        <v>991385301</v>
      </c>
      <c r="C739" t="str">
        <f t="shared" si="96"/>
        <v>MONACO-Musée Océanographique</v>
      </c>
      <c r="D739" t="str">
        <f t="shared" si="97"/>
        <v>43.7310033</v>
      </c>
      <c r="E739" t="str">
        <f t="shared" si="98"/>
        <v>7.425491600000001</v>
      </c>
      <c r="F739" t="str">
        <f t="shared" si="99"/>
        <v>Oceanographical cruise report  [Texte imprimé]</v>
      </c>
      <c r="G739" t="str">
        <f t="shared" si="100"/>
        <v>Oceanographical cruise report</v>
      </c>
      <c r="H739" t="str">
        <f t="shared" si="101"/>
        <v>0069-7354</v>
      </c>
      <c r="I739">
        <f t="shared" si="102"/>
        <v>-1984</v>
      </c>
    </row>
    <row r="740" spans="1:9" x14ac:dyDescent="0.25">
      <c r="A740" t="str">
        <f>"036394246"</f>
        <v>036394246</v>
      </c>
      <c r="B740" t="str">
        <f t="shared" si="95"/>
        <v>991385301</v>
      </c>
      <c r="C740" t="str">
        <f t="shared" si="96"/>
        <v>MONACO-Musée Océanographique</v>
      </c>
      <c r="D740" t="str">
        <f t="shared" si="97"/>
        <v>43.7310033</v>
      </c>
      <c r="E740" t="str">
        <f t="shared" si="98"/>
        <v>7.425491600000001</v>
      </c>
      <c r="F740" t="str">
        <f t="shared" si="99"/>
        <v>Quarterly review and forecast on oceanography  [Texte imprimé]</v>
      </c>
      <c r="G740" t="str">
        <f t="shared" si="100"/>
        <v>Quarterly review and forecast on oceanography</v>
      </c>
      <c r="H740" t="e">
        <f t="shared" si="101"/>
        <v>#VALUE!</v>
      </c>
      <c r="I740" t="e">
        <f t="shared" si="102"/>
        <v>#VALUE!</v>
      </c>
    </row>
    <row r="741" spans="1:9" x14ac:dyDescent="0.25">
      <c r="A741" t="str">
        <f>"036702358"</f>
        <v>036702358</v>
      </c>
      <c r="B741" t="str">
        <f t="shared" si="95"/>
        <v>831375101</v>
      </c>
      <c r="C741" t="str">
        <f t="shared" si="96"/>
        <v>TOULON-Serv.Historique Marine</v>
      </c>
      <c r="D741" t="str">
        <f t="shared" si="97"/>
        <v>43.124228</v>
      </c>
      <c r="E741" t="str">
        <f t="shared" si="98"/>
        <v>5.928</v>
      </c>
      <c r="F741" t="str">
        <f t="shared" si="99"/>
        <v>Annaes meteorologicos do Rio de Janeiro  [Texte imprimé]</v>
      </c>
      <c r="G741" t="str">
        <f t="shared" si="100"/>
        <v>Annaes meteorologicos do Rio de Janeiro</v>
      </c>
      <c r="H741" t="str">
        <f t="shared" si="101"/>
        <v>0104-5091</v>
      </c>
      <c r="I741" t="str">
        <f t="shared" si="102"/>
        <v>(1858) - (1868) = (1851/1856) - (1863/1867)</v>
      </c>
    </row>
    <row r="742" spans="1:9" x14ac:dyDescent="0.25">
      <c r="A742" t="str">
        <f>"039125904"</f>
        <v>039125904</v>
      </c>
      <c r="B742" t="str">
        <f t="shared" si="95"/>
        <v>991385201</v>
      </c>
      <c r="C742" t="str">
        <f t="shared" si="96"/>
        <v>MONACO-Jardin exotique</v>
      </c>
      <c r="D742" t="str">
        <f t="shared" si="97"/>
        <v>43.7310908</v>
      </c>
      <c r="E742" t="str">
        <f t="shared" si="98"/>
        <v>7.410747499999999</v>
      </c>
      <c r="F742" t="str">
        <f t="shared" si="99"/>
        <v>AFM  [Texte imprimé]</v>
      </c>
      <c r="G742" t="str">
        <f t="shared" si="100"/>
        <v>AFM</v>
      </c>
      <c r="H742" t="str">
        <f t="shared" si="101"/>
        <v>0172-875X</v>
      </c>
      <c r="I742" t="str">
        <f t="shared" si="102"/>
        <v>vol. 1 no. 1 (1977) - vol. 1  no. 2  (1977) ; vol. 2 no. 1 (1978) - vol. 23  no. 4  (1999)</v>
      </c>
    </row>
    <row r="743" spans="1:9" x14ac:dyDescent="0.25">
      <c r="A743" t="str">
        <f>"095194436"</f>
        <v>095194436</v>
      </c>
      <c r="B743" t="str">
        <f t="shared" si="95"/>
        <v>831376201</v>
      </c>
      <c r="C743" t="str">
        <f t="shared" si="96"/>
        <v>TOULON-BM</v>
      </c>
      <c r="D743" t="str">
        <f t="shared" si="97"/>
        <v>43.0823215</v>
      </c>
      <c r="E743" t="str">
        <f t="shared" si="98"/>
        <v>5.920052699999999</v>
      </c>
      <c r="F743" t="str">
        <f t="shared" si="99"/>
        <v>Oùquiquand  [Texte imprimé]  : Vos sorties ont du sens  / Éd. par Communauté d'agglomération Toulon Provence Méditerranée  ; Dir. publ. Valérie Paecht-Luccioni</v>
      </c>
      <c r="G743" t="str">
        <f t="shared" si="100"/>
        <v>Oùquiquand</v>
      </c>
      <c r="H743" t="str">
        <f t="shared" si="101"/>
        <v>1994-3679</v>
      </c>
      <c r="I743" t="str">
        <f t="shared" si="102"/>
        <v>no. 1 (nov-2004)-....</v>
      </c>
    </row>
    <row r="744" spans="1:9" x14ac:dyDescent="0.25">
      <c r="A744" t="str">
        <f>"039096173"</f>
        <v>039096173</v>
      </c>
      <c r="B744" t="str">
        <f t="shared" si="95"/>
        <v>060885101</v>
      </c>
      <c r="C744" t="str">
        <f t="shared" si="96"/>
        <v>NICE-Archives Municipales</v>
      </c>
      <c r="D744" t="str">
        <f t="shared" si="97"/>
        <v>43.68774699999999</v>
      </c>
      <c r="E744" t="str">
        <f t="shared" si="98"/>
        <v>7.235200000000001</v>
      </c>
      <c r="F744" t="str">
        <f t="shared" si="99"/>
        <v>Le Cran  [Texte imprimé]</v>
      </c>
      <c r="G744" t="str">
        <f t="shared" si="100"/>
        <v>Le Cran</v>
      </c>
      <c r="H744" t="str">
        <f t="shared" si="101"/>
        <v>2016-8241</v>
      </c>
      <c r="I744" t="str">
        <f t="shared" si="102"/>
        <v>(3-mai-1935)</v>
      </c>
    </row>
    <row r="745" spans="1:9" x14ac:dyDescent="0.25">
      <c r="A745" t="str">
        <f>"140587810"</f>
        <v>140587810</v>
      </c>
      <c r="B745" t="str">
        <f t="shared" si="95"/>
        <v>060885105</v>
      </c>
      <c r="C745" t="str">
        <f t="shared" si="96"/>
        <v>NICE-Bibl.Chevalier de Cessole</v>
      </c>
      <c r="D745" t="str">
        <f t="shared" si="97"/>
        <v>43.6956246</v>
      </c>
      <c r="E745" t="str">
        <f t="shared" si="98"/>
        <v>7.259380900000001</v>
      </c>
      <c r="F745" t="str">
        <f t="shared" si="99"/>
        <v>L'Union artistique et littéraire  [Texte imprimé]</v>
      </c>
      <c r="G745" t="str">
        <f t="shared" si="100"/>
        <v>L'Union artistique et littéraire</v>
      </c>
      <c r="H745" t="str">
        <f t="shared" si="101"/>
        <v>2139-2722</v>
      </c>
      <c r="I745" t="str">
        <f t="shared" si="102"/>
        <v>no. 58 (8-jan-1881) ; (30-jan-1892) - (5-sep-1892)</v>
      </c>
    </row>
    <row r="746" spans="1:9" x14ac:dyDescent="0.25">
      <c r="A746" t="str">
        <f>"038684039"</f>
        <v>038684039</v>
      </c>
      <c r="B746" t="str">
        <f t="shared" si="95"/>
        <v>060885102</v>
      </c>
      <c r="C746" t="str">
        <f t="shared" si="96"/>
        <v>NICE-Archives Départementales</v>
      </c>
      <c r="D746" t="str">
        <f t="shared" si="97"/>
        <v>43.6877482</v>
      </c>
      <c r="E746" t="str">
        <f t="shared" si="98"/>
        <v>7.2113605</v>
      </c>
      <c r="F746" t="str">
        <f t="shared" si="99"/>
        <v>Dati e notizie  [Texte imprimé]</v>
      </c>
      <c r="G746" t="str">
        <f t="shared" si="100"/>
        <v>Dati e notizie</v>
      </c>
      <c r="H746" t="str">
        <f t="shared" si="101"/>
        <v>0008-2139</v>
      </c>
      <c r="I746" t="str">
        <f t="shared" si="102"/>
        <v>no. 1 (1977) - no. 4  (1977) ; no. 7 (1977) - no. 8  (1977) ; no. 11 (1977) - no. 4  (1978) ; no. 7 (1978) - no. 10  (1978) ; no. 1 (1979) - no. 4  (1979)</v>
      </c>
    </row>
    <row r="747" spans="1:9" x14ac:dyDescent="0.25">
      <c r="A747" t="str">
        <f>"036319023"</f>
        <v>036319023</v>
      </c>
      <c r="B747" t="str">
        <f t="shared" si="95"/>
        <v>991385301</v>
      </c>
      <c r="C747" t="str">
        <f t="shared" si="96"/>
        <v>MONACO-Musée Océanographique</v>
      </c>
      <c r="D747" t="str">
        <f t="shared" si="97"/>
        <v>43.7310033</v>
      </c>
      <c r="E747" t="str">
        <f t="shared" si="98"/>
        <v>7.425491600000001</v>
      </c>
      <c r="F747" t="str">
        <f t="shared" si="99"/>
        <v>Lerner marine laboratory. Newsletter</v>
      </c>
      <c r="G747" t="str">
        <f t="shared" si="100"/>
        <v>Lerner marine laboratory. Newsletter</v>
      </c>
      <c r="H747" t="e">
        <f t="shared" si="101"/>
        <v>#VALUE!</v>
      </c>
      <c r="I747" t="e">
        <f t="shared" si="102"/>
        <v>#VALUE!</v>
      </c>
    </row>
    <row r="748" spans="1:9" x14ac:dyDescent="0.25">
      <c r="A748" t="str">
        <f>"137908121"</f>
        <v>137908121</v>
      </c>
      <c r="B748" t="str">
        <f t="shared" si="95"/>
        <v>060885105</v>
      </c>
      <c r="C748" t="str">
        <f t="shared" si="96"/>
        <v>NICE-Bibl.Chevalier de Cessole</v>
      </c>
      <c r="D748" t="str">
        <f t="shared" si="97"/>
        <v>43.6956246</v>
      </c>
      <c r="E748" t="str">
        <f t="shared" si="98"/>
        <v>7.259380900000001</v>
      </c>
      <c r="F748" t="str">
        <f t="shared" si="99"/>
        <v>Nice mondain  [Texte imprimé]</v>
      </c>
      <c r="G748" t="str">
        <f t="shared" si="100"/>
        <v>Nice mondain</v>
      </c>
      <c r="H748" t="str">
        <f t="shared" si="101"/>
        <v>2132-8021</v>
      </c>
      <c r="I748" t="str">
        <f t="shared" si="102"/>
        <v>no. 8 (21-jan-1897) - no. 10  (7-fev-1897)</v>
      </c>
    </row>
    <row r="749" spans="1:9" x14ac:dyDescent="0.25">
      <c r="A749" t="str">
        <f>"040179788"</f>
        <v>040179788</v>
      </c>
      <c r="B749" t="str">
        <f t="shared" si="95"/>
        <v>991385301</v>
      </c>
      <c r="C749" t="str">
        <f t="shared" si="96"/>
        <v>MONACO-Musée Océanographique</v>
      </c>
      <c r="D749" t="str">
        <f t="shared" si="97"/>
        <v>43.7310033</v>
      </c>
      <c r="E749" t="str">
        <f t="shared" si="98"/>
        <v>7.425491600000001</v>
      </c>
      <c r="F749" t="str">
        <f t="shared" si="99"/>
        <v>Marine mammal technical report  [Texte imprimé]</v>
      </c>
      <c r="G749" t="str">
        <f t="shared" si="100"/>
        <v>Marine mammal technical report</v>
      </c>
      <c r="H749" t="str">
        <f t="shared" si="101"/>
        <v>1020-0185</v>
      </c>
      <c r="I749" t="str">
        <f t="shared" si="102"/>
        <v>no. 1 (1989)-....</v>
      </c>
    </row>
    <row r="750" spans="1:9" x14ac:dyDescent="0.25">
      <c r="A750" t="str">
        <f>"039052109"</f>
        <v>039052109</v>
      </c>
      <c r="B750" t="str">
        <f t="shared" si="95"/>
        <v>831376201</v>
      </c>
      <c r="C750" t="str">
        <f t="shared" si="96"/>
        <v>TOULON-BM</v>
      </c>
      <c r="D750" t="str">
        <f t="shared" si="97"/>
        <v>43.0823215</v>
      </c>
      <c r="E750" t="str">
        <f t="shared" si="98"/>
        <v>5.920052699999999</v>
      </c>
      <c r="F750" t="str">
        <f t="shared" si="99"/>
        <v>La Revue de Toulon et du Var  [Texte imprimé]</v>
      </c>
      <c r="G750" t="str">
        <f t="shared" si="100"/>
        <v>La Revue de Toulon et du Var</v>
      </c>
      <c r="H750" t="str">
        <f t="shared" si="101"/>
        <v>2017-9324</v>
      </c>
      <c r="I750" t="str">
        <f t="shared" si="102"/>
        <v>no. 1 (1930)</v>
      </c>
    </row>
    <row r="751" spans="1:9" x14ac:dyDescent="0.25">
      <c r="A751" t="str">
        <f>"03905229X"</f>
        <v>03905229X</v>
      </c>
      <c r="B751" t="str">
        <f t="shared" si="95"/>
        <v>831376201</v>
      </c>
      <c r="C751" t="str">
        <f t="shared" si="96"/>
        <v>TOULON-BM</v>
      </c>
      <c r="D751" t="str">
        <f t="shared" si="97"/>
        <v>43.0823215</v>
      </c>
      <c r="E751" t="str">
        <f t="shared" si="98"/>
        <v>5.920052699999999</v>
      </c>
      <c r="F751" t="str">
        <f t="shared" si="99"/>
        <v>La Dépêche radicale  [Texte imprimé]</v>
      </c>
      <c r="G751" t="str">
        <f t="shared" si="100"/>
        <v>La Dépêche radicale</v>
      </c>
      <c r="H751" t="str">
        <f t="shared" si="101"/>
        <v>2016-8543</v>
      </c>
      <c r="I751" t="str">
        <f t="shared" si="102"/>
        <v>no. 1 (1907) - no. 5  (1907)</v>
      </c>
    </row>
    <row r="752" spans="1:9" x14ac:dyDescent="0.25">
      <c r="A752" t="str">
        <f>"036162612"</f>
        <v>036162612</v>
      </c>
      <c r="B752" t="str">
        <f t="shared" si="95"/>
        <v>991385301</v>
      </c>
      <c r="C752" t="str">
        <f t="shared" si="96"/>
        <v>MONACO-Musée Océanographique</v>
      </c>
      <c r="D752" t="str">
        <f t="shared" si="97"/>
        <v>43.7310033</v>
      </c>
      <c r="E752" t="str">
        <f t="shared" si="98"/>
        <v>7.425491600000001</v>
      </c>
      <c r="F752" t="str">
        <f t="shared" si="99"/>
        <v>Annual report from Chemico-technical research institute of the Directorate of fisheries, Norway.</v>
      </c>
      <c r="G752" t="str">
        <f t="shared" si="100"/>
        <v>Annual report from Chemico-technical research institute of the Directorate of fisheries, Norway.</v>
      </c>
      <c r="H752" t="e">
        <f t="shared" si="101"/>
        <v>#VALUE!</v>
      </c>
      <c r="I752" t="str">
        <f t="shared" si="102"/>
        <v>(1972)-....</v>
      </c>
    </row>
    <row r="753" spans="1:9" x14ac:dyDescent="0.25">
      <c r="A753" t="str">
        <f>"039307638"</f>
        <v>039307638</v>
      </c>
      <c r="B753" t="str">
        <f t="shared" si="95"/>
        <v>991385201</v>
      </c>
      <c r="C753" t="str">
        <f t="shared" si="96"/>
        <v>MONACO-Jardin exotique</v>
      </c>
      <c r="D753" t="str">
        <f t="shared" si="97"/>
        <v>43.7310908</v>
      </c>
      <c r="E753" t="str">
        <f t="shared" si="98"/>
        <v>7.410747499999999</v>
      </c>
      <c r="F753" t="str">
        <f t="shared" si="99"/>
        <v>Kakti u Sukkulenti ohra  [Texte imprimé]</v>
      </c>
      <c r="G753" t="str">
        <f t="shared" si="100"/>
        <v>Kakti u Sukkulenti ohra</v>
      </c>
      <c r="H753" t="str">
        <f t="shared" si="101"/>
        <v>0259-6849</v>
      </c>
      <c r="I753" t="str">
        <f t="shared" si="102"/>
        <v>no. 22 (1980) - no. 36  (2006)</v>
      </c>
    </row>
    <row r="754" spans="1:9" x14ac:dyDescent="0.25">
      <c r="A754" t="str">
        <f>"187258112"</f>
        <v>187258112</v>
      </c>
      <c r="B754" t="str">
        <f t="shared" si="95"/>
        <v>060696201</v>
      </c>
      <c r="C754" t="str">
        <f t="shared" si="96"/>
        <v>GRASSE-Villa St Hilaire</v>
      </c>
      <c r="D754" t="str">
        <f t="shared" si="97"/>
        <v>43.65711599999999</v>
      </c>
      <c r="E754" t="str">
        <f t="shared" si="98"/>
        <v>6.9183745</v>
      </c>
      <c r="F754" t="str">
        <f t="shared" si="99"/>
        <v>La Lanterne grassoise  [Ressource électronique]</v>
      </c>
      <c r="G754" t="str">
        <f t="shared" si="100"/>
        <v>La Lanterne grassoise</v>
      </c>
      <c r="H754" t="str">
        <f t="shared" si="101"/>
        <v>2461-9175</v>
      </c>
      <c r="I754" t="str">
        <f t="shared" si="102"/>
        <v>(25-fev-1928) - (26-oct-1929) [[La bibliothèque possède aussi les numéros des 3 et 24 décembre 1927] [Lacunaire]</v>
      </c>
    </row>
    <row r="755" spans="1:9" x14ac:dyDescent="0.25">
      <c r="A755" t="str">
        <f>"037483412"</f>
        <v>037483412</v>
      </c>
      <c r="B755" t="str">
        <f t="shared" si="95"/>
        <v>060886101</v>
      </c>
      <c r="C755" t="str">
        <f t="shared" si="96"/>
        <v>NICE- BMVR Louis Nucéra</v>
      </c>
      <c r="D755" t="str">
        <f t="shared" si="97"/>
        <v>43.7015650</v>
      </c>
      <c r="E755" t="str">
        <f t="shared" si="98"/>
        <v>7.2786247</v>
      </c>
      <c r="F755" t="str">
        <f t="shared" si="99"/>
        <v>Calendario d'oro  [Texte imprimé]</v>
      </c>
      <c r="G755" t="str">
        <f t="shared" si="100"/>
        <v>Calendario d'oro</v>
      </c>
      <c r="H755" t="str">
        <f t="shared" si="101"/>
        <v>0393-6058</v>
      </c>
      <c r="I755" t="str">
        <f t="shared" si="102"/>
        <v>vol. 10 (1898) - vol. 13  (1901)</v>
      </c>
    </row>
    <row r="756" spans="1:9" x14ac:dyDescent="0.25">
      <c r="A756" t="str">
        <f>"039052168"</f>
        <v>039052168</v>
      </c>
      <c r="B756" t="str">
        <f t="shared" si="95"/>
        <v>831376201</v>
      </c>
      <c r="C756" t="str">
        <f t="shared" si="96"/>
        <v>TOULON-BM</v>
      </c>
      <c r="D756" t="str">
        <f t="shared" si="97"/>
        <v>43.0823215</v>
      </c>
      <c r="E756" t="str">
        <f t="shared" si="98"/>
        <v>5.920052699999999</v>
      </c>
      <c r="F756" t="str">
        <f t="shared" si="99"/>
        <v>Le Russophile  [Texte imprimé]</v>
      </c>
      <c r="G756" t="str">
        <f t="shared" si="100"/>
        <v>Le Russophile</v>
      </c>
      <c r="H756" t="str">
        <f t="shared" si="101"/>
        <v>2015-0725</v>
      </c>
      <c r="I756" t="str">
        <f t="shared" si="102"/>
        <v>no. 1 (1893) - no. 4  (1893)</v>
      </c>
    </row>
    <row r="757" spans="1:9" x14ac:dyDescent="0.25">
      <c r="A757" t="str">
        <f>"039052087"</f>
        <v>039052087</v>
      </c>
      <c r="B757" t="str">
        <f t="shared" si="95"/>
        <v>831376201</v>
      </c>
      <c r="C757" t="str">
        <f t="shared" si="96"/>
        <v>TOULON-BM</v>
      </c>
      <c r="D757" t="str">
        <f t="shared" si="97"/>
        <v>43.0823215</v>
      </c>
      <c r="E757" t="str">
        <f t="shared" si="98"/>
        <v>5.920052699999999</v>
      </c>
      <c r="F757" t="str">
        <f t="shared" si="99"/>
        <v>Revue de l'Exposition et du concours régional  [Texte imprimé]</v>
      </c>
      <c r="G757" t="str">
        <f t="shared" si="100"/>
        <v>Revue de l'Exposition et du concours régional</v>
      </c>
      <c r="H757" t="str">
        <f t="shared" si="101"/>
        <v>2017-7143</v>
      </c>
      <c r="I757" t="str">
        <f t="shared" si="102"/>
        <v>no. 1 (1892)</v>
      </c>
    </row>
    <row r="758" spans="1:9" x14ac:dyDescent="0.25">
      <c r="A758" t="str">
        <f>"137908091"</f>
        <v>137908091</v>
      </c>
      <c r="B758" t="str">
        <f t="shared" si="95"/>
        <v>060885105</v>
      </c>
      <c r="C758" t="str">
        <f t="shared" si="96"/>
        <v>NICE-Bibl.Chevalier de Cessole</v>
      </c>
      <c r="D758" t="str">
        <f t="shared" si="97"/>
        <v>43.6956246</v>
      </c>
      <c r="E758" t="str">
        <f t="shared" si="98"/>
        <v>7.259380900000001</v>
      </c>
      <c r="F758" t="str">
        <f t="shared" si="99"/>
        <v>Nice illustré, la Côte d'Azur et la Provence  [Texte imprimé]</v>
      </c>
      <c r="G758" t="str">
        <f t="shared" si="100"/>
        <v>Nice illustré, la Côte d'Azur et la Provence</v>
      </c>
      <c r="H758" t="str">
        <f t="shared" si="101"/>
        <v>2132-7998</v>
      </c>
      <c r="I758" t="str">
        <f t="shared" si="102"/>
        <v>no. 37 (1-jan-1905) - no. 41  (1-nov-1905) [lacunes]</v>
      </c>
    </row>
    <row r="759" spans="1:9" x14ac:dyDescent="0.25">
      <c r="A759" t="str">
        <f>"036361291"</f>
        <v>036361291</v>
      </c>
      <c r="B759" t="str">
        <f t="shared" si="95"/>
        <v>991385301</v>
      </c>
      <c r="C759" t="str">
        <f t="shared" si="96"/>
        <v>MONACO-Musée Océanographique</v>
      </c>
      <c r="D759" t="str">
        <f t="shared" si="97"/>
        <v>43.7310033</v>
      </c>
      <c r="E759" t="str">
        <f t="shared" si="98"/>
        <v>7.425491600000001</v>
      </c>
      <c r="F759" t="str">
        <f t="shared" si="99"/>
        <v>North Pacific fur seal commission. Report on investigations  [Texte imprimé]</v>
      </c>
      <c r="G759" t="str">
        <f t="shared" si="100"/>
        <v>North Pacific fur seal commission. Report on investigations</v>
      </c>
      <c r="H759" t="e">
        <f t="shared" si="101"/>
        <v>#VALUE!</v>
      </c>
      <c r="I759" t="str">
        <f t="shared" si="102"/>
        <v>(1962)-....</v>
      </c>
    </row>
    <row r="760" spans="1:9" x14ac:dyDescent="0.25">
      <c r="A760" t="str">
        <f>"036333379"</f>
        <v>036333379</v>
      </c>
      <c r="B760" t="str">
        <f t="shared" si="95"/>
        <v>991385301</v>
      </c>
      <c r="C760" t="str">
        <f t="shared" si="96"/>
        <v>MONACO-Musée Océanographique</v>
      </c>
      <c r="D760" t="str">
        <f t="shared" si="97"/>
        <v>43.7310033</v>
      </c>
      <c r="E760" t="str">
        <f t="shared" si="98"/>
        <v>7.425491600000001</v>
      </c>
      <c r="F760" t="str">
        <f t="shared" si="99"/>
        <v>Materialy rybokhozjajstvennykh issledovanij Severnogo bassejna  [Texte imprimé]</v>
      </c>
      <c r="G760" t="str">
        <f t="shared" si="100"/>
        <v>Materialy rybokhozjajstvennykh issledovanij Severnogo bassejna</v>
      </c>
      <c r="H760" t="e">
        <f t="shared" si="101"/>
        <v>#VALUE!</v>
      </c>
      <c r="I760" t="e">
        <f t="shared" si="102"/>
        <v>#VALUE!</v>
      </c>
    </row>
    <row r="761" spans="1:9" x14ac:dyDescent="0.25">
      <c r="A761" t="str">
        <f>"039141268"</f>
        <v>039141268</v>
      </c>
      <c r="B761" t="str">
        <f t="shared" si="95"/>
        <v>831375101</v>
      </c>
      <c r="C761" t="str">
        <f t="shared" si="96"/>
        <v>TOULON-Serv.Historique Marine</v>
      </c>
      <c r="D761" t="str">
        <f t="shared" si="97"/>
        <v>43.124228</v>
      </c>
      <c r="E761" t="str">
        <f t="shared" si="98"/>
        <v>5.928</v>
      </c>
      <c r="F761" t="str">
        <f t="shared" si="99"/>
        <v>Annuaire des administrateurs civils, des agents supérieurs, des attachés d'administration centrale et des conservateurs d'archives  [Texte imprimé]</v>
      </c>
      <c r="G761" t="str">
        <f t="shared" si="100"/>
        <v>Annuaire des administrateurs civils, des agents supérieurs, des attachés d'administration centrale et des conservateurs d'archives</v>
      </c>
      <c r="H761" t="e">
        <f t="shared" si="101"/>
        <v>#VALUE!</v>
      </c>
      <c r="I761" t="str">
        <f t="shared" si="102"/>
        <v>(1980) - (1987)</v>
      </c>
    </row>
    <row r="762" spans="1:9" x14ac:dyDescent="0.25">
      <c r="A762" t="str">
        <f>"039287351"</f>
        <v>039287351</v>
      </c>
      <c r="B762" t="str">
        <f t="shared" si="95"/>
        <v>991386201</v>
      </c>
      <c r="C762" t="str">
        <f t="shared" si="96"/>
        <v>MONACO-Bibl.Louis Notari</v>
      </c>
      <c r="D762" t="str">
        <f t="shared" si="97"/>
        <v>43.7351319</v>
      </c>
      <c r="E762" t="str">
        <f t="shared" si="98"/>
        <v>7.420563100000001</v>
      </c>
      <c r="F762" t="str">
        <f t="shared" si="99"/>
        <v>Revue littéraire  [Texte imprimé]  / P.E.N. club de Monaco</v>
      </c>
      <c r="G762" t="str">
        <f t="shared" si="100"/>
        <v>Revue littéraire</v>
      </c>
      <c r="H762" t="str">
        <f t="shared" si="101"/>
        <v>0256-9566</v>
      </c>
      <c r="I762" t="str">
        <f t="shared" si="102"/>
        <v>no. 1 (1983)-....</v>
      </c>
    </row>
    <row r="763" spans="1:9" x14ac:dyDescent="0.25">
      <c r="A763" t="str">
        <f>"045047073"</f>
        <v>045047073</v>
      </c>
      <c r="B763" t="str">
        <f t="shared" si="95"/>
        <v>991385201</v>
      </c>
      <c r="C763" t="str">
        <f t="shared" si="96"/>
        <v>MONACO-Jardin exotique</v>
      </c>
      <c r="D763" t="str">
        <f t="shared" si="97"/>
        <v>43.7310908</v>
      </c>
      <c r="E763" t="str">
        <f t="shared" si="98"/>
        <v>7.410747499999999</v>
      </c>
      <c r="F763" t="str">
        <f t="shared" si="99"/>
        <v>Mitteilungen aus der Städtischen Sukkulenten-Sammlung Zürich  [Texte imprimé]</v>
      </c>
      <c r="G763" t="str">
        <f t="shared" si="100"/>
        <v>Mitteilungen aus der Städtischen Sukkulenten-Sammlung Zürich</v>
      </c>
      <c r="H763" t="str">
        <f t="shared" si="101"/>
        <v>1424-2060</v>
      </c>
      <c r="I763" t="str">
        <f t="shared" si="102"/>
        <v>no. 53 (1995) - no. 57  (1997)</v>
      </c>
    </row>
    <row r="764" spans="1:9" x14ac:dyDescent="0.25">
      <c r="A764" t="str">
        <f>"048886963"</f>
        <v>048886963</v>
      </c>
      <c r="B764" t="str">
        <f t="shared" si="95"/>
        <v>831375101</v>
      </c>
      <c r="C764" t="str">
        <f t="shared" si="96"/>
        <v>TOULON-Serv.Historique Marine</v>
      </c>
      <c r="D764" t="str">
        <f t="shared" si="97"/>
        <v>43.124228</v>
      </c>
      <c r="E764" t="str">
        <f t="shared" si="98"/>
        <v>5.928</v>
      </c>
      <c r="F764" t="str">
        <f t="shared" si="99"/>
        <v>Matériel  [Texte imprimé]  : bulletin d'information  / Ministère des armées. Marine</v>
      </c>
      <c r="G764" t="str">
        <f t="shared" si="100"/>
        <v>Matériel</v>
      </c>
      <c r="H764" t="str">
        <f t="shared" si="101"/>
        <v>1622-9568</v>
      </c>
      <c r="I764" t="str">
        <f t="shared" si="102"/>
        <v>no. 2 (1974) - no. 11  (1981)</v>
      </c>
    </row>
    <row r="765" spans="1:9" x14ac:dyDescent="0.25">
      <c r="A765" t="str">
        <f>"13790813X"</f>
        <v>13790813X</v>
      </c>
      <c r="B765" t="str">
        <f t="shared" si="95"/>
        <v>060885105</v>
      </c>
      <c r="C765" t="str">
        <f t="shared" si="96"/>
        <v>NICE-Bibl.Chevalier de Cessole</v>
      </c>
      <c r="D765" t="str">
        <f t="shared" si="97"/>
        <v>43.6956246</v>
      </c>
      <c r="E765" t="str">
        <f t="shared" si="98"/>
        <v>7.259380900000001</v>
      </c>
      <c r="F765" t="str">
        <f t="shared" si="99"/>
        <v>Nice mondain  [Texte imprimé]</v>
      </c>
      <c r="G765" t="str">
        <f t="shared" si="100"/>
        <v>Nice mondain</v>
      </c>
      <c r="H765" t="str">
        <f t="shared" si="101"/>
        <v>2132-803X</v>
      </c>
      <c r="I765" t="str">
        <f t="shared" si="102"/>
        <v>no. 8 (24-jan-1897) - no. 10  (7-fev-1897)</v>
      </c>
    </row>
    <row r="766" spans="1:9" x14ac:dyDescent="0.25">
      <c r="A766" t="str">
        <f>"140666850"</f>
        <v>140666850</v>
      </c>
      <c r="B766" t="str">
        <f t="shared" si="95"/>
        <v>060885105</v>
      </c>
      <c r="C766" t="str">
        <f t="shared" si="96"/>
        <v>NICE-Bibl.Chevalier de Cessole</v>
      </c>
      <c r="D766" t="str">
        <f t="shared" si="97"/>
        <v>43.6956246</v>
      </c>
      <c r="E766" t="str">
        <f t="shared" si="98"/>
        <v>7.259380900000001</v>
      </c>
      <c r="F766" t="str">
        <f t="shared" si="99"/>
        <v>Die Riviera Wochenschau  [Texte imprimé]</v>
      </c>
      <c r="G766" t="str">
        <f t="shared" si="100"/>
        <v>Die Riviera Wochenschau</v>
      </c>
      <c r="H766" t="str">
        <f t="shared" si="101"/>
        <v>2137-5860</v>
      </c>
      <c r="I766" t="str">
        <f t="shared" si="102"/>
        <v>no. 55 (20-nov-1931)</v>
      </c>
    </row>
    <row r="767" spans="1:9" x14ac:dyDescent="0.25">
      <c r="A767" t="str">
        <f>"137894236"</f>
        <v>137894236</v>
      </c>
      <c r="B767" t="str">
        <f t="shared" si="95"/>
        <v>060885105</v>
      </c>
      <c r="C767" t="str">
        <f t="shared" si="96"/>
        <v>NICE-Bibl.Chevalier de Cessole</v>
      </c>
      <c r="D767" t="str">
        <f t="shared" si="97"/>
        <v>43.6956246</v>
      </c>
      <c r="E767" t="str">
        <f t="shared" si="98"/>
        <v>7.259380900000001</v>
      </c>
      <c r="F767" t="str">
        <f t="shared" si="99"/>
        <v>Le Ligueur  [Texte imprimé]</v>
      </c>
      <c r="G767" t="str">
        <f t="shared" si="100"/>
        <v>Le Ligueur</v>
      </c>
      <c r="H767" t="str">
        <f t="shared" si="101"/>
        <v>2131-4268</v>
      </c>
      <c r="I767" t="str">
        <f t="shared" si="102"/>
        <v>no. 8 (1-nov-1936) - no. 9  (1-dec-1936)</v>
      </c>
    </row>
    <row r="768" spans="1:9" x14ac:dyDescent="0.25">
      <c r="A768" t="str">
        <f>"037979833"</f>
        <v>037979833</v>
      </c>
      <c r="B768" t="str">
        <f t="shared" si="95"/>
        <v>991386201</v>
      </c>
      <c r="C768" t="str">
        <f t="shared" si="96"/>
        <v>MONACO-Bibl.Louis Notari</v>
      </c>
      <c r="D768" t="str">
        <f t="shared" si="97"/>
        <v>43.7351319</v>
      </c>
      <c r="E768" t="str">
        <f t="shared" si="98"/>
        <v>7.420563100000001</v>
      </c>
      <c r="F768" t="str">
        <f t="shared" si="99"/>
        <v>Le Petit messager  [Texte imprimé]</v>
      </c>
      <c r="G768" t="str">
        <f t="shared" si="100"/>
        <v>Le Petit messager</v>
      </c>
      <c r="H768" t="str">
        <f t="shared" si="101"/>
        <v>1018-998X</v>
      </c>
      <c r="I768" t="str">
        <f t="shared" si="102"/>
        <v>(fev-1925) - (jan-1927)</v>
      </c>
    </row>
    <row r="769" spans="1:9" x14ac:dyDescent="0.25">
      <c r="A769" t="str">
        <f>"038427184"</f>
        <v>038427184</v>
      </c>
      <c r="B769" t="str">
        <f t="shared" si="95"/>
        <v>991385201</v>
      </c>
      <c r="C769" t="str">
        <f t="shared" si="96"/>
        <v>MONACO-Jardin exotique</v>
      </c>
      <c r="D769" t="str">
        <f t="shared" si="97"/>
        <v>43.7310908</v>
      </c>
      <c r="E769" t="str">
        <f t="shared" si="98"/>
        <v>7.410747499999999</v>
      </c>
      <c r="F769" t="str">
        <f t="shared" si="99"/>
        <v>Informationsbrief  [Texte imprimé]  / Kulturbund der DDR. Zentrale Arbeitsgemeinschaft Mammillarien</v>
      </c>
      <c r="G769" t="str">
        <f t="shared" si="100"/>
        <v>Informationsbrief</v>
      </c>
      <c r="H769" t="e">
        <f t="shared" si="101"/>
        <v>#VALUE!</v>
      </c>
      <c r="I769" t="str">
        <f t="shared" si="102"/>
        <v>no. 1 (1977) - no. 4  (1977) ; vol. 5 no. 1 (1979) - (1986)</v>
      </c>
    </row>
    <row r="770" spans="1:9" x14ac:dyDescent="0.25">
      <c r="A770" t="str">
        <f>"040017079"</f>
        <v>040017079</v>
      </c>
      <c r="B770" t="str">
        <f t="shared" si="95"/>
        <v>991385301</v>
      </c>
      <c r="C770" t="str">
        <f t="shared" si="96"/>
        <v>MONACO-Musée Océanographique</v>
      </c>
      <c r="D770" t="str">
        <f t="shared" si="97"/>
        <v>43.7310033</v>
      </c>
      <c r="E770" t="str">
        <f t="shared" si="98"/>
        <v>7.425491600000001</v>
      </c>
      <c r="F770" t="str">
        <f t="shared" si="99"/>
        <v>Beretning for året  [Texte imprimé]  / Danmarks Akvarium, Charlottenlund</v>
      </c>
      <c r="G770" t="str">
        <f t="shared" si="100"/>
        <v>Beretning for året</v>
      </c>
      <c r="H770" t="str">
        <f t="shared" si="101"/>
        <v>0908-0880</v>
      </c>
      <c r="I770" t="str">
        <f t="shared" si="102"/>
        <v>(1966) - (1967) = (1965/66) - (1966/67) ; (1971) = (1970/71)-....</v>
      </c>
    </row>
    <row r="771" spans="1:9" x14ac:dyDescent="0.25">
      <c r="A771" t="str">
        <f>"089710835"</f>
        <v>089710835</v>
      </c>
      <c r="B771" t="str">
        <f t="shared" ref="B771:B834" si="103">TEXT(_xlfn.FILTERXML(_xlfn.WEBSERVICE("http://www.sudoc.fr/services/multiwhere/"&amp;A771),"//query/result/library/rcr"),"000000000")</f>
        <v>060696201</v>
      </c>
      <c r="C771" t="str">
        <f t="shared" si="96"/>
        <v>GRASSE-Villa St Hilaire</v>
      </c>
      <c r="D771" t="str">
        <f t="shared" si="97"/>
        <v>43.65711599999999</v>
      </c>
      <c r="E771" t="str">
        <f t="shared" si="98"/>
        <v>6.9183745</v>
      </c>
      <c r="F771" t="str">
        <f t="shared" si="99"/>
        <v>[Profil poétique de la France]  [Texte imprimé]</v>
      </c>
      <c r="G771" t="str">
        <f t="shared" si="100"/>
        <v>[Profil poétique de la France]</v>
      </c>
      <c r="H771" t="str">
        <f t="shared" si="101"/>
        <v>1141-2607</v>
      </c>
      <c r="I771" t="str">
        <f t="shared" si="102"/>
        <v>(avr-1941) - (oct-1941)</v>
      </c>
    </row>
    <row r="772" spans="1:9" x14ac:dyDescent="0.25">
      <c r="A772" t="str">
        <f>"039051633"</f>
        <v>039051633</v>
      </c>
      <c r="B772" t="str">
        <f t="shared" si="103"/>
        <v>831376201</v>
      </c>
      <c r="C772" t="str">
        <f t="shared" si="96"/>
        <v>TOULON-BM</v>
      </c>
      <c r="D772" t="str">
        <f t="shared" si="97"/>
        <v>43.0823215</v>
      </c>
      <c r="E772" t="str">
        <f t="shared" si="98"/>
        <v>5.920052699999999</v>
      </c>
      <c r="F772" t="str">
        <f t="shared" si="99"/>
        <v>Le Socialiste du Var  [Texte imprimé]</v>
      </c>
      <c r="G772" t="str">
        <f t="shared" si="100"/>
        <v>Le Socialiste du Var</v>
      </c>
      <c r="H772" t="str">
        <f t="shared" si="101"/>
        <v>2018-3488</v>
      </c>
      <c r="I772" t="str">
        <f t="shared" si="102"/>
        <v>no. 12 (1892)</v>
      </c>
    </row>
    <row r="773" spans="1:9" x14ac:dyDescent="0.25">
      <c r="A773" t="str">
        <f>"040130703"</f>
        <v>040130703</v>
      </c>
      <c r="B773" t="str">
        <f t="shared" si="103"/>
        <v>991386201</v>
      </c>
      <c r="C773" t="str">
        <f t="shared" si="96"/>
        <v>MONACO-Bibl.Louis Notari</v>
      </c>
      <c r="D773" t="str">
        <f t="shared" si="97"/>
        <v>43.7351319</v>
      </c>
      <c r="E773" t="str">
        <f t="shared" si="98"/>
        <v>7.420563100000001</v>
      </c>
      <c r="F773" t="str">
        <f t="shared" si="99"/>
        <v>Revue annuelle  [Texte imprimé]  / Association sportive de Monaco</v>
      </c>
      <c r="G773" t="str">
        <f t="shared" si="100"/>
        <v>Revue annuelle</v>
      </c>
      <c r="H773" t="str">
        <f t="shared" si="101"/>
        <v>1010-4305</v>
      </c>
      <c r="I773" t="str">
        <f t="shared" si="102"/>
        <v>(1983) - (1992) ; (1998) - (1999) ; (2002)-.... [lac.]</v>
      </c>
    </row>
    <row r="774" spans="1:9" x14ac:dyDescent="0.25">
      <c r="A774" t="str">
        <f>"045116091"</f>
        <v>045116091</v>
      </c>
      <c r="B774" t="str">
        <f t="shared" si="103"/>
        <v>831376201</v>
      </c>
      <c r="C774" t="str">
        <f t="shared" si="96"/>
        <v>TOULON-BM</v>
      </c>
      <c r="D774" t="str">
        <f t="shared" si="97"/>
        <v>43.0823215</v>
      </c>
      <c r="E774" t="str">
        <f t="shared" si="98"/>
        <v>5.920052699999999</v>
      </c>
      <c r="F774" t="str">
        <f t="shared" si="99"/>
        <v>Nice matin. Var, Côte d'Azur  [Texte imprimé]</v>
      </c>
      <c r="G774" t="str">
        <f t="shared" si="100"/>
        <v>Nice matin. Var, Côte d'Azur</v>
      </c>
      <c r="H774" t="e">
        <f t="shared" si="101"/>
        <v>#VALUE!</v>
      </c>
      <c r="I774" t="str">
        <f t="shared" si="102"/>
        <v>no. 13207 (avr-1984) - (1987)</v>
      </c>
    </row>
    <row r="775" spans="1:9" x14ac:dyDescent="0.25">
      <c r="A775" t="str">
        <f>"050926918"</f>
        <v>050926918</v>
      </c>
      <c r="B775" t="str">
        <f t="shared" si="103"/>
        <v>831375101</v>
      </c>
      <c r="C775" t="str">
        <f t="shared" si="96"/>
        <v>TOULON-Serv.Historique Marine</v>
      </c>
      <c r="D775" t="str">
        <f t="shared" si="97"/>
        <v>43.124228</v>
      </c>
      <c r="E775" t="str">
        <f t="shared" si="98"/>
        <v>5.928</v>
      </c>
      <c r="F775" t="str">
        <f t="shared" si="99"/>
        <v>Résumé des affaires examinées par le conseil des travaux...  [Texte imprimé]  / Ministère de la Marine et des Colonies</v>
      </c>
      <c r="G775" t="str">
        <f t="shared" si="100"/>
        <v>Résumé des affaires examinées par le conseil des travaux...</v>
      </c>
      <c r="H775" t="str">
        <f t="shared" si="101"/>
        <v>2020-9967</v>
      </c>
      <c r="I775" t="str">
        <f t="shared" si="102"/>
        <v>(1866) - (1871) [lac.]</v>
      </c>
    </row>
    <row r="776" spans="1:9" x14ac:dyDescent="0.25">
      <c r="A776" t="str">
        <f>"039140792"</f>
        <v>039140792</v>
      </c>
      <c r="B776" t="str">
        <f t="shared" si="103"/>
        <v>060692301</v>
      </c>
      <c r="C776" t="str">
        <f t="shared" si="96"/>
        <v>GRASSE-Musée Art/Hist Provence</v>
      </c>
      <c r="D776" t="str">
        <f t="shared" si="97"/>
        <v>43.65761759999999</v>
      </c>
      <c r="E776" t="str">
        <f t="shared" si="98"/>
        <v>6.9224541</v>
      </c>
      <c r="F776" t="str">
        <f t="shared" si="99"/>
        <v>Le Trait d'union agricole et touristique de Grasse et de Provence  [Texte imprimé]</v>
      </c>
      <c r="G776" t="str">
        <f t="shared" si="100"/>
        <v>Le Trait d'union agricole et touristique de Grasse et de Provence</v>
      </c>
      <c r="H776" t="str">
        <f t="shared" si="101"/>
        <v>2025-4768</v>
      </c>
      <c r="I776" t="str">
        <f t="shared" si="102"/>
        <v>(1937) [lac]</v>
      </c>
    </row>
    <row r="777" spans="1:9" x14ac:dyDescent="0.25">
      <c r="A777" t="str">
        <f>"040079260"</f>
        <v>040079260</v>
      </c>
      <c r="B777" t="str">
        <f t="shared" si="103"/>
        <v>991385201</v>
      </c>
      <c r="C777" t="str">
        <f t="shared" si="96"/>
        <v>MONACO-Jardin exotique</v>
      </c>
      <c r="D777" t="str">
        <f t="shared" si="97"/>
        <v>43.7310908</v>
      </c>
      <c r="E777" t="str">
        <f t="shared" si="98"/>
        <v>7.410747499999999</v>
      </c>
      <c r="F777" t="str">
        <f t="shared" si="99"/>
        <v>Xerophyte  [Texte imprimé]</v>
      </c>
      <c r="G777" t="str">
        <f t="shared" si="100"/>
        <v>Xerophyte</v>
      </c>
      <c r="H777" t="str">
        <f t="shared" si="101"/>
        <v>0950-9984</v>
      </c>
      <c r="I777" t="str">
        <f t="shared" si="102"/>
        <v>vol. 1 no. 1 (1978) - vol. 9  no. 2  (1988)</v>
      </c>
    </row>
    <row r="778" spans="1:9" x14ac:dyDescent="0.25">
      <c r="A778" t="str">
        <f>"124278264"</f>
        <v>124278264</v>
      </c>
      <c r="B778" t="str">
        <f t="shared" si="103"/>
        <v>060885105</v>
      </c>
      <c r="C778" t="str">
        <f t="shared" si="96"/>
        <v>NICE-Bibl.Chevalier de Cessole</v>
      </c>
      <c r="D778" t="str">
        <f t="shared" si="97"/>
        <v>43.6956246</v>
      </c>
      <c r="E778" t="str">
        <f t="shared" si="98"/>
        <v>7.259380900000001</v>
      </c>
      <c r="F778" t="str">
        <f t="shared" si="99"/>
        <v>Les Alpes-Maritimes  [Texte imprimé]</v>
      </c>
      <c r="G778" t="str">
        <f t="shared" si="100"/>
        <v>Les Alpes-Maritimes</v>
      </c>
      <c r="H778" t="str">
        <f t="shared" si="101"/>
        <v>1963-8442</v>
      </c>
      <c r="I778" t="str">
        <f t="shared" si="102"/>
        <v>no. 2 (13-mai-1870)</v>
      </c>
    </row>
    <row r="779" spans="1:9" x14ac:dyDescent="0.25">
      <c r="A779" t="str">
        <f>"039034356"</f>
        <v>039034356</v>
      </c>
      <c r="B779" t="str">
        <f t="shared" si="103"/>
        <v>831376201</v>
      </c>
      <c r="C779" t="str">
        <f t="shared" si="96"/>
        <v>TOULON-BM</v>
      </c>
      <c r="D779" t="str">
        <f t="shared" si="97"/>
        <v>43.0823215</v>
      </c>
      <c r="E779" t="str">
        <f t="shared" si="98"/>
        <v>5.920052699999999</v>
      </c>
      <c r="F779" t="str">
        <f t="shared" si="99"/>
        <v>Guide Exposition de Toulon  [Texte imprimé]</v>
      </c>
      <c r="G779" t="str">
        <f t="shared" si="100"/>
        <v>Guide Exposition de Toulon</v>
      </c>
      <c r="H779" t="str">
        <f t="shared" si="101"/>
        <v>2017-005X</v>
      </c>
      <c r="I779" t="str">
        <f t="shared" si="102"/>
        <v>no. 1 (1873) - no. 6  (1873)</v>
      </c>
    </row>
    <row r="780" spans="1:9" x14ac:dyDescent="0.25">
      <c r="A780" t="str">
        <f>"040022641"</f>
        <v>040022641</v>
      </c>
      <c r="B780" t="str">
        <f t="shared" si="103"/>
        <v>991385301</v>
      </c>
      <c r="C780" t="str">
        <f t="shared" si="96"/>
        <v>MONACO-Musée Océanographique</v>
      </c>
      <c r="D780" t="str">
        <f t="shared" si="97"/>
        <v>43.7310033</v>
      </c>
      <c r="E780" t="str">
        <f t="shared" si="98"/>
        <v>7.425491600000001</v>
      </c>
      <c r="F780" t="e">
        <f t="shared" si="99"/>
        <v>#VALUE!</v>
      </c>
      <c r="G780" t="str">
        <f t="shared" si="100"/>
        <v>Kaiyō sangyō kenkyū shiryō</v>
      </c>
      <c r="H780" t="str">
        <f t="shared" si="101"/>
        <v>0912-8123</v>
      </c>
      <c r="I780" t="str">
        <f t="shared" si="102"/>
        <v>vol. 21 no. 1 (1990)-....</v>
      </c>
    </row>
    <row r="781" spans="1:9" x14ac:dyDescent="0.25">
      <c r="A781" t="str">
        <f>"04019857X"</f>
        <v>04019857X</v>
      </c>
      <c r="B781" t="str">
        <f t="shared" si="103"/>
        <v>060692301</v>
      </c>
      <c r="C781" t="str">
        <f t="shared" si="96"/>
        <v>GRASSE-Musée Art/Hist Provence</v>
      </c>
      <c r="D781" t="str">
        <f t="shared" si="97"/>
        <v>43.65761759999999</v>
      </c>
      <c r="E781" t="str">
        <f t="shared" si="98"/>
        <v>6.9224541</v>
      </c>
      <c r="F781" t="str">
        <f t="shared" si="99"/>
        <v>Nouvelles  [Texte imprimé]  / Centre international</v>
      </c>
      <c r="G781" t="str">
        <f t="shared" si="100"/>
        <v>Nouvelles</v>
      </c>
      <c r="H781" t="str">
        <f t="shared" si="101"/>
        <v>1250-7385</v>
      </c>
      <c r="I781" t="str">
        <f t="shared" si="102"/>
        <v>(1984) - (fev-1985) [lac]</v>
      </c>
    </row>
    <row r="782" spans="1:9" x14ac:dyDescent="0.25">
      <c r="A782" t="str">
        <f>"036403865"</f>
        <v>036403865</v>
      </c>
      <c r="B782" t="str">
        <f t="shared" si="103"/>
        <v>991385301</v>
      </c>
      <c r="C782" t="str">
        <f t="shared" si="96"/>
        <v>MONACO-Musée Océanographique</v>
      </c>
      <c r="D782" t="str">
        <f t="shared" si="97"/>
        <v>43.7310033</v>
      </c>
      <c r="E782" t="str">
        <f t="shared" si="98"/>
        <v>7.425491600000001</v>
      </c>
      <c r="F782" t="str">
        <f t="shared" si="99"/>
        <v>Results of fisheries oceanographical observation  [Texte imprimé]</v>
      </c>
      <c r="G782" t="str">
        <f t="shared" si="100"/>
        <v>Results of fisheries oceanographical observation</v>
      </c>
      <c r="H782" t="e">
        <f t="shared" si="101"/>
        <v>#VALUE!</v>
      </c>
      <c r="I782" t="str">
        <f t="shared" si="102"/>
        <v>(1966)-....</v>
      </c>
    </row>
    <row r="783" spans="1:9" x14ac:dyDescent="0.25">
      <c r="A783" t="str">
        <f>"039052133"</f>
        <v>039052133</v>
      </c>
      <c r="B783" t="str">
        <f t="shared" si="103"/>
        <v>831376201</v>
      </c>
      <c r="C783" t="str">
        <f t="shared" si="96"/>
        <v>TOULON-BM</v>
      </c>
      <c r="D783" t="str">
        <f t="shared" si="97"/>
        <v>43.0823215</v>
      </c>
      <c r="E783" t="str">
        <f t="shared" si="98"/>
        <v>5.920052699999999</v>
      </c>
      <c r="F783" t="str">
        <f t="shared" si="99"/>
        <v>Revue du Cercle National-Artistique  [Texte imprimé]</v>
      </c>
      <c r="G783" t="str">
        <f t="shared" si="100"/>
        <v>Revue du Cercle National-Artistique</v>
      </c>
      <c r="H783" t="str">
        <f t="shared" si="101"/>
        <v>2017-9340</v>
      </c>
      <c r="I783" t="str">
        <f t="shared" si="102"/>
        <v>(15-fev-1888)</v>
      </c>
    </row>
    <row r="784" spans="1:9" x14ac:dyDescent="0.25">
      <c r="A784" t="str">
        <f>"039307557"</f>
        <v>039307557</v>
      </c>
      <c r="B784" t="str">
        <f t="shared" si="103"/>
        <v>991385301</v>
      </c>
      <c r="C784" t="str">
        <f t="shared" si="96"/>
        <v>MONACO-Musée Océanographique</v>
      </c>
      <c r="D784" t="str">
        <f t="shared" si="97"/>
        <v>43.7310033</v>
      </c>
      <c r="E784" t="str">
        <f t="shared" si="98"/>
        <v>7.425491600000001</v>
      </c>
      <c r="F784" t="str">
        <f t="shared" si="99"/>
        <v>Boletín bibliográfico  [Texte imprimé]  / Centro de investigaciones pesqueras</v>
      </c>
      <c r="G784" t="str">
        <f t="shared" si="100"/>
        <v>Boletín bibliográfico</v>
      </c>
      <c r="H784" t="str">
        <f t="shared" si="101"/>
        <v>0259-661X</v>
      </c>
      <c r="I784" t="str">
        <f t="shared" si="102"/>
        <v>no. 5 (1979)-....</v>
      </c>
    </row>
    <row r="785" spans="1:9" x14ac:dyDescent="0.25">
      <c r="A785" t="str">
        <f>"040175081"</f>
        <v>040175081</v>
      </c>
      <c r="B785" t="str">
        <f t="shared" si="103"/>
        <v>991386201</v>
      </c>
      <c r="C785" t="str">
        <f t="shared" si="96"/>
        <v>MONACO-Bibl.Louis Notari</v>
      </c>
      <c r="D785" t="str">
        <f t="shared" si="97"/>
        <v>43.7351319</v>
      </c>
      <c r="E785" t="str">
        <f t="shared" si="98"/>
        <v>7.420563100000001</v>
      </c>
      <c r="F785" t="str">
        <f t="shared" si="99"/>
        <v>Yacht club de Monaco  [Texte imprimé]</v>
      </c>
      <c r="G785" t="str">
        <f t="shared" si="100"/>
        <v>Yacht club de Monaco</v>
      </c>
      <c r="H785" t="str">
        <f t="shared" si="101"/>
        <v>1018-9777</v>
      </c>
      <c r="I785" t="str">
        <f t="shared" si="102"/>
        <v>(1962) - (1964) ; (1966)</v>
      </c>
    </row>
    <row r="786" spans="1:9" x14ac:dyDescent="0.25">
      <c r="A786" t="str">
        <f>"135954207"</f>
        <v>135954207</v>
      </c>
      <c r="B786" t="str">
        <f t="shared" si="103"/>
        <v>060885105</v>
      </c>
      <c r="C786" t="str">
        <f t="shared" si="96"/>
        <v>NICE-Bibl.Chevalier de Cessole</v>
      </c>
      <c r="D786" t="str">
        <f t="shared" si="97"/>
        <v>43.6956246</v>
      </c>
      <c r="E786" t="str">
        <f t="shared" si="98"/>
        <v>7.259380900000001</v>
      </c>
      <c r="F786" t="str">
        <f t="shared" si="99"/>
        <v>L'Âne  [Texte imprimé]</v>
      </c>
      <c r="G786" t="str">
        <f t="shared" si="100"/>
        <v>L'Âne</v>
      </c>
      <c r="H786" t="str">
        <f t="shared" si="101"/>
        <v>2120-7275</v>
      </c>
      <c r="I786" t="str">
        <f t="shared" si="102"/>
        <v>no. 22 (21-nov-1880) - no. 3  (16-jan-1881)</v>
      </c>
    </row>
    <row r="787" spans="1:9" x14ac:dyDescent="0.25">
      <c r="A787" t="str">
        <f>"156132168"</f>
        <v>156132168</v>
      </c>
      <c r="B787" t="str">
        <f t="shared" si="103"/>
        <v>060885105</v>
      </c>
      <c r="C787" t="str">
        <f t="shared" si="96"/>
        <v>NICE-Bibl.Chevalier de Cessole</v>
      </c>
      <c r="D787" t="str">
        <f t="shared" si="97"/>
        <v>43.6956246</v>
      </c>
      <c r="E787" t="str">
        <f t="shared" si="98"/>
        <v>7.259380900000001</v>
      </c>
      <c r="F787" t="str">
        <f t="shared" si="99"/>
        <v>Lou Nissart  [Texte imprimé]</v>
      </c>
      <c r="G787" t="str">
        <f t="shared" si="100"/>
        <v>Lou Nissart</v>
      </c>
      <c r="H787" t="str">
        <f t="shared" si="101"/>
        <v>2132-865X</v>
      </c>
      <c r="I787" t="str">
        <f t="shared" si="102"/>
        <v>no. 1 (27-sep-1885) - no. 5  (3-mai-1888)</v>
      </c>
    </row>
    <row r="788" spans="1:9" x14ac:dyDescent="0.25">
      <c r="A788" t="str">
        <f>"039354482"</f>
        <v>039354482</v>
      </c>
      <c r="B788" t="str">
        <f t="shared" si="103"/>
        <v>991385301</v>
      </c>
      <c r="C788" t="str">
        <f t="shared" si="96"/>
        <v>MONACO-Musée Océanographique</v>
      </c>
      <c r="D788" t="str">
        <f t="shared" si="97"/>
        <v>43.7310033</v>
      </c>
      <c r="E788" t="str">
        <f t="shared" si="98"/>
        <v>7.425491600000001</v>
      </c>
      <c r="F788" t="str">
        <f t="shared" si="99"/>
        <v>Calanus  [Texte imprimé]</v>
      </c>
      <c r="G788" t="str">
        <f t="shared" si="100"/>
        <v>Calanus</v>
      </c>
      <c r="H788" t="str">
        <f t="shared" si="101"/>
        <v>0288-6243</v>
      </c>
      <c r="I788" t="str">
        <f t="shared" si="102"/>
        <v>(1968)-....</v>
      </c>
    </row>
    <row r="789" spans="1:9" x14ac:dyDescent="0.25">
      <c r="A789" t="str">
        <f>"05093211X"</f>
        <v>05093211X</v>
      </c>
      <c r="B789" t="str">
        <f t="shared" si="103"/>
        <v>060886101</v>
      </c>
      <c r="C789" t="str">
        <f t="shared" si="96"/>
        <v>NICE- BMVR Louis Nucéra</v>
      </c>
      <c r="D789" t="str">
        <f t="shared" si="97"/>
        <v>43.7015650</v>
      </c>
      <c r="E789" t="str">
        <f t="shared" si="98"/>
        <v>7.2786247</v>
      </c>
      <c r="F789" t="str">
        <f t="shared" si="99"/>
        <v>L'Interprète  [Texte imprimé]</v>
      </c>
      <c r="G789" t="str">
        <f t="shared" si="100"/>
        <v>L'Interprète</v>
      </c>
      <c r="H789" t="e">
        <f t="shared" si="101"/>
        <v>#VALUE!</v>
      </c>
      <c r="I789" t="str">
        <f t="shared" si="102"/>
        <v>(avr-1955) - (jan-1969)</v>
      </c>
    </row>
    <row r="790" spans="1:9" x14ac:dyDescent="0.25">
      <c r="A790" t="str">
        <f>"036455504"</f>
        <v>036455504</v>
      </c>
      <c r="B790" t="str">
        <f t="shared" si="103"/>
        <v>991386201</v>
      </c>
      <c r="C790" t="str">
        <f t="shared" si="96"/>
        <v>MONACO-Bibl.Louis Notari</v>
      </c>
      <c r="D790" t="str">
        <f t="shared" si="97"/>
        <v>43.7351319</v>
      </c>
      <c r="E790" t="str">
        <f t="shared" si="98"/>
        <v>7.420563100000001</v>
      </c>
      <c r="F790" t="str">
        <f t="shared" si="99"/>
        <v>Panorama  [Texte imprimé]  / Ligue des sociétés de la Croix-Rouge</v>
      </c>
      <c r="G790" t="str">
        <f t="shared" si="100"/>
        <v>Panorama</v>
      </c>
      <c r="H790" t="str">
        <f t="shared" si="101"/>
        <v>0034-1991</v>
      </c>
      <c r="I790" t="str">
        <f t="shared" si="102"/>
        <v>no. 6 (1970)-....</v>
      </c>
    </row>
    <row r="791" spans="1:9" x14ac:dyDescent="0.25">
      <c r="A791" t="str">
        <f>"036784575"</f>
        <v>036784575</v>
      </c>
      <c r="B791" t="str">
        <f t="shared" si="103"/>
        <v>991385201</v>
      </c>
      <c r="C791" t="str">
        <f t="shared" si="96"/>
        <v>MONACO-Jardin exotique</v>
      </c>
      <c r="D791" t="str">
        <f t="shared" si="97"/>
        <v>43.7310908</v>
      </c>
      <c r="E791" t="str">
        <f t="shared" si="98"/>
        <v>7.410747499999999</v>
      </c>
      <c r="F791" t="str">
        <f t="shared" si="99"/>
        <v>Cactus and succulent journal  [Texte imprimé]</v>
      </c>
      <c r="G791" t="str">
        <f t="shared" si="100"/>
        <v>Cactus and succulent journal</v>
      </c>
      <c r="H791" t="str">
        <f t="shared" si="101"/>
        <v>0113-0323</v>
      </c>
      <c r="I791" t="str">
        <f t="shared" si="102"/>
        <v>vol. 3 no. 8 (1950) - vol. 6  no. 5  (1953)</v>
      </c>
    </row>
    <row r="792" spans="1:9" x14ac:dyDescent="0.25">
      <c r="A792" t="str">
        <f>"039096645"</f>
        <v>039096645</v>
      </c>
      <c r="B792" t="str">
        <f t="shared" si="103"/>
        <v>831376201</v>
      </c>
      <c r="C792" t="str">
        <f t="shared" si="96"/>
        <v>TOULON-BM</v>
      </c>
      <c r="D792" t="str">
        <f t="shared" si="97"/>
        <v>43.0823215</v>
      </c>
      <c r="E792" t="str">
        <f t="shared" si="98"/>
        <v>5.920052699999999</v>
      </c>
      <c r="F792" t="str">
        <f t="shared" si="99"/>
        <v>Bulletin hebdomadaire du Bureau municipal d'hygiène  [Texte imprimé]</v>
      </c>
      <c r="G792" t="str">
        <f t="shared" si="100"/>
        <v>Bulletin hebdomadaire du Bureau municipal d'hygiène</v>
      </c>
      <c r="H792" t="str">
        <f t="shared" si="101"/>
        <v>2016-307X</v>
      </c>
      <c r="I792" t="str">
        <f t="shared" si="102"/>
        <v>no. 1 (1905) - (1908) ; (1911) - (1914) ; (1919) - (1937)</v>
      </c>
    </row>
    <row r="793" spans="1:9" x14ac:dyDescent="0.25">
      <c r="A793" t="str">
        <f>"040131254"</f>
        <v>040131254</v>
      </c>
      <c r="B793" t="str">
        <f t="shared" si="103"/>
        <v>991386201</v>
      </c>
      <c r="C793" t="str">
        <f t="shared" ref="C793:C856" si="104">_xlfn.FILTERXML(_xlfn.WEBSERVICE("http://www.sudoc.fr/services/multiwhere/"&amp;A793),"//query/result/library/shortname")</f>
        <v>MONACO-Bibl.Louis Notari</v>
      </c>
      <c r="D793" t="str">
        <f t="shared" ref="D793:D856" si="105">_xlfn.FILTERXML(_xlfn.WEBSERVICE("http://www.sudoc.fr/services/multiwhere/"&amp;A793),"//query/result/library/latitude")</f>
        <v>43.7351319</v>
      </c>
      <c r="E793" t="str">
        <f t="shared" ref="E793:E856" si="106">_xlfn.FILTERXML(_xlfn.WEBSERVICE("http://www.sudoc.fr/services/multiwhere/"&amp;A793),"//query/result/library/longitude")</f>
        <v>7.420563100000001</v>
      </c>
      <c r="F793" t="str">
        <f t="shared" ref="F793:F856" si="107">_xlfn.FILTERXML(_xlfn.WEBSERVICE("http://www.sudoc.fr/"&amp;A793&amp;".rdf"),"//bibo:Periodical/dc:title")</f>
        <v>Revue annuelle  [Texte imprimé]  / Croix-Rouge Monégasque</v>
      </c>
      <c r="G793" t="str">
        <f t="shared" ref="G793:G856" si="108">_xlfn.FILTERXML(_xlfn.WEBSERVICE("http://www.sudoc.fr/"&amp;A793&amp;".abes"),"//datafield[@tag='200']/subfield[@code='a']")</f>
        <v>Revue annuelle</v>
      </c>
      <c r="H793" t="str">
        <f t="shared" ref="H793:H856" si="109">_xlfn.FILTERXML(_xlfn.WEBSERVICE("http://www.sudoc.fr/"&amp;A793&amp;".abes"),"//datafield[@tag='011']/subfield[@code='a']")</f>
        <v>1010-4801</v>
      </c>
      <c r="I793" t="str">
        <f t="shared" ref="I793:I856" si="110">_xlfn.FILTERXML(_xlfn.WEBSERVICE("http://www.sudoc.fr/"&amp;A793&amp;".abes"),"//datafield[@tag='955']/subfield[@code='r']")</f>
        <v>(1970)-....</v>
      </c>
    </row>
    <row r="794" spans="1:9" x14ac:dyDescent="0.25">
      <c r="A794" t="str">
        <f>"076005461"</f>
        <v>076005461</v>
      </c>
      <c r="B794" t="str">
        <f t="shared" si="103"/>
        <v>991385201</v>
      </c>
      <c r="C794" t="str">
        <f t="shared" si="104"/>
        <v>MONACO-Jardin exotique</v>
      </c>
      <c r="D794" t="str">
        <f t="shared" si="105"/>
        <v>43.7310908</v>
      </c>
      <c r="E794" t="str">
        <f t="shared" si="106"/>
        <v>7.410747499999999</v>
      </c>
      <c r="F794" t="str">
        <f t="shared" si="107"/>
        <v>Revista del Circulo de coleccionistas de cactus y crasas de la Republica Argentina  [Texte imprimé]</v>
      </c>
      <c r="G794" t="str">
        <f t="shared" si="108"/>
        <v>Revista del Circulo de coleccionistas de cactus y crasas de la Republica Argentina</v>
      </c>
      <c r="H794" t="str">
        <f t="shared" si="109"/>
        <v>1668-8007</v>
      </c>
      <c r="I794" t="str">
        <f t="shared" si="110"/>
        <v>vol. 1 no. 1 (2002) - vol. 3  no. 3  (2004) ; vol. 4 no. 1 (2005) - vol. 8  no. 1  (2009)</v>
      </c>
    </row>
    <row r="795" spans="1:9" x14ac:dyDescent="0.25">
      <c r="A795" t="str">
        <f>"13602372X"</f>
        <v>13602372X</v>
      </c>
      <c r="B795" t="str">
        <f t="shared" si="103"/>
        <v>060885105</v>
      </c>
      <c r="C795" t="str">
        <f t="shared" si="104"/>
        <v>NICE-Bibl.Chevalier de Cessole</v>
      </c>
      <c r="D795" t="str">
        <f t="shared" si="105"/>
        <v>43.6956246</v>
      </c>
      <c r="E795" t="str">
        <f t="shared" si="106"/>
        <v>7.259380900000001</v>
      </c>
      <c r="F795" t="str">
        <f t="shared" si="107"/>
        <v>Bulletin du Comité de défense des intérêts économiques des Alpes-Maritimes  [Texte imprimé]</v>
      </c>
      <c r="G795" t="str">
        <f t="shared" si="108"/>
        <v>Bulletin du Comité de défense des intérêts économiques des Alpes-Maritimes</v>
      </c>
      <c r="H795" t="str">
        <f t="shared" si="109"/>
        <v>1967-9939</v>
      </c>
      <c r="I795" t="str">
        <f t="shared" si="110"/>
        <v>no. 1 (23-nov-1890) - no. 3  (31-mar-1891) [lacunes]</v>
      </c>
    </row>
    <row r="796" spans="1:9" x14ac:dyDescent="0.25">
      <c r="A796" t="str">
        <f>"039034925"</f>
        <v>039034925</v>
      </c>
      <c r="B796" t="str">
        <f t="shared" si="103"/>
        <v>831376201</v>
      </c>
      <c r="C796" t="str">
        <f t="shared" si="104"/>
        <v>TOULON-BM</v>
      </c>
      <c r="D796" t="str">
        <f t="shared" si="105"/>
        <v>43.0823215</v>
      </c>
      <c r="E796" t="str">
        <f t="shared" si="106"/>
        <v>5.920052699999999</v>
      </c>
      <c r="F796" t="str">
        <f t="shared" si="107"/>
        <v>Bulletin municipal  [Texte imprimé]  / Commune de Toulon</v>
      </c>
      <c r="G796" t="str">
        <f t="shared" si="108"/>
        <v>Bulletin municipal</v>
      </c>
      <c r="H796" t="e">
        <f t="shared" si="109"/>
        <v>#VALUE!</v>
      </c>
      <c r="I796" t="str">
        <f t="shared" si="110"/>
        <v>no. 1 (1880) - (1883) ; (1892) - (1918) ; (1920) - (1921)</v>
      </c>
    </row>
    <row r="797" spans="1:9" x14ac:dyDescent="0.25">
      <c r="A797" t="str">
        <f>"039035441"</f>
        <v>039035441</v>
      </c>
      <c r="B797" t="str">
        <f t="shared" si="103"/>
        <v>831376201</v>
      </c>
      <c r="C797" t="str">
        <f t="shared" si="104"/>
        <v>TOULON-BM</v>
      </c>
      <c r="D797" t="str">
        <f t="shared" si="105"/>
        <v>43.0823215</v>
      </c>
      <c r="E797" t="str">
        <f t="shared" si="106"/>
        <v>5.920052699999999</v>
      </c>
      <c r="F797" t="str">
        <f t="shared" si="107"/>
        <v>Pâques fleuries  [Texte imprimé]</v>
      </c>
      <c r="G797" t="str">
        <f t="shared" si="108"/>
        <v>Pâques fleuries</v>
      </c>
      <c r="H797" t="str">
        <f t="shared" si="109"/>
        <v>2017-8638</v>
      </c>
      <c r="I797">
        <f t="shared" si="110"/>
        <v>-1919</v>
      </c>
    </row>
    <row r="798" spans="1:9" x14ac:dyDescent="0.25">
      <c r="A798" t="str">
        <f>"050926438"</f>
        <v>050926438</v>
      </c>
      <c r="B798" t="str">
        <f t="shared" si="103"/>
        <v>831375101</v>
      </c>
      <c r="C798" t="str">
        <f t="shared" si="104"/>
        <v>TOULON-Serv.Historique Marine</v>
      </c>
      <c r="D798" t="str">
        <f t="shared" si="105"/>
        <v>43.124228</v>
      </c>
      <c r="E798" t="str">
        <f t="shared" si="106"/>
        <v>5.928</v>
      </c>
      <c r="F798" t="str">
        <f t="shared" si="107"/>
        <v>État-major de la marine  [Texte imprimé]</v>
      </c>
      <c r="G798" t="str">
        <f t="shared" si="108"/>
        <v>État-major de la marine</v>
      </c>
      <c r="H798" t="str">
        <f t="shared" si="109"/>
        <v>2020-9789</v>
      </c>
      <c r="I798" t="str">
        <f t="shared" si="110"/>
        <v>no. 16 (1898) - no. 18  (1899)</v>
      </c>
    </row>
    <row r="799" spans="1:9" x14ac:dyDescent="0.25">
      <c r="A799" t="str">
        <f>"136621309"</f>
        <v>136621309</v>
      </c>
      <c r="B799" t="str">
        <f t="shared" si="103"/>
        <v>060885105</v>
      </c>
      <c r="C799" t="str">
        <f t="shared" si="104"/>
        <v>NICE-Bibl.Chevalier de Cessole</v>
      </c>
      <c r="D799" t="str">
        <f t="shared" si="105"/>
        <v>43.6956246</v>
      </c>
      <c r="E799" t="str">
        <f t="shared" si="106"/>
        <v>7.259380900000001</v>
      </c>
      <c r="F799" t="str">
        <f t="shared" si="107"/>
        <v>L'Eglantine  : organe bimensuel de la Fédération des Alpes-Maritimes du Parti socialiste (SFIO)</v>
      </c>
      <c r="G799" t="str">
        <f t="shared" si="108"/>
        <v>L'Eglantine</v>
      </c>
      <c r="H799" t="str">
        <f t="shared" si="109"/>
        <v>2127-1283</v>
      </c>
      <c r="I799" t="str">
        <f t="shared" si="110"/>
        <v>no. 3 (1-dec-1930) - no. 15  (1-jun-1931) [lacunes]</v>
      </c>
    </row>
    <row r="800" spans="1:9" x14ac:dyDescent="0.25">
      <c r="A800" t="str">
        <f>"037207490"</f>
        <v>037207490</v>
      </c>
      <c r="B800" t="str">
        <f t="shared" si="103"/>
        <v>991386201</v>
      </c>
      <c r="C800" t="str">
        <f t="shared" si="104"/>
        <v>MONACO-Bibl.Louis Notari</v>
      </c>
      <c r="D800" t="str">
        <f t="shared" si="105"/>
        <v>43.7351319</v>
      </c>
      <c r="E800" t="str">
        <f t="shared" si="106"/>
        <v>7.420563100000001</v>
      </c>
      <c r="F800" t="str">
        <f t="shared" si="107"/>
        <v>Arts, sports, tourisme de la Principauté de Monaco  [Texte imprimé]</v>
      </c>
      <c r="G800" t="str">
        <f t="shared" si="108"/>
        <v>Arts, sports, tourisme de la Principauté de Monaco</v>
      </c>
      <c r="H800" t="str">
        <f t="shared" si="109"/>
        <v>0259-8736</v>
      </c>
      <c r="I800" t="str">
        <f t="shared" si="110"/>
        <v>(oct-1941) - (nov-1942)</v>
      </c>
    </row>
    <row r="801" spans="1:9" x14ac:dyDescent="0.25">
      <c r="A801" t="str">
        <f>"05092317X"</f>
        <v>05092317X</v>
      </c>
      <c r="B801" t="str">
        <f t="shared" si="103"/>
        <v>831375101</v>
      </c>
      <c r="C801" t="str">
        <f t="shared" si="104"/>
        <v>TOULON-Serv.Historique Marine</v>
      </c>
      <c r="D801" t="str">
        <f t="shared" si="105"/>
        <v>43.124228</v>
      </c>
      <c r="E801" t="str">
        <f t="shared" si="106"/>
        <v>5.928</v>
      </c>
      <c r="F801" t="e">
        <f t="shared" si="107"/>
        <v>#VALUE!</v>
      </c>
      <c r="G801" t="str">
        <f t="shared" si="108"/>
        <v>Nauticus</v>
      </c>
      <c r="H801" t="e">
        <f t="shared" si="109"/>
        <v>#VALUE!</v>
      </c>
      <c r="I801" t="str">
        <f t="shared" si="110"/>
        <v>no. 1 (1977) - no. 15  (1979) [lac.]</v>
      </c>
    </row>
    <row r="802" spans="1:9" x14ac:dyDescent="0.25">
      <c r="A802" t="str">
        <f>"038963507"</f>
        <v>038963507</v>
      </c>
      <c r="B802" t="str">
        <f t="shared" si="103"/>
        <v>061525404</v>
      </c>
      <c r="C802" t="str">
        <f t="shared" si="104"/>
        <v>SOPHIA/ANT.-Thales Und. Systems</v>
      </c>
      <c r="D802" t="e">
        <f t="shared" si="105"/>
        <v>#VALUE!</v>
      </c>
      <c r="E802" t="e">
        <f t="shared" si="106"/>
        <v>#VALUE!</v>
      </c>
      <c r="F802" t="str">
        <f t="shared" si="107"/>
        <v>Official gazette of the United States Patent and Trademark Office. Patents  [Texte imprimé]</v>
      </c>
      <c r="G802" t="str">
        <f t="shared" si="108"/>
        <v>Official gazette of the United States Patent and Trademark Office. Patents</v>
      </c>
      <c r="H802" t="str">
        <f t="shared" si="109"/>
        <v>0098-1133</v>
      </c>
      <c r="I802" t="str">
        <f t="shared" si="110"/>
        <v>(1983) - (1993)</v>
      </c>
    </row>
    <row r="803" spans="1:9" x14ac:dyDescent="0.25">
      <c r="A803" t="str">
        <f>"039023346"</f>
        <v>039023346</v>
      </c>
      <c r="B803" t="str">
        <f t="shared" si="103"/>
        <v>831376201</v>
      </c>
      <c r="C803" t="str">
        <f t="shared" si="104"/>
        <v>TOULON-BM</v>
      </c>
      <c r="D803" t="str">
        <f t="shared" si="105"/>
        <v>43.0823215</v>
      </c>
      <c r="E803" t="str">
        <f t="shared" si="106"/>
        <v>5.920052699999999</v>
      </c>
      <c r="F803" t="str">
        <f t="shared" si="107"/>
        <v>La Semaine toulonnaise  [Texte imprimé]</v>
      </c>
      <c r="G803" t="str">
        <f t="shared" si="108"/>
        <v>La Semaine toulonnaise</v>
      </c>
      <c r="H803" t="str">
        <f t="shared" si="109"/>
        <v>2018-2597</v>
      </c>
      <c r="I803" t="str">
        <f t="shared" si="110"/>
        <v>no. 476 (1914) - no. 477  (1914)</v>
      </c>
    </row>
    <row r="804" spans="1:9" x14ac:dyDescent="0.25">
      <c r="A804" t="str">
        <f>"136048080"</f>
        <v>136048080</v>
      </c>
      <c r="B804" t="str">
        <f t="shared" si="103"/>
        <v>060885105</v>
      </c>
      <c r="C804" t="str">
        <f t="shared" si="104"/>
        <v>NICE-Bibl.Chevalier de Cessole</v>
      </c>
      <c r="D804" t="str">
        <f t="shared" si="105"/>
        <v>43.6956246</v>
      </c>
      <c r="E804" t="str">
        <f t="shared" si="106"/>
        <v>7.259380900000001</v>
      </c>
      <c r="F804" t="str">
        <f t="shared" si="107"/>
        <v>Lou Campanie  [Texte imprimé]</v>
      </c>
      <c r="G804" t="str">
        <f t="shared" si="108"/>
        <v>Lou Campanie</v>
      </c>
      <c r="H804" t="str">
        <f t="shared" si="109"/>
        <v>2123-3330</v>
      </c>
      <c r="I804" t="str">
        <f t="shared" si="110"/>
        <v>no. 1 (1-jun-1876) - no. 15  (24-sep-1876)</v>
      </c>
    </row>
    <row r="805" spans="1:9" x14ac:dyDescent="0.25">
      <c r="A805" t="str">
        <f>"037207709"</f>
        <v>037207709</v>
      </c>
      <c r="B805" t="str">
        <f t="shared" si="103"/>
        <v>991386201</v>
      </c>
      <c r="C805" t="str">
        <f t="shared" si="104"/>
        <v>MONACO-Bibl.Louis Notari</v>
      </c>
      <c r="D805" t="str">
        <f t="shared" si="105"/>
        <v>43.7351319</v>
      </c>
      <c r="E805" t="str">
        <f t="shared" si="106"/>
        <v>7.420563100000001</v>
      </c>
      <c r="F805" t="str">
        <f t="shared" si="107"/>
        <v>Contact  [Texte imprimé]</v>
      </c>
      <c r="G805" t="str">
        <f t="shared" si="108"/>
        <v>Contact</v>
      </c>
      <c r="H805" t="str">
        <f t="shared" si="109"/>
        <v>0259-8809</v>
      </c>
      <c r="I805" t="str">
        <f t="shared" si="110"/>
        <v>NS no. 1 (1961) - no. 20  (1971) [lac]</v>
      </c>
    </row>
    <row r="806" spans="1:9" x14ac:dyDescent="0.25">
      <c r="A806" t="str">
        <f>"055373801"</f>
        <v>055373801</v>
      </c>
      <c r="B806" t="str">
        <f t="shared" si="103"/>
        <v>060885101</v>
      </c>
      <c r="C806" t="str">
        <f t="shared" si="104"/>
        <v>NICE-Archives Municipales</v>
      </c>
      <c r="D806" t="str">
        <f t="shared" si="105"/>
        <v>43.68774699999999</v>
      </c>
      <c r="E806" t="str">
        <f t="shared" si="106"/>
        <v>7.235200000000001</v>
      </c>
      <c r="F806" t="str">
        <f t="shared" si="107"/>
        <v>Riviera sun  [Texte imprimé]</v>
      </c>
      <c r="G806" t="str">
        <f t="shared" si="108"/>
        <v>Riviera sun</v>
      </c>
      <c r="H806" t="e">
        <f t="shared" si="109"/>
        <v>#VALUE!</v>
      </c>
      <c r="I806" t="str">
        <f t="shared" si="110"/>
        <v>vol. 1 no. 20 (1959) ; vol. 4 no. 7 (1962) - no. 8  (1962) ; vol. 4 no. 11 (1962) ; vol. 5 no. 5 (1963) ; vol. 5 no. 7 (1963)</v>
      </c>
    </row>
    <row r="807" spans="1:9" x14ac:dyDescent="0.25">
      <c r="A807" t="str">
        <f>"036176540"</f>
        <v>036176540</v>
      </c>
      <c r="B807" t="str">
        <f t="shared" si="103"/>
        <v>991385301</v>
      </c>
      <c r="C807" t="str">
        <f t="shared" si="104"/>
        <v>MONACO-Musée Océanographique</v>
      </c>
      <c r="D807" t="str">
        <f t="shared" si="105"/>
        <v>43.7310033</v>
      </c>
      <c r="E807" t="str">
        <f t="shared" si="106"/>
        <v>7.425491600000001</v>
      </c>
      <c r="F807" t="str">
        <f t="shared" si="107"/>
        <v>Atlantic oceanographic and meteorological laboratories. Collected reprints.</v>
      </c>
      <c r="G807" t="str">
        <f t="shared" si="108"/>
        <v>Atlantic oceanographic and meteorological laboratories. Collected reprints.</v>
      </c>
      <c r="H807" t="e">
        <f t="shared" si="109"/>
        <v>#VALUE!</v>
      </c>
      <c r="I807" t="str">
        <f t="shared" si="110"/>
        <v>(1971)-....</v>
      </c>
    </row>
    <row r="808" spans="1:9" x14ac:dyDescent="0.25">
      <c r="A808" t="str">
        <f>"037123203"</f>
        <v>037123203</v>
      </c>
      <c r="B808" t="str">
        <f t="shared" si="103"/>
        <v>991386201</v>
      </c>
      <c r="C808" t="str">
        <f t="shared" si="104"/>
        <v>MONACO-Bibl.Louis Notari</v>
      </c>
      <c r="D808" t="str">
        <f t="shared" si="105"/>
        <v>43.7351319</v>
      </c>
      <c r="E808" t="str">
        <f t="shared" si="106"/>
        <v>7.420563100000001</v>
      </c>
      <c r="F808" t="str">
        <f t="shared" si="107"/>
        <v>la Tribune de monaco  [Texte imprimé]</v>
      </c>
      <c r="G808" t="str">
        <f t="shared" si="108"/>
        <v>la Tribune de monaco</v>
      </c>
      <c r="H808" t="e">
        <f t="shared" si="109"/>
        <v>#VALUE!</v>
      </c>
      <c r="I808" t="str">
        <f t="shared" si="110"/>
        <v>(1944) - (1947) ; no. 1 (1977) - no. 61  (1979)</v>
      </c>
    </row>
    <row r="809" spans="1:9" x14ac:dyDescent="0.25">
      <c r="A809" t="str">
        <f>"039113221"</f>
        <v>039113221</v>
      </c>
      <c r="B809" t="str">
        <f t="shared" si="103"/>
        <v>831376201</v>
      </c>
      <c r="C809" t="str">
        <f t="shared" si="104"/>
        <v>TOULON-BM</v>
      </c>
      <c r="D809" t="str">
        <f t="shared" si="105"/>
        <v>43.0823215</v>
      </c>
      <c r="E809" t="str">
        <f t="shared" si="106"/>
        <v>5.920052699999999</v>
      </c>
      <c r="F809" t="str">
        <f t="shared" si="107"/>
        <v>Le Courrier de Paris  [Texte imprimé]</v>
      </c>
      <c r="G809" t="str">
        <f t="shared" si="108"/>
        <v>Le Courrier de Paris</v>
      </c>
      <c r="H809" t="e">
        <f t="shared" si="109"/>
        <v>#VALUE!</v>
      </c>
      <c r="I809" t="str">
        <f t="shared" si="110"/>
        <v>no. 2 (1875) ; no. 7 (1875)</v>
      </c>
    </row>
    <row r="810" spans="1:9" x14ac:dyDescent="0.25">
      <c r="A810" t="str">
        <f>"039113272"</f>
        <v>039113272</v>
      </c>
      <c r="B810" t="str">
        <f t="shared" si="103"/>
        <v>831376201</v>
      </c>
      <c r="C810" t="str">
        <f t="shared" si="104"/>
        <v>TOULON-BM</v>
      </c>
      <c r="D810" t="str">
        <f t="shared" si="105"/>
        <v>43.0823215</v>
      </c>
      <c r="E810" t="str">
        <f t="shared" si="106"/>
        <v>5.920052699999999</v>
      </c>
      <c r="F810" t="str">
        <f t="shared" si="107"/>
        <v>L'Indicateur toulonnais  [Texte imprimé]</v>
      </c>
      <c r="G810" t="str">
        <f t="shared" si="108"/>
        <v>L'Indicateur toulonnais</v>
      </c>
      <c r="H810" t="str">
        <f t="shared" si="109"/>
        <v>2017-2893</v>
      </c>
      <c r="I810" t="str">
        <f t="shared" si="110"/>
        <v>(1839) - (1840)</v>
      </c>
    </row>
    <row r="811" spans="1:9" x14ac:dyDescent="0.25">
      <c r="A811" t="str">
        <f>"039051668"</f>
        <v>039051668</v>
      </c>
      <c r="B811" t="str">
        <f t="shared" si="103"/>
        <v>831376201</v>
      </c>
      <c r="C811" t="str">
        <f t="shared" si="104"/>
        <v>TOULON-BM</v>
      </c>
      <c r="D811" t="str">
        <f t="shared" si="105"/>
        <v>43.0823215</v>
      </c>
      <c r="E811" t="str">
        <f t="shared" si="106"/>
        <v>5.920052699999999</v>
      </c>
      <c r="F811" t="str">
        <f t="shared" si="107"/>
        <v>Toulon artiste  [Texte imprimé]  : Journal hebdomadaire, musique, théâtres, beaux-arts</v>
      </c>
      <c r="G811" t="str">
        <f t="shared" si="108"/>
        <v>Toulon artiste</v>
      </c>
      <c r="H811" t="str">
        <f t="shared" si="109"/>
        <v>2018-350X</v>
      </c>
      <c r="I811" t="str">
        <f t="shared" si="110"/>
        <v>no. 1 (1882) - no. 119  (1886)</v>
      </c>
    </row>
    <row r="812" spans="1:9" x14ac:dyDescent="0.25">
      <c r="A812" t="str">
        <f>"038785366"</f>
        <v>038785366</v>
      </c>
      <c r="B812" t="str">
        <f t="shared" si="103"/>
        <v>061525404</v>
      </c>
      <c r="C812" t="str">
        <f t="shared" si="104"/>
        <v>SOPHIA/ANT.-Thales Und. Systems</v>
      </c>
      <c r="D812" t="e">
        <f t="shared" si="105"/>
        <v>#VALUE!</v>
      </c>
      <c r="E812" t="e">
        <f t="shared" si="106"/>
        <v>#VALUE!</v>
      </c>
      <c r="F812" t="str">
        <f t="shared" si="107"/>
        <v>Revista de Telecomunicacion  [Texte imprimé]</v>
      </c>
      <c r="G812" t="str">
        <f t="shared" si="108"/>
        <v>Revista de Telecomunicacion</v>
      </c>
      <c r="H812" t="str">
        <f t="shared" si="109"/>
        <v>0034-8961</v>
      </c>
      <c r="I812" t="str">
        <f t="shared" si="110"/>
        <v>(1980) - (1983) [lac.5%]</v>
      </c>
    </row>
    <row r="813" spans="1:9" x14ac:dyDescent="0.25">
      <c r="A813" t="str">
        <f>"039066193"</f>
        <v>039066193</v>
      </c>
      <c r="B813" t="str">
        <f t="shared" si="103"/>
        <v>831376201</v>
      </c>
      <c r="C813" t="str">
        <f t="shared" si="104"/>
        <v>TOULON-BM</v>
      </c>
      <c r="D813" t="str">
        <f t="shared" si="105"/>
        <v>43.0823215</v>
      </c>
      <c r="E813" t="str">
        <f t="shared" si="106"/>
        <v>5.920052699999999</v>
      </c>
      <c r="F813" t="str">
        <f t="shared" si="107"/>
        <v>Toulon Mondain &amp; Pittoresque  [Texte imprimé]  : Guide local et régional  : Publication trimestrielle</v>
      </c>
      <c r="G813" t="str">
        <f t="shared" si="108"/>
        <v>Toulon Mondain &amp; Pittoresque</v>
      </c>
      <c r="H813" t="str">
        <f t="shared" si="109"/>
        <v>2018-3895</v>
      </c>
      <c r="I813" t="str">
        <f t="shared" si="110"/>
        <v>(jan-1922) - (1923)</v>
      </c>
    </row>
    <row r="814" spans="1:9" x14ac:dyDescent="0.25">
      <c r="A814" t="str">
        <f>"04888698X"</f>
        <v>04888698X</v>
      </c>
      <c r="B814" t="str">
        <f t="shared" si="103"/>
        <v>831375101</v>
      </c>
      <c r="C814" t="str">
        <f t="shared" si="104"/>
        <v>TOULON-Serv.Historique Marine</v>
      </c>
      <c r="D814" t="str">
        <f t="shared" si="105"/>
        <v>43.124228</v>
      </c>
      <c r="E814" t="str">
        <f t="shared" si="106"/>
        <v>5.928</v>
      </c>
      <c r="F814" t="str">
        <f t="shared" si="107"/>
        <v>Bulletin 3e région  [Texte imprimé]</v>
      </c>
      <c r="G814" t="str">
        <f t="shared" si="108"/>
        <v>Bulletin 3e région</v>
      </c>
      <c r="H814" t="str">
        <f t="shared" si="109"/>
        <v>0985-6579</v>
      </c>
      <c r="I814" t="str">
        <f t="shared" si="110"/>
        <v>no. 1 (1930) - (1969)</v>
      </c>
    </row>
    <row r="815" spans="1:9" x14ac:dyDescent="0.25">
      <c r="A815" t="str">
        <f>"036419311"</f>
        <v>036419311</v>
      </c>
      <c r="B815" t="str">
        <f t="shared" si="103"/>
        <v>991385301</v>
      </c>
      <c r="C815" t="str">
        <f t="shared" si="104"/>
        <v>MONACO-Musée Océanographique</v>
      </c>
      <c r="D815" t="str">
        <f t="shared" si="105"/>
        <v>43.7310033</v>
      </c>
      <c r="E815" t="str">
        <f t="shared" si="106"/>
        <v>7.425491600000001</v>
      </c>
      <c r="F815" t="str">
        <f t="shared" si="107"/>
        <v>Sea grant [Seventies] 70's.  [Texte imprimé]  = 19??-? :</v>
      </c>
      <c r="G815" t="str">
        <f t="shared" si="108"/>
        <v>Sea grant [Seventies] 70's.</v>
      </c>
      <c r="H815" t="e">
        <f t="shared" si="109"/>
        <v>#VALUE!</v>
      </c>
      <c r="I815" t="str">
        <f t="shared" si="110"/>
        <v>(1973)-....</v>
      </c>
    </row>
    <row r="816" spans="1:9" x14ac:dyDescent="0.25">
      <c r="A816" t="str">
        <f>"040264459"</f>
        <v>040264459</v>
      </c>
      <c r="B816" t="str">
        <f t="shared" si="103"/>
        <v>991385301</v>
      </c>
      <c r="C816" t="str">
        <f t="shared" si="104"/>
        <v>MONACO-Musée Océanographique</v>
      </c>
      <c r="D816" t="str">
        <f t="shared" si="105"/>
        <v>43.7310033</v>
      </c>
      <c r="E816" t="str">
        <f t="shared" si="106"/>
        <v>7.425491600000001</v>
      </c>
      <c r="F816" t="str">
        <f t="shared" si="107"/>
        <v>Marine fish monthly  [Texte imprimé]</v>
      </c>
      <c r="G816" t="str">
        <f t="shared" si="108"/>
        <v>Marine fish monthly</v>
      </c>
      <c r="H816" t="str">
        <f t="shared" si="109"/>
        <v>1045-3555</v>
      </c>
      <c r="I816" t="str">
        <f t="shared" si="110"/>
        <v>vol. 3 no. 8 (1988)-....</v>
      </c>
    </row>
    <row r="817" spans="1:9" x14ac:dyDescent="0.25">
      <c r="A817" t="str">
        <f>"124278329"</f>
        <v>124278329</v>
      </c>
      <c r="B817" t="str">
        <f t="shared" si="103"/>
        <v>060885105</v>
      </c>
      <c r="C817" t="str">
        <f t="shared" si="104"/>
        <v>NICE-Bibl.Chevalier de Cessole</v>
      </c>
      <c r="D817" t="str">
        <f t="shared" si="105"/>
        <v>43.6956246</v>
      </c>
      <c r="E817" t="str">
        <f t="shared" si="106"/>
        <v>7.259380900000001</v>
      </c>
      <c r="F817" t="str">
        <f t="shared" si="107"/>
        <v>Le Bavard  [Texte imprimé]</v>
      </c>
      <c r="G817" t="str">
        <f t="shared" si="108"/>
        <v>Le Bavard</v>
      </c>
      <c r="H817" t="str">
        <f t="shared" si="109"/>
        <v>1963-8507</v>
      </c>
      <c r="I817" t="str">
        <f t="shared" si="110"/>
        <v>no. 1035 (16-nov-1895) - no. 1202  (4-fev-1899) [lacunes]</v>
      </c>
    </row>
    <row r="818" spans="1:9" x14ac:dyDescent="0.25">
      <c r="A818" t="str">
        <f>"036317160"</f>
        <v>036317160</v>
      </c>
      <c r="B818" t="str">
        <f t="shared" si="103"/>
        <v>991385301</v>
      </c>
      <c r="C818" t="str">
        <f t="shared" si="104"/>
        <v>MONACO-Musée Océanographique</v>
      </c>
      <c r="D818" t="str">
        <f t="shared" si="105"/>
        <v>43.7310033</v>
      </c>
      <c r="E818" t="str">
        <f t="shared" si="106"/>
        <v>7.425491600000001</v>
      </c>
      <c r="F818" t="str">
        <f t="shared" si="107"/>
        <v>Lake Chad research station, Malamfatori. Annual report.</v>
      </c>
      <c r="G818" t="str">
        <f t="shared" si="108"/>
        <v>Lake Chad research station, Malamfatori. Annual report.</v>
      </c>
      <c r="H818" t="e">
        <f t="shared" si="109"/>
        <v>#VALUE!</v>
      </c>
      <c r="I818" t="e">
        <f t="shared" si="110"/>
        <v>#VALUE!</v>
      </c>
    </row>
    <row r="819" spans="1:9" x14ac:dyDescent="0.25">
      <c r="A819" t="str">
        <f>"037950568"</f>
        <v>037950568</v>
      </c>
      <c r="B819" t="str">
        <f t="shared" si="103"/>
        <v>991386201</v>
      </c>
      <c r="C819" t="str">
        <f t="shared" si="104"/>
        <v>MONACO-Bibl.Louis Notari</v>
      </c>
      <c r="D819" t="str">
        <f t="shared" si="105"/>
        <v>43.7351319</v>
      </c>
      <c r="E819" t="str">
        <f t="shared" si="106"/>
        <v>7.420563100000001</v>
      </c>
      <c r="F819" t="str">
        <f t="shared" si="107"/>
        <v>Bulletin des employés de la Société anonyme des bains de mer et du Cercle des étrangers à Monaco  [Texte imprimé]</v>
      </c>
      <c r="G819" t="str">
        <f t="shared" si="108"/>
        <v>Bulletin des employés de la Société anonyme des bains de mer et du Cercle des étrangers à Monaco</v>
      </c>
      <c r="H819" t="str">
        <f t="shared" si="109"/>
        <v>1011-1409</v>
      </c>
      <c r="I819" t="str">
        <f t="shared" si="110"/>
        <v>(1911) - (1922) [lac]</v>
      </c>
    </row>
    <row r="820" spans="1:9" x14ac:dyDescent="0.25">
      <c r="A820" t="str">
        <f>"038415984"</f>
        <v>038415984</v>
      </c>
      <c r="B820" t="str">
        <f t="shared" si="103"/>
        <v>991385301</v>
      </c>
      <c r="C820" t="str">
        <f t="shared" si="104"/>
        <v>MONACO-Musée Océanographique</v>
      </c>
      <c r="D820" t="str">
        <f t="shared" si="105"/>
        <v>43.7310033</v>
      </c>
      <c r="E820" t="str">
        <f t="shared" si="106"/>
        <v>7.425491600000001</v>
      </c>
      <c r="F820" t="str">
        <f t="shared" si="107"/>
        <v>Suisanbutsu ryūtsū tōkei nenpō  [Texte imprimé]</v>
      </c>
      <c r="G820" t="str">
        <f t="shared" si="108"/>
        <v>Suisanbutsu ryūtsū tōkei nenpō</v>
      </c>
      <c r="H820" t="e">
        <f t="shared" si="109"/>
        <v>#VALUE!</v>
      </c>
      <c r="I820" t="str">
        <f t="shared" si="110"/>
        <v>no. 41 (1968) - no. 42  (1969) = (1966) - (1967) ; no. 46 (1973) = (1971) ; no. 48 (1975) = (1973)</v>
      </c>
    </row>
    <row r="821" spans="1:9" x14ac:dyDescent="0.25">
      <c r="A821" t="str">
        <f>"050926640"</f>
        <v>050926640</v>
      </c>
      <c r="B821" t="str">
        <f t="shared" si="103"/>
        <v>831375101</v>
      </c>
      <c r="C821" t="str">
        <f t="shared" si="104"/>
        <v>TOULON-Serv.Historique Marine</v>
      </c>
      <c r="D821" t="str">
        <f t="shared" si="105"/>
        <v>43.124228</v>
      </c>
      <c r="E821" t="str">
        <f t="shared" si="106"/>
        <v>5.928</v>
      </c>
      <c r="F821" t="str">
        <f t="shared" si="107"/>
        <v>Mémorial de canonnage du vaisseau-école le Louis XIV  [Texte imprimé]</v>
      </c>
      <c r="G821" t="str">
        <f t="shared" si="108"/>
        <v>Mémorial de canonnage du vaisseau-école le Louis XIV</v>
      </c>
      <c r="H821" t="str">
        <f t="shared" si="109"/>
        <v>2020-986X</v>
      </c>
      <c r="I821" t="str">
        <f t="shared" si="110"/>
        <v>(1868) - (1875)</v>
      </c>
    </row>
    <row r="822" spans="1:9" x14ac:dyDescent="0.25">
      <c r="A822" t="str">
        <f>"187139547"</f>
        <v>187139547</v>
      </c>
      <c r="B822" t="str">
        <f t="shared" si="103"/>
        <v>060885105</v>
      </c>
      <c r="C822" t="str">
        <f t="shared" si="104"/>
        <v>NICE-Bibl.Chevalier de Cessole</v>
      </c>
      <c r="D822" t="str">
        <f t="shared" si="105"/>
        <v>43.6956246</v>
      </c>
      <c r="E822" t="str">
        <f t="shared" si="106"/>
        <v>7.259380900000001</v>
      </c>
      <c r="F822" t="str">
        <f t="shared" si="107"/>
        <v>L'Autre monde  [Texte imprimé]</v>
      </c>
      <c r="G822" t="str">
        <f t="shared" si="108"/>
        <v>L'Autre monde</v>
      </c>
      <c r="H822" t="str">
        <f t="shared" si="109"/>
        <v>2426-573X</v>
      </c>
      <c r="I822" t="str">
        <f t="shared" si="110"/>
        <v>no. 1 (1-avr-1877) - no. 5  (3-jun-1877)</v>
      </c>
    </row>
    <row r="823" spans="1:9" x14ac:dyDescent="0.25">
      <c r="A823" t="str">
        <f>"039051463"</f>
        <v>039051463</v>
      </c>
      <c r="B823" t="str">
        <f t="shared" si="103"/>
        <v>831376201</v>
      </c>
      <c r="C823" t="str">
        <f t="shared" si="104"/>
        <v>TOULON-BM</v>
      </c>
      <c r="D823" t="str">
        <f t="shared" si="105"/>
        <v>43.0823215</v>
      </c>
      <c r="E823" t="str">
        <f t="shared" si="106"/>
        <v>5.920052699999999</v>
      </c>
      <c r="F823" t="str">
        <f t="shared" si="107"/>
        <v>Le Peuple français  [Texte imprimé]  : Journal républicain de réalisations sociales</v>
      </c>
      <c r="G823" t="str">
        <f t="shared" si="108"/>
        <v>Le Peuple français</v>
      </c>
      <c r="H823" t="str">
        <f t="shared" si="109"/>
        <v>2017-9243</v>
      </c>
      <c r="I823" t="str">
        <f t="shared" si="110"/>
        <v>no. 2 (1928) - no. 8  (1928)</v>
      </c>
    </row>
    <row r="824" spans="1:9" x14ac:dyDescent="0.25">
      <c r="A824" t="str">
        <f>"04028395X"</f>
        <v>04028395X</v>
      </c>
      <c r="B824" t="str">
        <f t="shared" si="103"/>
        <v>991385301</v>
      </c>
      <c r="C824" t="str">
        <f t="shared" si="104"/>
        <v>MONACO-Musée Océanographique</v>
      </c>
      <c r="D824" t="str">
        <f t="shared" si="105"/>
        <v>43.7310033</v>
      </c>
      <c r="E824" t="str">
        <f t="shared" si="106"/>
        <v>7.425491600000001</v>
      </c>
      <c r="F824" t="e">
        <f t="shared" si="107"/>
        <v>#VALUE!</v>
      </c>
      <c r="G824" t="str">
        <f t="shared" si="108"/>
        <v>Scientific prospectus</v>
      </c>
      <c r="H824" t="str">
        <f t="shared" si="109"/>
        <v>1058-1448</v>
      </c>
      <c r="I824" t="str">
        <f t="shared" si="110"/>
        <v>no. 30 (1989)-....</v>
      </c>
    </row>
    <row r="825" spans="1:9" x14ac:dyDescent="0.25">
      <c r="A825" t="str">
        <f>"048886793"</f>
        <v>048886793</v>
      </c>
      <c r="B825" t="str">
        <f t="shared" si="103"/>
        <v>831375101</v>
      </c>
      <c r="C825" t="str">
        <f t="shared" si="104"/>
        <v>TOULON-Serv.Historique Marine</v>
      </c>
      <c r="D825" t="str">
        <f t="shared" si="105"/>
        <v>43.124228</v>
      </c>
      <c r="E825" t="str">
        <f t="shared" si="106"/>
        <v>5.928</v>
      </c>
      <c r="F825" t="str">
        <f t="shared" si="107"/>
        <v>Bollettino riguardante gli Ufficiali della Regia Marina  [Texte imprimé]</v>
      </c>
      <c r="G825" t="str">
        <f t="shared" si="108"/>
        <v>Bollettino riguardante gli Ufficiali della Regia Marina</v>
      </c>
      <c r="H825" t="str">
        <f t="shared" si="109"/>
        <v>1590-914X</v>
      </c>
      <c r="I825" t="str">
        <f t="shared" si="110"/>
        <v>(1913) - (1933)</v>
      </c>
    </row>
    <row r="826" spans="1:9" x14ac:dyDescent="0.25">
      <c r="A826" t="str">
        <f>"048884324"</f>
        <v>048884324</v>
      </c>
      <c r="B826" t="str">
        <f t="shared" si="103"/>
        <v>831375101</v>
      </c>
      <c r="C826" t="str">
        <f t="shared" si="104"/>
        <v>TOULON-Serv.Historique Marine</v>
      </c>
      <c r="D826" t="str">
        <f t="shared" si="105"/>
        <v>43.124228</v>
      </c>
      <c r="E826" t="str">
        <f t="shared" si="106"/>
        <v>5.928</v>
      </c>
      <c r="F826" t="str">
        <f t="shared" si="107"/>
        <v>Annuaire  [Texte imprimé]  / Cercle militaire. Armées de terre et de mer</v>
      </c>
      <c r="G826" t="str">
        <f t="shared" si="108"/>
        <v>Annuaire</v>
      </c>
      <c r="H826" t="str">
        <f t="shared" si="109"/>
        <v>2020-5724</v>
      </c>
      <c r="I826">
        <f t="shared" si="110"/>
        <v>-1910</v>
      </c>
    </row>
    <row r="827" spans="1:9" x14ac:dyDescent="0.25">
      <c r="A827" t="str">
        <f>"048886823"</f>
        <v>048886823</v>
      </c>
      <c r="B827" t="str">
        <f t="shared" si="103"/>
        <v>831375101</v>
      </c>
      <c r="C827" t="str">
        <f t="shared" si="104"/>
        <v>TOULON-Serv.Historique Marine</v>
      </c>
      <c r="D827" t="str">
        <f t="shared" si="105"/>
        <v>43.124228</v>
      </c>
      <c r="E827" t="str">
        <f t="shared" si="106"/>
        <v>5.928</v>
      </c>
      <c r="F827" t="str">
        <f t="shared" si="107"/>
        <v>Bilan de l'action sociale  [Texte imprimé]  / Ministère de la défense, Service de l'action sociale des armées</v>
      </c>
      <c r="G827" t="str">
        <f t="shared" si="108"/>
        <v>Bilan de l'action sociale</v>
      </c>
      <c r="H827" t="str">
        <f t="shared" si="109"/>
        <v>1621-028X</v>
      </c>
      <c r="I827" t="str">
        <f t="shared" si="110"/>
        <v>(1981) - (1986)</v>
      </c>
    </row>
    <row r="828" spans="1:9" x14ac:dyDescent="0.25">
      <c r="A828" t="str">
        <f>"055778437"</f>
        <v>055778437</v>
      </c>
      <c r="B828" t="str">
        <f t="shared" si="103"/>
        <v>831375101</v>
      </c>
      <c r="C828" t="str">
        <f t="shared" si="104"/>
        <v>TOULON-Serv.Historique Marine</v>
      </c>
      <c r="D828" t="str">
        <f t="shared" si="105"/>
        <v>43.124228</v>
      </c>
      <c r="E828" t="str">
        <f t="shared" si="106"/>
        <v>5.928</v>
      </c>
      <c r="F828" t="str">
        <f t="shared" si="107"/>
        <v>Statistique mensuelle des pêches maritimes  [Texte imprimé]</v>
      </c>
      <c r="G828" t="str">
        <f t="shared" si="108"/>
        <v>Statistique mensuelle des pêches maritimes</v>
      </c>
      <c r="H828" t="str">
        <f t="shared" si="109"/>
        <v>1629-0070</v>
      </c>
      <c r="I828" t="str">
        <f t="shared" si="110"/>
        <v>(1975) ; (1977) [lac.]</v>
      </c>
    </row>
    <row r="829" spans="1:9" x14ac:dyDescent="0.25">
      <c r="A829" t="str">
        <f>"036365122"</f>
        <v>036365122</v>
      </c>
      <c r="B829" t="str">
        <f t="shared" si="103"/>
        <v>991385301</v>
      </c>
      <c r="C829" t="str">
        <f t="shared" si="104"/>
        <v>MONACO-Musée Océanographique</v>
      </c>
      <c r="D829" t="str">
        <f t="shared" si="105"/>
        <v>43.7310033</v>
      </c>
      <c r="E829" t="str">
        <f t="shared" si="106"/>
        <v>7.425491600000001</v>
      </c>
      <c r="F829" t="str">
        <f t="shared" si="107"/>
        <v>Oceanic instrumentation reporter  [Texte imprimé]</v>
      </c>
      <c r="G829" t="str">
        <f t="shared" si="108"/>
        <v>Oceanic instrumentation reporter</v>
      </c>
      <c r="H829" t="e">
        <f t="shared" si="109"/>
        <v>#VALUE!</v>
      </c>
      <c r="I829" t="str">
        <f t="shared" si="110"/>
        <v>(1968) - (1970)</v>
      </c>
    </row>
    <row r="830" spans="1:9" x14ac:dyDescent="0.25">
      <c r="A830" t="str">
        <f>"039051528"</f>
        <v>039051528</v>
      </c>
      <c r="B830" t="str">
        <f t="shared" si="103"/>
        <v>831376201</v>
      </c>
      <c r="C830" t="str">
        <f t="shared" si="104"/>
        <v>TOULON-BM</v>
      </c>
      <c r="D830" t="str">
        <f t="shared" si="105"/>
        <v>43.0823215</v>
      </c>
      <c r="E830" t="str">
        <f t="shared" si="106"/>
        <v>5.920052699999999</v>
      </c>
      <c r="F830" t="str">
        <f t="shared" si="107"/>
        <v>Le Propriétaire  [Texte imprimé]</v>
      </c>
      <c r="G830" t="str">
        <f t="shared" si="108"/>
        <v>Le Propriétaire</v>
      </c>
      <c r="H830" t="str">
        <f t="shared" si="109"/>
        <v>2018-3437</v>
      </c>
      <c r="I830" t="str">
        <f t="shared" si="110"/>
        <v>no. 2 (1922)</v>
      </c>
    </row>
    <row r="831" spans="1:9" x14ac:dyDescent="0.25">
      <c r="A831" t="str">
        <f>"039065707"</f>
        <v>039065707</v>
      </c>
      <c r="B831" t="str">
        <f t="shared" si="103"/>
        <v>831376201</v>
      </c>
      <c r="C831" t="str">
        <f t="shared" si="104"/>
        <v>TOULON-BM</v>
      </c>
      <c r="D831" t="str">
        <f t="shared" si="105"/>
        <v>43.0823215</v>
      </c>
      <c r="E831" t="str">
        <f t="shared" si="106"/>
        <v>5.920052699999999</v>
      </c>
      <c r="F831" t="str">
        <f t="shared" si="107"/>
        <v>La Tribune libre du Midi  [Texte imprimé]  : Organe républicain socialiste des travailleurs</v>
      </c>
      <c r="G831" t="str">
        <f t="shared" si="108"/>
        <v>La Tribune libre du Midi</v>
      </c>
      <c r="H831" t="str">
        <f t="shared" si="109"/>
        <v>2018-6487</v>
      </c>
      <c r="I831" t="str">
        <f t="shared" si="110"/>
        <v>no. 6 (1892)</v>
      </c>
    </row>
    <row r="832" spans="1:9" x14ac:dyDescent="0.25">
      <c r="A832" t="str">
        <f>"15681093X"</f>
        <v>15681093X</v>
      </c>
      <c r="B832" t="str">
        <f t="shared" si="103"/>
        <v>991385201</v>
      </c>
      <c r="C832" t="str">
        <f t="shared" si="104"/>
        <v>MONACO-Jardin exotique</v>
      </c>
      <c r="D832" t="str">
        <f t="shared" si="105"/>
        <v>43.7310908</v>
      </c>
      <c r="E832" t="str">
        <f t="shared" si="106"/>
        <v>7.410747499999999</v>
      </c>
      <c r="F832" t="str">
        <f t="shared" si="107"/>
        <v>The cactus explorer  [Ressource électronique]</v>
      </c>
      <c r="G832" t="str">
        <f t="shared" si="108"/>
        <v>The cactus explorer</v>
      </c>
      <c r="H832" t="str">
        <f t="shared" si="109"/>
        <v>2048-0482</v>
      </c>
      <c r="I832" t="str">
        <f t="shared" si="110"/>
        <v>no. 1 (2011)-....</v>
      </c>
    </row>
    <row r="833" spans="1:9" x14ac:dyDescent="0.25">
      <c r="A833" t="str">
        <f>"03625620X"</f>
        <v>03625620X</v>
      </c>
      <c r="B833" t="str">
        <f t="shared" si="103"/>
        <v>991385301</v>
      </c>
      <c r="C833" t="str">
        <f t="shared" si="104"/>
        <v>MONACO-Musée Océanographique</v>
      </c>
      <c r="D833" t="str">
        <f t="shared" si="105"/>
        <v>43.7310033</v>
      </c>
      <c r="E833" t="str">
        <f t="shared" si="106"/>
        <v>7.425491600000001</v>
      </c>
      <c r="F833" t="str">
        <f t="shared" si="107"/>
        <v>The Faceplate  [Texte imprimé]</v>
      </c>
      <c r="G833" t="str">
        <f t="shared" si="108"/>
        <v>The Faceplate</v>
      </c>
      <c r="H833" t="str">
        <f t="shared" si="109"/>
        <v>0190-3306</v>
      </c>
      <c r="I833" t="str">
        <f t="shared" si="110"/>
        <v>(1970) - (1985)</v>
      </c>
    </row>
    <row r="834" spans="1:9" x14ac:dyDescent="0.25">
      <c r="A834" t="str">
        <f>"039023001"</f>
        <v>039023001</v>
      </c>
      <c r="B834" t="str">
        <f t="shared" si="103"/>
        <v>060886101</v>
      </c>
      <c r="C834" t="str">
        <f t="shared" si="104"/>
        <v>NICE- BMVR Louis Nucéra</v>
      </c>
      <c r="D834" t="str">
        <f t="shared" si="105"/>
        <v>43.7015650</v>
      </c>
      <c r="E834" t="str">
        <f t="shared" si="106"/>
        <v>7.2786247</v>
      </c>
      <c r="F834" t="str">
        <f t="shared" si="107"/>
        <v>La Mode  [Texte imprimé]</v>
      </c>
      <c r="G834" t="str">
        <f t="shared" si="108"/>
        <v>La Mode</v>
      </c>
      <c r="H834" t="str">
        <f t="shared" si="109"/>
        <v>2017-3172</v>
      </c>
      <c r="I834" t="str">
        <f t="shared" si="110"/>
        <v>no. 1 (1926) - no. 26  (1926)</v>
      </c>
    </row>
    <row r="835" spans="1:9" x14ac:dyDescent="0.25">
      <c r="A835" t="str">
        <f>"136049206"</f>
        <v>136049206</v>
      </c>
      <c r="B835" t="str">
        <f t="shared" ref="B835:B898" si="111">TEXT(_xlfn.FILTERXML(_xlfn.WEBSERVICE("http://www.sudoc.fr/services/multiwhere/"&amp;A835),"//query/result/library/rcr"),"000000000")</f>
        <v>060885105</v>
      </c>
      <c r="C835" t="str">
        <f t="shared" si="104"/>
        <v>NICE-Bibl.Chevalier de Cessole</v>
      </c>
      <c r="D835" t="str">
        <f t="shared" si="105"/>
        <v>43.6956246</v>
      </c>
      <c r="E835" t="str">
        <f t="shared" si="106"/>
        <v>7.259380900000001</v>
      </c>
      <c r="F835" t="str">
        <f t="shared" si="107"/>
        <v>Le Carillon  [Texte imprimé]</v>
      </c>
      <c r="G835" t="str">
        <f t="shared" si="108"/>
        <v>Le Carillon</v>
      </c>
      <c r="H835" t="str">
        <f t="shared" si="109"/>
        <v>2123-4450</v>
      </c>
      <c r="I835" t="str">
        <f t="shared" si="110"/>
        <v>no. 1 (30-jun-1889) - no. 3  (14-jul-1889)</v>
      </c>
    </row>
    <row r="836" spans="1:9" x14ac:dyDescent="0.25">
      <c r="A836" t="str">
        <f>"036309591"</f>
        <v>036309591</v>
      </c>
      <c r="B836" t="str">
        <f t="shared" si="111"/>
        <v>991385301</v>
      </c>
      <c r="C836" t="str">
        <f t="shared" si="104"/>
        <v>MONACO-Musée Océanographique</v>
      </c>
      <c r="D836" t="str">
        <f t="shared" si="105"/>
        <v>43.7310033</v>
      </c>
      <c r="E836" t="str">
        <f t="shared" si="106"/>
        <v>7.425491600000001</v>
      </c>
      <c r="F836" t="str">
        <f t="shared" si="107"/>
        <v>Kasetsart university. Notes from Faculty of fisheries</v>
      </c>
      <c r="G836" t="str">
        <f t="shared" si="108"/>
        <v>Kasetsart university. Notes from Faculty of fisheries</v>
      </c>
      <c r="H836" t="e">
        <f t="shared" si="109"/>
        <v>#VALUE!</v>
      </c>
      <c r="I836" t="str">
        <f t="shared" si="110"/>
        <v>(1965)-....</v>
      </c>
    </row>
    <row r="837" spans="1:9" x14ac:dyDescent="0.25">
      <c r="A837" t="str">
        <f>"137869800"</f>
        <v>137869800</v>
      </c>
      <c r="B837" t="str">
        <f t="shared" si="111"/>
        <v>060885105</v>
      </c>
      <c r="C837" t="str">
        <f t="shared" si="104"/>
        <v>NICE-Bibl.Chevalier de Cessole</v>
      </c>
      <c r="D837" t="str">
        <f t="shared" si="105"/>
        <v>43.6956246</v>
      </c>
      <c r="E837" t="str">
        <f t="shared" si="106"/>
        <v>7.259380900000001</v>
      </c>
      <c r="F837" t="str">
        <f t="shared" si="107"/>
        <v>Le Grelot niçois  [Texte imprimé]</v>
      </c>
      <c r="G837" t="str">
        <f t="shared" si="108"/>
        <v>Le Grelot niçois</v>
      </c>
      <c r="H837" t="str">
        <f t="shared" si="109"/>
        <v>2129-0083</v>
      </c>
      <c r="I837" t="str">
        <f t="shared" si="110"/>
        <v>no. 5 (7-jul-1878) - no. 98  (24-jun-1883) [Lacunes]</v>
      </c>
    </row>
    <row r="838" spans="1:9" x14ac:dyDescent="0.25">
      <c r="A838" t="str">
        <f>"037946501"</f>
        <v>037946501</v>
      </c>
      <c r="B838" t="str">
        <f t="shared" si="111"/>
        <v>991386201</v>
      </c>
      <c r="C838" t="str">
        <f t="shared" si="104"/>
        <v>MONACO-Bibl.Louis Notari</v>
      </c>
      <c r="D838" t="str">
        <f t="shared" si="105"/>
        <v>43.7351319</v>
      </c>
      <c r="E838" t="str">
        <f t="shared" si="106"/>
        <v>7.420563100000001</v>
      </c>
      <c r="F838" t="str">
        <f t="shared" si="107"/>
        <v>Union des commerçants de Monaco  [Texte imprimé]</v>
      </c>
      <c r="G838" t="str">
        <f t="shared" si="108"/>
        <v>Union des commerçants de Monaco</v>
      </c>
      <c r="H838" t="str">
        <f t="shared" si="109"/>
        <v>1010-4755</v>
      </c>
      <c r="I838" t="str">
        <f t="shared" si="110"/>
        <v>(1966) - (1969)</v>
      </c>
    </row>
    <row r="839" spans="1:9" x14ac:dyDescent="0.25">
      <c r="A839" t="str">
        <f>"036419419"</f>
        <v>036419419</v>
      </c>
      <c r="B839" t="str">
        <f t="shared" si="111"/>
        <v>991385301</v>
      </c>
      <c r="C839" t="str">
        <f t="shared" si="104"/>
        <v>MONACO-Musée Océanographique</v>
      </c>
      <c r="D839" t="str">
        <f t="shared" si="105"/>
        <v>43.7310033</v>
      </c>
      <c r="E839" t="str">
        <f t="shared" si="106"/>
        <v>7.425491600000001</v>
      </c>
      <c r="F839" t="str">
        <f t="shared" si="107"/>
        <v>Seaquarium science series  [Texte imprimé]</v>
      </c>
      <c r="G839" t="str">
        <f t="shared" si="108"/>
        <v>Seaquarium science series</v>
      </c>
      <c r="H839" t="e">
        <f t="shared" si="109"/>
        <v>#VALUE!</v>
      </c>
      <c r="I839" t="e">
        <f t="shared" si="110"/>
        <v>#VALUE!</v>
      </c>
    </row>
    <row r="840" spans="1:9" x14ac:dyDescent="0.25">
      <c r="A840" t="str">
        <f>"039096513"</f>
        <v>039096513</v>
      </c>
      <c r="B840" t="str">
        <f t="shared" si="111"/>
        <v>831376201</v>
      </c>
      <c r="C840" t="str">
        <f t="shared" si="104"/>
        <v>TOULON-BM</v>
      </c>
      <c r="D840" t="str">
        <f t="shared" si="105"/>
        <v>43.0823215</v>
      </c>
      <c r="E840" t="str">
        <f t="shared" si="106"/>
        <v>5.920052699999999</v>
      </c>
      <c r="F840" t="str">
        <f t="shared" si="107"/>
        <v>La Revue sportive  [Texte imprimé]  : Bulletin officiel de l'Amicale départementale des sociétés d'I.P. du Var</v>
      </c>
      <c r="G840" t="str">
        <f t="shared" si="108"/>
        <v>La Revue sportive</v>
      </c>
      <c r="H840" t="str">
        <f t="shared" si="109"/>
        <v>2018-0756</v>
      </c>
      <c r="I840" t="str">
        <f t="shared" si="110"/>
        <v>no. 7 (1925) - no. 20  (1926)</v>
      </c>
    </row>
    <row r="841" spans="1:9" x14ac:dyDescent="0.25">
      <c r="A841" t="str">
        <f>"110624718"</f>
        <v>110624718</v>
      </c>
      <c r="B841" t="str">
        <f t="shared" si="111"/>
        <v>060885111</v>
      </c>
      <c r="C841" t="str">
        <f t="shared" si="104"/>
        <v>NICE-Jardin botanique</v>
      </c>
      <c r="D841" t="str">
        <f t="shared" si="105"/>
        <v>43.6857624</v>
      </c>
      <c r="E841" t="str">
        <f t="shared" si="106"/>
        <v>7.210481499999998</v>
      </c>
      <c r="F841" t="str">
        <f t="shared" si="107"/>
        <v>Bulletin  [Texte imprimé]  / Pacific Tropical Botanical Garden</v>
      </c>
      <c r="G841" t="str">
        <f t="shared" si="108"/>
        <v>Bulletin</v>
      </c>
      <c r="H841" t="str">
        <f t="shared" si="109"/>
        <v>0093-3996</v>
      </c>
      <c r="I841" t="str">
        <f t="shared" si="110"/>
        <v>vol. 17 (1987) - vol. 23  (1993)</v>
      </c>
    </row>
    <row r="842" spans="1:9" x14ac:dyDescent="0.25">
      <c r="A842" t="str">
        <f>"037950444"</f>
        <v>037950444</v>
      </c>
      <c r="B842" t="str">
        <f t="shared" si="111"/>
        <v>991386201</v>
      </c>
      <c r="C842" t="str">
        <f t="shared" si="104"/>
        <v>MONACO-Bibl.Louis Notari</v>
      </c>
      <c r="D842" t="str">
        <f t="shared" si="105"/>
        <v>43.7351319</v>
      </c>
      <c r="E842" t="str">
        <f t="shared" si="106"/>
        <v>7.420563100000001</v>
      </c>
      <c r="F842" t="str">
        <f t="shared" si="107"/>
        <v>Middle East economy  [Texte imprimé]</v>
      </c>
      <c r="G842" t="str">
        <f t="shared" si="108"/>
        <v>Middle East economy</v>
      </c>
      <c r="H842" t="str">
        <f t="shared" si="109"/>
        <v>1011-1212</v>
      </c>
      <c r="I842" t="str">
        <f t="shared" si="110"/>
        <v>vol. 1 no. 1 (1975) - (fev-1981)</v>
      </c>
    </row>
    <row r="843" spans="1:9" x14ac:dyDescent="0.25">
      <c r="A843" t="str">
        <f>"037950614"</f>
        <v>037950614</v>
      </c>
      <c r="B843" t="str">
        <f t="shared" si="111"/>
        <v>991386201</v>
      </c>
      <c r="C843" t="str">
        <f t="shared" si="104"/>
        <v>MONACO-Bibl.Louis Notari</v>
      </c>
      <c r="D843" t="str">
        <f t="shared" si="105"/>
        <v>43.7351319</v>
      </c>
      <c r="E843" t="str">
        <f t="shared" si="106"/>
        <v>7.420563100000001</v>
      </c>
      <c r="F843" t="str">
        <f t="shared" si="107"/>
        <v>Revue de l'Automobile club de Monaco  [Texte imprimé]</v>
      </c>
      <c r="G843" t="str">
        <f t="shared" si="108"/>
        <v>Revue de l'Automobile club de Monaco</v>
      </c>
      <c r="H843" t="str">
        <f t="shared" si="109"/>
        <v>1011-1441</v>
      </c>
      <c r="I843" t="str">
        <f t="shared" si="110"/>
        <v>no. 1 (1962) ; no. 3 (1962) - no. 14  (1965) ; no. 16 (1965) - no. 18  (1966) ; no. 20 (1970) - no. 26  (1972)</v>
      </c>
    </row>
    <row r="844" spans="1:9" x14ac:dyDescent="0.25">
      <c r="A844" t="str">
        <f>"038881837"</f>
        <v>038881837</v>
      </c>
      <c r="B844" t="str">
        <f t="shared" si="111"/>
        <v>991385301</v>
      </c>
      <c r="C844" t="str">
        <f t="shared" si="104"/>
        <v>MONACO-Musée Océanographique</v>
      </c>
      <c r="D844" t="str">
        <f t="shared" si="105"/>
        <v>43.7310033</v>
      </c>
      <c r="E844" t="str">
        <f t="shared" si="106"/>
        <v>7.425491600000001</v>
      </c>
      <c r="F844" t="str">
        <f t="shared" si="107"/>
        <v>Annual report  [Texte imprimé]  / Great Lakes Institute. University of Toronto</v>
      </c>
      <c r="G844" t="str">
        <f t="shared" si="108"/>
        <v>Annual report</v>
      </c>
      <c r="H844" t="str">
        <f t="shared" si="109"/>
        <v>0082-5204</v>
      </c>
      <c r="I844" t="e">
        <f t="shared" si="110"/>
        <v>#VALUE!</v>
      </c>
    </row>
    <row r="845" spans="1:9" x14ac:dyDescent="0.25">
      <c r="A845" t="str">
        <f>"039023443"</f>
        <v>039023443</v>
      </c>
      <c r="B845" t="str">
        <f t="shared" si="111"/>
        <v>831376201</v>
      </c>
      <c r="C845" t="str">
        <f t="shared" si="104"/>
        <v>TOULON-BM</v>
      </c>
      <c r="D845" t="str">
        <f t="shared" si="105"/>
        <v>43.0823215</v>
      </c>
      <c r="E845" t="str">
        <f t="shared" si="106"/>
        <v>5.920052699999999</v>
      </c>
      <c r="F845" t="str">
        <f t="shared" si="107"/>
        <v>L'Action syndicaliste  [Texte imprimé]</v>
      </c>
      <c r="G845" t="str">
        <f t="shared" si="108"/>
        <v>L'Action syndicaliste</v>
      </c>
      <c r="H845" t="str">
        <f t="shared" si="109"/>
        <v>2015-6235</v>
      </c>
      <c r="I845" t="str">
        <f t="shared" si="110"/>
        <v>no. 24 (1907) - no. 26  (1907)</v>
      </c>
    </row>
    <row r="846" spans="1:9" x14ac:dyDescent="0.25">
      <c r="A846" t="str">
        <f>"18543214X"</f>
        <v>18543214X</v>
      </c>
      <c r="B846" t="str">
        <f t="shared" si="111"/>
        <v>060692301</v>
      </c>
      <c r="C846" t="str">
        <f t="shared" si="104"/>
        <v>GRASSE-Musée Art/Hist Provence</v>
      </c>
      <c r="D846" t="str">
        <f t="shared" si="105"/>
        <v>43.65761759999999</v>
      </c>
      <c r="E846" t="str">
        <f t="shared" si="106"/>
        <v>6.9224541</v>
      </c>
      <c r="F846" t="str">
        <f t="shared" si="107"/>
        <v>Bulletin de la Société scientifique et littéraire des Basses-Alpes  : . 1950 (XXXII, n°  185)-</v>
      </c>
      <c r="G846" t="str">
        <f t="shared" si="108"/>
        <v>Bulletin de la Société scientifique et littéraire des Basses-Alpes</v>
      </c>
      <c r="H846" t="e">
        <f t="shared" si="109"/>
        <v>#VALUE!</v>
      </c>
      <c r="I846" t="str">
        <f t="shared" si="110"/>
        <v>no. 225 (1961) - no. 280</v>
      </c>
    </row>
    <row r="847" spans="1:9" x14ac:dyDescent="0.25">
      <c r="A847" t="str">
        <f>"039949001"</f>
        <v>039949001</v>
      </c>
      <c r="B847" t="str">
        <f t="shared" si="111"/>
        <v>991385201</v>
      </c>
      <c r="C847" t="str">
        <f t="shared" si="104"/>
        <v>MONACO-Jardin exotique</v>
      </c>
      <c r="D847" t="str">
        <f t="shared" si="105"/>
        <v>43.7310908</v>
      </c>
      <c r="E847" t="str">
        <f t="shared" si="106"/>
        <v>7.410747499999999</v>
      </c>
      <c r="F847" t="str">
        <f t="shared" si="107"/>
        <v>Kaktusy  [Texte imprimé]</v>
      </c>
      <c r="G847" t="str">
        <f t="shared" si="108"/>
        <v>Kaktusy</v>
      </c>
      <c r="H847" t="str">
        <f t="shared" si="109"/>
        <v>0862-4372</v>
      </c>
      <c r="I847" t="str">
        <f t="shared" si="110"/>
        <v>vol. 5 no. 1 (1969) - vol. 5  no. 6  (1969) ; vol. 7 no. 1 (1971) - vol. 9  no. 5  (1973) ; vol. 13 no. 1 (1977) - vol. 13  no. 6  (1977) ; vol. 15 no. 1 (1979) - vol. 20  no. 6  (1984) ; vol. 22 no. 1 (1986) - vol. 22  no. 6  (1986) ; vol. 32 no. 1 (1996) - vol. 36  no. 4  (2000) ; vol. 38 no. 1 (2002) - vol. 38  no. 4  (2002) ; vol. 39 no. 4 (2003)-....</v>
      </c>
    </row>
    <row r="848" spans="1:9" x14ac:dyDescent="0.25">
      <c r="A848" t="str">
        <f>"040133214"</f>
        <v>040133214</v>
      </c>
      <c r="B848" t="str">
        <f t="shared" si="111"/>
        <v>991386201</v>
      </c>
      <c r="C848" t="str">
        <f t="shared" si="104"/>
        <v>MONACO-Bibl.Louis Notari</v>
      </c>
      <c r="D848" t="str">
        <f t="shared" si="105"/>
        <v>43.7351319</v>
      </c>
      <c r="E848" t="str">
        <f t="shared" si="106"/>
        <v>7.420563100000001</v>
      </c>
      <c r="F848" t="str">
        <f t="shared" si="107"/>
        <v>Les Echos de l'A.P.E.E.M.  [Texte imprimé]</v>
      </c>
      <c r="G848" t="str">
        <f t="shared" si="108"/>
        <v>Les Echos de l'A.P.E.E.M.</v>
      </c>
      <c r="H848" t="str">
        <f t="shared" si="109"/>
        <v>1010-8610</v>
      </c>
      <c r="I848" t="str">
        <f t="shared" si="110"/>
        <v>no. 37 (jan-1986)-....</v>
      </c>
    </row>
    <row r="849" spans="1:9" x14ac:dyDescent="0.25">
      <c r="A849" t="str">
        <f>"050936824"</f>
        <v>050936824</v>
      </c>
      <c r="B849" t="str">
        <f t="shared" si="111"/>
        <v>831376201</v>
      </c>
      <c r="C849" t="str">
        <f t="shared" si="104"/>
        <v>TOULON-BM</v>
      </c>
      <c r="D849" t="str">
        <f t="shared" si="105"/>
        <v>43.0823215</v>
      </c>
      <c r="E849" t="str">
        <f t="shared" si="106"/>
        <v>5.920052699999999</v>
      </c>
      <c r="F849" t="str">
        <f t="shared" si="107"/>
        <v>L'Écho du Var  [Texte imprimé]  : Organe de défense sociale paraissant le samedi</v>
      </c>
      <c r="G849" t="str">
        <f t="shared" si="108"/>
        <v>L'Écho du Var</v>
      </c>
      <c r="H849" t="str">
        <f t="shared" si="109"/>
        <v>2017-3032</v>
      </c>
      <c r="I849" t="str">
        <f t="shared" si="110"/>
        <v>no. 13 (1896) - no. 31  (1897) [lac.]</v>
      </c>
    </row>
    <row r="850" spans="1:9" x14ac:dyDescent="0.25">
      <c r="A850" t="str">
        <f>"055055826"</f>
        <v>055055826</v>
      </c>
      <c r="B850" t="str">
        <f t="shared" si="111"/>
        <v>060885105</v>
      </c>
      <c r="C850" t="str">
        <f t="shared" si="104"/>
        <v>NICE-Bibl.Chevalier de Cessole</v>
      </c>
      <c r="D850" t="str">
        <f t="shared" si="105"/>
        <v>43.6956246</v>
      </c>
      <c r="E850" t="str">
        <f t="shared" si="106"/>
        <v>7.259380900000001</v>
      </c>
      <c r="F850" t="str">
        <f t="shared" si="107"/>
        <v>Caméléon du soir  [Texte imprimé]</v>
      </c>
      <c r="G850" t="str">
        <f t="shared" si="108"/>
        <v>Caméléon du soir</v>
      </c>
      <c r="H850" t="e">
        <f t="shared" si="109"/>
        <v>#VALUE!</v>
      </c>
      <c r="I850" t="str">
        <f t="shared" si="110"/>
        <v>(avr-1933) - (jul-1937)</v>
      </c>
    </row>
    <row r="851" spans="1:9" x14ac:dyDescent="0.25">
      <c r="A851" t="str">
        <f>"039282163"</f>
        <v>039282163</v>
      </c>
      <c r="B851" t="str">
        <f t="shared" si="111"/>
        <v>991386201</v>
      </c>
      <c r="C851" t="str">
        <f t="shared" si="104"/>
        <v>MONACO-Bibl.Louis Notari</v>
      </c>
      <c r="D851" t="str">
        <f t="shared" si="105"/>
        <v>43.7351319</v>
      </c>
      <c r="E851" t="str">
        <f t="shared" si="106"/>
        <v>7.420563100000001</v>
      </c>
      <c r="F851" t="str">
        <f t="shared" si="107"/>
        <v>S.B.M. en direct  [Texte imprimé]</v>
      </c>
      <c r="G851" t="str">
        <f t="shared" si="108"/>
        <v>S.B.M. en direct</v>
      </c>
      <c r="H851" t="str">
        <f t="shared" si="109"/>
        <v>0256-2847</v>
      </c>
      <c r="I851" t="str">
        <f t="shared" si="110"/>
        <v>no. 1 (1980)-....</v>
      </c>
    </row>
    <row r="852" spans="1:9" x14ac:dyDescent="0.25">
      <c r="A852" t="str">
        <f>"036288500"</f>
        <v>036288500</v>
      </c>
      <c r="B852" t="str">
        <f t="shared" si="111"/>
        <v>991386201</v>
      </c>
      <c r="C852" t="str">
        <f t="shared" si="104"/>
        <v>MONACO-Bibl.Louis Notari</v>
      </c>
      <c r="D852" t="str">
        <f t="shared" si="105"/>
        <v>43.7351319</v>
      </c>
      <c r="E852" t="str">
        <f t="shared" si="106"/>
        <v>7.420563100000001</v>
      </c>
      <c r="F852" t="str">
        <f t="shared" si="107"/>
        <v>Informations du Conseil national  [Texte imprimé]</v>
      </c>
      <c r="G852" t="str">
        <f t="shared" si="108"/>
        <v>Informations du Conseil national</v>
      </c>
      <c r="H852" t="e">
        <f t="shared" si="109"/>
        <v>#VALUE!</v>
      </c>
      <c r="I852" t="str">
        <f t="shared" si="110"/>
        <v>(oct-1968)</v>
      </c>
    </row>
    <row r="853" spans="1:9" x14ac:dyDescent="0.25">
      <c r="A853" t="str">
        <f>"036291358"</f>
        <v>036291358</v>
      </c>
      <c r="B853" t="str">
        <f t="shared" si="111"/>
        <v>991385301</v>
      </c>
      <c r="C853" t="str">
        <f t="shared" si="104"/>
        <v>MONACO-Musée Océanographique</v>
      </c>
      <c r="D853" t="str">
        <f t="shared" si="105"/>
        <v>43.7310033</v>
      </c>
      <c r="E853" t="str">
        <f t="shared" si="106"/>
        <v>7.425491600000001</v>
      </c>
      <c r="F853" t="str">
        <f t="shared" si="107"/>
        <v>Instituto antártico argentino. Divulgación.</v>
      </c>
      <c r="G853" t="str">
        <f t="shared" si="108"/>
        <v>Instituto antártico argentino. Divulgación.</v>
      </c>
      <c r="H853" t="e">
        <f t="shared" si="109"/>
        <v>#VALUE!</v>
      </c>
      <c r="I853" t="str">
        <f t="shared" si="110"/>
        <v>(1971)-....</v>
      </c>
    </row>
    <row r="854" spans="1:9" x14ac:dyDescent="0.25">
      <c r="A854" t="str">
        <f>"036327611"</f>
        <v>036327611</v>
      </c>
      <c r="B854" t="str">
        <f t="shared" si="111"/>
        <v>991385301</v>
      </c>
      <c r="C854" t="str">
        <f t="shared" si="104"/>
        <v>MONACO-Musée Océanographique</v>
      </c>
      <c r="D854" t="str">
        <f t="shared" si="105"/>
        <v>43.7310033</v>
      </c>
      <c r="E854" t="str">
        <f t="shared" si="106"/>
        <v>7.425491600000001</v>
      </c>
      <c r="F854" t="str">
        <f t="shared" si="107"/>
        <v>Marine resources of the Atlantic coast. Leaflet.</v>
      </c>
      <c r="G854" t="str">
        <f t="shared" si="108"/>
        <v>Marine resources of the Atlantic coast. Leaflet.</v>
      </c>
      <c r="H854" t="e">
        <f t="shared" si="109"/>
        <v>#VALUE!</v>
      </c>
      <c r="I854" t="str">
        <f t="shared" si="110"/>
        <v>(1965)-....</v>
      </c>
    </row>
    <row r="855" spans="1:9" x14ac:dyDescent="0.25">
      <c r="A855" t="str">
        <f>"11335066X"</f>
        <v>11335066X</v>
      </c>
      <c r="B855" t="str">
        <f t="shared" si="111"/>
        <v>831376201</v>
      </c>
      <c r="C855" t="str">
        <f t="shared" si="104"/>
        <v>TOULON-BM</v>
      </c>
      <c r="D855" t="str">
        <f t="shared" si="105"/>
        <v>43.0823215</v>
      </c>
      <c r="E855" t="str">
        <f t="shared" si="106"/>
        <v>5.920052699999999</v>
      </c>
      <c r="F855" t="e">
        <f t="shared" si="107"/>
        <v>#VALUE!</v>
      </c>
      <c r="G855" t="str">
        <f t="shared" si="108"/>
        <v>Myosotis</v>
      </c>
      <c r="H855" t="e">
        <f t="shared" si="109"/>
        <v>#VALUE!</v>
      </c>
      <c r="I855" t="str">
        <f t="shared" si="110"/>
        <v>(oct-1893)</v>
      </c>
    </row>
    <row r="856" spans="1:9" x14ac:dyDescent="0.25">
      <c r="A856" t="str">
        <f>"128377224"</f>
        <v>128377224</v>
      </c>
      <c r="B856" t="str">
        <f t="shared" si="111"/>
        <v>830616201</v>
      </c>
      <c r="C856" t="str">
        <f t="shared" si="104"/>
        <v>FREJUS-Médiathèque Villa-Mar</v>
      </c>
      <c r="D856" t="e">
        <f t="shared" si="105"/>
        <v>#VALUE!</v>
      </c>
      <c r="E856" t="e">
        <f t="shared" si="106"/>
        <v>#VALUE!</v>
      </c>
      <c r="F856" t="str">
        <f t="shared" si="107"/>
        <v>Terre de Bretagne  [Texte imprimé]</v>
      </c>
      <c r="G856" t="str">
        <f t="shared" si="108"/>
        <v>Terre de Bretagne</v>
      </c>
      <c r="H856" t="str">
        <f t="shared" si="109"/>
        <v>1965-099X</v>
      </c>
      <c r="I856" t="str">
        <f t="shared" si="110"/>
        <v>no. 3 (2006)-....</v>
      </c>
    </row>
    <row r="857" spans="1:9" x14ac:dyDescent="0.25">
      <c r="A857" t="str">
        <f>"037215442"</f>
        <v>037215442</v>
      </c>
      <c r="B857" t="str">
        <f t="shared" si="111"/>
        <v>061525404</v>
      </c>
      <c r="C857" t="str">
        <f t="shared" ref="C857:C920" si="112">_xlfn.FILTERXML(_xlfn.WEBSERVICE("http://www.sudoc.fr/services/multiwhere/"&amp;A857),"//query/result/library/shortname")</f>
        <v>SOPHIA/ANT.-Thales Und. Systems</v>
      </c>
      <c r="D857" t="e">
        <f t="shared" ref="D857:D920" si="113">_xlfn.FILTERXML(_xlfn.WEBSERVICE("http://www.sudoc.fr/services/multiwhere/"&amp;A857),"//query/result/library/latitude")</f>
        <v>#VALUE!</v>
      </c>
      <c r="E857" t="e">
        <f t="shared" ref="E857:E920" si="114">_xlfn.FILTERXML(_xlfn.WEBSERVICE("http://www.sudoc.fr/services/multiwhere/"&amp;A857),"//query/result/library/longitude")</f>
        <v>#VALUE!</v>
      </c>
      <c r="F857" t="str">
        <f t="shared" ref="F857:F920" si="115">_xlfn.FILTERXML(_xlfn.WEBSERVICE("http://www.sudoc.fr/"&amp;A857&amp;".rdf"),"//bibo:Periodical/dc:title")</f>
        <v>European semiconductor design &amp; production  [Texte imprimé]</v>
      </c>
      <c r="G857" t="str">
        <f t="shared" ref="G857:G920" si="116">_xlfn.FILTERXML(_xlfn.WEBSERVICE("http://www.sudoc.fr/"&amp;A857&amp;".abes"),"//datafield[@tag='200']/subfield[@code='a']")</f>
        <v>European semiconductor design &amp; production</v>
      </c>
      <c r="H857" t="str">
        <f t="shared" ref="H857:H920" si="117">_xlfn.FILTERXML(_xlfn.WEBSERVICE("http://www.sudoc.fr/"&amp;A857&amp;".abes"),"//datafield[@tag='011']/subfield[@code='a']")</f>
        <v>0265-6027</v>
      </c>
      <c r="I857">
        <f t="shared" ref="I857:I920" si="118">_xlfn.FILTERXML(_xlfn.WEBSERVICE("http://www.sudoc.fr/"&amp;A857&amp;".abes"),"//datafield[@tag='955']/subfield[@code='r']")</f>
        <v>-1983</v>
      </c>
    </row>
    <row r="858" spans="1:9" x14ac:dyDescent="0.25">
      <c r="A858" t="str">
        <f>"036945501"</f>
        <v>036945501</v>
      </c>
      <c r="B858" t="str">
        <f t="shared" si="111"/>
        <v>991385301</v>
      </c>
      <c r="C858" t="str">
        <f t="shared" si="112"/>
        <v>MONACO-Musée Océanographique</v>
      </c>
      <c r="D858" t="str">
        <f t="shared" si="113"/>
        <v>43.7310033</v>
      </c>
      <c r="E858" t="str">
        <f t="shared" si="114"/>
        <v>7.425491600000001</v>
      </c>
      <c r="F858" t="str">
        <f t="shared" si="115"/>
        <v>Hydrobiological bulletin  [Texte imprimé]</v>
      </c>
      <c r="G858" t="str">
        <f t="shared" si="116"/>
        <v>Hydrobiological bulletin</v>
      </c>
      <c r="H858" t="str">
        <f t="shared" si="117"/>
        <v>0165-1404</v>
      </c>
      <c r="I858" t="str">
        <f t="shared" si="118"/>
        <v>vol. 19 no. 1 (1985) ; vol. 23 no. 2 (1989) ; vol. 24 no. 1 (1990) ; vol. 25 no. 1 (1991) - vol. 26  no. 1  (1992)</v>
      </c>
    </row>
    <row r="859" spans="1:9" x14ac:dyDescent="0.25">
      <c r="A859" t="str">
        <f>"03912794X"</f>
        <v>03912794X</v>
      </c>
      <c r="B859" t="str">
        <f t="shared" si="111"/>
        <v>060882303</v>
      </c>
      <c r="C859" t="str">
        <f t="shared" si="112"/>
        <v>NICE-Museum Hist.Naturelle</v>
      </c>
      <c r="D859" t="str">
        <f t="shared" si="113"/>
        <v>43.7017477</v>
      </c>
      <c r="E859" t="str">
        <f t="shared" si="114"/>
        <v>7.279483399999999</v>
      </c>
      <c r="F859" t="str">
        <f t="shared" si="115"/>
        <v>Bongo  [Texte imprimé]</v>
      </c>
      <c r="G859" t="str">
        <f t="shared" si="116"/>
        <v>Bongo</v>
      </c>
      <c r="H859" t="str">
        <f t="shared" si="117"/>
        <v>0174-4038</v>
      </c>
      <c r="I859" t="str">
        <f t="shared" si="118"/>
        <v>vol. 32 no. 158 (2002)</v>
      </c>
    </row>
    <row r="860" spans="1:9" x14ac:dyDescent="0.25">
      <c r="A860" t="str">
        <f>"036424404"</f>
        <v>036424404</v>
      </c>
      <c r="B860" t="str">
        <f t="shared" si="111"/>
        <v>991385301</v>
      </c>
      <c r="C860" t="str">
        <f t="shared" si="112"/>
        <v>MONACO-Musée Océanographique</v>
      </c>
      <c r="D860" t="str">
        <f t="shared" si="113"/>
        <v>43.7310033</v>
      </c>
      <c r="E860" t="str">
        <f t="shared" si="114"/>
        <v>7.425491600000001</v>
      </c>
      <c r="F860" t="str">
        <f t="shared" si="115"/>
        <v>Shellfish market review and outlook  [Texte imprimé]</v>
      </c>
      <c r="G860" t="str">
        <f t="shared" si="116"/>
        <v>Shellfish market review and outlook</v>
      </c>
      <c r="H860" t="str">
        <f t="shared" si="117"/>
        <v>0098-8014</v>
      </c>
      <c r="I860" t="str">
        <f t="shared" si="118"/>
        <v>(1973)-....</v>
      </c>
    </row>
    <row r="861" spans="1:9" x14ac:dyDescent="0.25">
      <c r="A861" t="str">
        <f>"059140739"</f>
        <v>059140739</v>
      </c>
      <c r="B861" t="str">
        <f t="shared" si="111"/>
        <v>060882305</v>
      </c>
      <c r="C861" t="str">
        <f t="shared" si="112"/>
        <v>NICE-Institut européen</v>
      </c>
      <c r="D861" t="str">
        <f t="shared" si="113"/>
        <v>43.697776</v>
      </c>
      <c r="E861" t="str">
        <f t="shared" si="114"/>
        <v>7.254210999999999</v>
      </c>
      <c r="F861" t="str">
        <f t="shared" si="115"/>
        <v>Enterprise Europe  [Texte imprimé]</v>
      </c>
      <c r="G861" t="str">
        <f t="shared" si="116"/>
        <v>Enterprise Europe</v>
      </c>
      <c r="H861" t="str">
        <f t="shared" si="117"/>
        <v>1680-0516</v>
      </c>
      <c r="I861" t="str">
        <f t="shared" si="118"/>
        <v>(2000)-....</v>
      </c>
    </row>
    <row r="862" spans="1:9" x14ac:dyDescent="0.25">
      <c r="A862" t="str">
        <f>"039034313"</f>
        <v>039034313</v>
      </c>
      <c r="B862" t="str">
        <f t="shared" si="111"/>
        <v>831376201</v>
      </c>
      <c r="C862" t="str">
        <f t="shared" si="112"/>
        <v>TOULON-BM</v>
      </c>
      <c r="D862" t="str">
        <f t="shared" si="113"/>
        <v>43.0823215</v>
      </c>
      <c r="E862" t="str">
        <f t="shared" si="114"/>
        <v>5.920052699999999</v>
      </c>
      <c r="F862" t="str">
        <f t="shared" si="115"/>
        <v>Le Grand indicateur commercial et immobilier de Toulon et de sa région  [Texte imprimé]</v>
      </c>
      <c r="G862" t="str">
        <f t="shared" si="116"/>
        <v>Le Grand indicateur commercial et immobilier de Toulon et de sa région</v>
      </c>
      <c r="H862" t="str">
        <f t="shared" si="117"/>
        <v>2017-0033</v>
      </c>
      <c r="I862" t="str">
        <f t="shared" si="118"/>
        <v>no. 1 (1923) - no. 5  (1923)</v>
      </c>
    </row>
    <row r="863" spans="1:9" x14ac:dyDescent="0.25">
      <c r="A863" t="str">
        <f>"039371352"</f>
        <v>039371352</v>
      </c>
      <c r="B863" t="str">
        <f t="shared" si="111"/>
        <v>991385201</v>
      </c>
      <c r="C863" t="str">
        <f t="shared" si="112"/>
        <v>MONACO-Jardin exotique</v>
      </c>
      <c r="D863" t="str">
        <f t="shared" si="113"/>
        <v>43.7310908</v>
      </c>
      <c r="E863" t="str">
        <f t="shared" si="114"/>
        <v>7.410747499999999</v>
      </c>
      <c r="F863" t="e">
        <f t="shared" si="115"/>
        <v>#VALUE!</v>
      </c>
      <c r="G863" t="str">
        <f t="shared" si="116"/>
        <v>Tropische und subtropische Pflanzenwelt</v>
      </c>
      <c r="H863" t="str">
        <f t="shared" si="117"/>
        <v>0302-9417</v>
      </c>
      <c r="I863" t="str">
        <f t="shared" si="118"/>
        <v>no. 1 (1973) - no. 4  (1973) ; no. 6 (1973) ; no. 8 (1974) - no. 18  (1976) ; no. 22 (1978) - no. 23  (1978) ; no. 28 (1979) ; no. 35 (1981) ; no. 37 (1982) - no. 38  (1982) ; no. 45 (1984) ; no. 59 (1987)</v>
      </c>
    </row>
    <row r="864" spans="1:9" x14ac:dyDescent="0.25">
      <c r="A864" t="str">
        <f>"040046567"</f>
        <v>040046567</v>
      </c>
      <c r="B864" t="str">
        <f t="shared" si="111"/>
        <v>991385201</v>
      </c>
      <c r="C864" t="str">
        <f t="shared" si="112"/>
        <v>MONACO-Jardin exotique</v>
      </c>
      <c r="D864" t="str">
        <f t="shared" si="113"/>
        <v>43.7310908</v>
      </c>
      <c r="E864" t="str">
        <f t="shared" si="114"/>
        <v>7.410747499999999</v>
      </c>
      <c r="F864" t="str">
        <f t="shared" si="115"/>
        <v>Notocactus  [Texte imprimé]</v>
      </c>
      <c r="G864" t="str">
        <f t="shared" si="116"/>
        <v>Notocactus</v>
      </c>
      <c r="H864" t="str">
        <f t="shared" si="117"/>
        <v>0932-7746</v>
      </c>
      <c r="I864" t="str">
        <f t="shared" si="118"/>
        <v>vol. 1 (1978) - vol. 7  (1987)</v>
      </c>
    </row>
    <row r="865" spans="1:9" x14ac:dyDescent="0.25">
      <c r="A865" t="str">
        <f>"168229536"</f>
        <v>168229536</v>
      </c>
      <c r="B865" t="str">
        <f t="shared" si="111"/>
        <v>060886101</v>
      </c>
      <c r="C865" t="str">
        <f t="shared" si="112"/>
        <v>NICE- BMVR Louis Nucéra</v>
      </c>
      <c r="D865" t="str">
        <f t="shared" si="113"/>
        <v>43.7015650</v>
      </c>
      <c r="E865" t="str">
        <f t="shared" si="114"/>
        <v>7.2786247</v>
      </c>
      <c r="F865" t="str">
        <f t="shared" si="115"/>
        <v>Parenthèse  [Texte imprimé]</v>
      </c>
      <c r="G865" t="str">
        <f t="shared" si="116"/>
        <v>Parenthèse</v>
      </c>
      <c r="H865" t="str">
        <f t="shared" si="117"/>
        <v>2265-1624</v>
      </c>
      <c r="I865" t="str">
        <f t="shared" si="118"/>
        <v>no. 31 (2013)-....</v>
      </c>
    </row>
    <row r="866" spans="1:9" x14ac:dyDescent="0.25">
      <c r="A866" t="str">
        <f>"039095266"</f>
        <v>039095266</v>
      </c>
      <c r="B866" t="str">
        <f t="shared" si="111"/>
        <v>831376201</v>
      </c>
      <c r="C866" t="str">
        <f t="shared" si="112"/>
        <v>TOULON-BM</v>
      </c>
      <c r="D866" t="str">
        <f t="shared" si="113"/>
        <v>43.0823215</v>
      </c>
      <c r="E866" t="str">
        <f t="shared" si="114"/>
        <v>5.920052699999999</v>
      </c>
      <c r="F866" t="str">
        <f t="shared" si="115"/>
        <v>Notre montagne  [Texte imprimé]</v>
      </c>
      <c r="G866" t="str">
        <f t="shared" si="116"/>
        <v>Notre montagne</v>
      </c>
      <c r="H866" t="str">
        <f t="shared" si="117"/>
        <v>2018-0632</v>
      </c>
      <c r="I866" t="str">
        <f t="shared" si="118"/>
        <v>no. 396 (fev-1921) - no. 403  (oct-1921)</v>
      </c>
    </row>
    <row r="867" spans="1:9" x14ac:dyDescent="0.25">
      <c r="A867" t="str">
        <f>"039311708"</f>
        <v>039311708</v>
      </c>
      <c r="B867" t="str">
        <f t="shared" si="111"/>
        <v>061525404</v>
      </c>
      <c r="C867" t="str">
        <f t="shared" si="112"/>
        <v>SOPHIA/ANT.-Thales Und. Systems</v>
      </c>
      <c r="D867" t="e">
        <f t="shared" si="113"/>
        <v>#VALUE!</v>
      </c>
      <c r="E867" t="e">
        <f t="shared" si="114"/>
        <v>#VALUE!</v>
      </c>
      <c r="F867" t="str">
        <f t="shared" si="115"/>
        <v>Defense Latin America  [Texte imprimé]</v>
      </c>
      <c r="G867" t="str">
        <f t="shared" si="116"/>
        <v>Defense Latin America</v>
      </c>
      <c r="H867" t="str">
        <f t="shared" si="117"/>
        <v>0261-233X</v>
      </c>
      <c r="I867" t="str">
        <f t="shared" si="118"/>
        <v>(1983) - (1983)</v>
      </c>
    </row>
    <row r="868" spans="1:9" x14ac:dyDescent="0.25">
      <c r="A868" t="str">
        <f>"050937456"</f>
        <v>050937456</v>
      </c>
      <c r="B868" t="str">
        <f t="shared" si="111"/>
        <v>831376201</v>
      </c>
      <c r="C868" t="str">
        <f t="shared" si="112"/>
        <v>TOULON-BM</v>
      </c>
      <c r="D868" t="str">
        <f t="shared" si="113"/>
        <v>43.0823215</v>
      </c>
      <c r="E868" t="str">
        <f t="shared" si="114"/>
        <v>5.920052699999999</v>
      </c>
      <c r="F868" t="str">
        <f t="shared" si="115"/>
        <v>Le Furet  [Texte imprimé]</v>
      </c>
      <c r="G868" t="str">
        <f t="shared" si="116"/>
        <v>Le Furet</v>
      </c>
      <c r="H868" t="str">
        <f t="shared" si="117"/>
        <v>2017-3105</v>
      </c>
      <c r="I868" t="str">
        <f t="shared" si="118"/>
        <v>no. 7 (1873)</v>
      </c>
    </row>
    <row r="869" spans="1:9" x14ac:dyDescent="0.25">
      <c r="A869" t="str">
        <f>"037396080"</f>
        <v>037396080</v>
      </c>
      <c r="B869" t="str">
        <f t="shared" si="111"/>
        <v>991385301</v>
      </c>
      <c r="C869" t="str">
        <f t="shared" si="112"/>
        <v>MONACO-Musée Océanographique</v>
      </c>
      <c r="D869" t="str">
        <f t="shared" si="113"/>
        <v>43.7310033</v>
      </c>
      <c r="E869" t="str">
        <f t="shared" si="114"/>
        <v>7.425491600000001</v>
      </c>
      <c r="F869" t="str">
        <f t="shared" si="115"/>
        <v>Umi game nyūsuretā  [Texte imprimé]</v>
      </c>
      <c r="G869" t="str">
        <f t="shared" si="116"/>
        <v>Umi game nyūsuretā</v>
      </c>
      <c r="H869" t="e">
        <f t="shared" si="117"/>
        <v>#VALUE!</v>
      </c>
      <c r="I869" t="str">
        <f t="shared" si="118"/>
        <v>vol. 1 (1989)-....</v>
      </c>
    </row>
    <row r="870" spans="1:9" x14ac:dyDescent="0.25">
      <c r="A870" t="str">
        <f>"038713292"</f>
        <v>038713292</v>
      </c>
      <c r="B870" t="str">
        <f t="shared" si="111"/>
        <v>991385201</v>
      </c>
      <c r="C870" t="str">
        <f t="shared" si="112"/>
        <v>MONACO-Jardin exotique</v>
      </c>
      <c r="D870" t="str">
        <f t="shared" si="113"/>
        <v>43.7310908</v>
      </c>
      <c r="E870" t="str">
        <f t="shared" si="114"/>
        <v>7.410747499999999</v>
      </c>
      <c r="F870" t="str">
        <f t="shared" si="115"/>
        <v>Geraniums around the world  [Texte imprimé]</v>
      </c>
      <c r="G870" t="str">
        <f t="shared" si="116"/>
        <v>Geraniums around the world</v>
      </c>
      <c r="H870" t="str">
        <f t="shared" si="117"/>
        <v>0016-8599</v>
      </c>
      <c r="I870" t="str">
        <f t="shared" si="118"/>
        <v>vol. 24 no. 4 (1977) ; vol. 25 no. 3 (1977) - vol. 30  no. 3  (1982) ; vol. 31 no. 1 (1983) - vol. 37  no. 4  (1989/90) ; vol. 38 no. 2 (1990) - vol. 41  no. 2  (1993)</v>
      </c>
    </row>
    <row r="871" spans="1:9" x14ac:dyDescent="0.25">
      <c r="A871" t="str">
        <f>"076006751"</f>
        <v>076006751</v>
      </c>
      <c r="B871" t="str">
        <f t="shared" si="111"/>
        <v>991385201</v>
      </c>
      <c r="C871" t="str">
        <f t="shared" si="112"/>
        <v>MONACO-Jardin exotique</v>
      </c>
      <c r="D871" t="str">
        <f t="shared" si="113"/>
        <v>43.7310908</v>
      </c>
      <c r="E871" t="str">
        <f t="shared" si="114"/>
        <v>7.410747499999999</v>
      </c>
      <c r="F871" t="str">
        <f t="shared" si="115"/>
        <v>Peyote  [Texte imprimé]</v>
      </c>
      <c r="G871" t="str">
        <f t="shared" si="116"/>
        <v>Peyote</v>
      </c>
      <c r="H871" t="str">
        <f t="shared" si="117"/>
        <v>1780-4604</v>
      </c>
      <c r="I871" t="str">
        <f t="shared" si="118"/>
        <v>vol. 1 (fev-1998) - vol. 5  (sep-2002)</v>
      </c>
    </row>
    <row r="872" spans="1:9" x14ac:dyDescent="0.25">
      <c r="A872" t="str">
        <f>"076006085"</f>
        <v>076006085</v>
      </c>
      <c r="B872" t="str">
        <f t="shared" si="111"/>
        <v>991385201</v>
      </c>
      <c r="C872" t="str">
        <f t="shared" si="112"/>
        <v>MONACO-Jardin exotique</v>
      </c>
      <c r="D872" t="str">
        <f t="shared" si="113"/>
        <v>43.7310908</v>
      </c>
      <c r="E872" t="str">
        <f t="shared" si="114"/>
        <v>7.410747499999999</v>
      </c>
      <c r="F872" t="str">
        <f t="shared" si="115"/>
        <v>Piquant  [Texte imprimé]  : revue mensuelle de l'amateur de cactus et de plantes grasses du club de cactus peyote</v>
      </c>
      <c r="G872" t="str">
        <f t="shared" si="116"/>
        <v>Piquant</v>
      </c>
      <c r="H872" t="str">
        <f t="shared" si="117"/>
        <v>1780-4620</v>
      </c>
      <c r="I872" t="str">
        <f t="shared" si="118"/>
        <v>vol. 5 (oct-2002) - vol. 9  no. 11  (2006)</v>
      </c>
    </row>
    <row r="873" spans="1:9" x14ac:dyDescent="0.25">
      <c r="A873" t="str">
        <f>"037135945"</f>
        <v>037135945</v>
      </c>
      <c r="B873" t="str">
        <f t="shared" si="111"/>
        <v>991385301</v>
      </c>
      <c r="C873" t="str">
        <f t="shared" si="112"/>
        <v>MONACO-Musée Océanographique</v>
      </c>
      <c r="D873" t="str">
        <f t="shared" si="113"/>
        <v>43.7310033</v>
      </c>
      <c r="E873" t="str">
        <f t="shared" si="114"/>
        <v>7.425491600000001</v>
      </c>
      <c r="F873" t="str">
        <f t="shared" si="115"/>
        <v>Inmersión  [Texte imprimé]</v>
      </c>
      <c r="G873" t="str">
        <f t="shared" si="116"/>
        <v>Inmersión</v>
      </c>
      <c r="H873" t="str">
        <f t="shared" si="117"/>
        <v>0214-1817</v>
      </c>
      <c r="I873" t="str">
        <f t="shared" si="118"/>
        <v>no. 7 (1985) - no. 10  (1986)</v>
      </c>
    </row>
    <row r="874" spans="1:9" x14ac:dyDescent="0.25">
      <c r="A874" t="str">
        <f>"037815083"</f>
        <v>037815083</v>
      </c>
      <c r="B874" t="str">
        <f t="shared" si="111"/>
        <v>060042306</v>
      </c>
      <c r="C874" t="str">
        <f t="shared" si="112"/>
        <v>ANTIBES-INRA-UMR R.O.S.E.</v>
      </c>
      <c r="D874" t="str">
        <f t="shared" si="113"/>
        <v>43.5661292</v>
      </c>
      <c r="E874" t="str">
        <f t="shared" si="114"/>
        <v>7.1249398</v>
      </c>
      <c r="F874" t="str">
        <f t="shared" si="115"/>
        <v>OTAN newsletter  [Texte imprimé]</v>
      </c>
      <c r="G874" t="str">
        <f t="shared" si="116"/>
        <v>OTAN newsletter</v>
      </c>
      <c r="H874" t="str">
        <f t="shared" si="117"/>
        <v>0886-6864</v>
      </c>
      <c r="I874" t="str">
        <f t="shared" si="118"/>
        <v>(1970) - (1990)</v>
      </c>
    </row>
    <row r="875" spans="1:9" x14ac:dyDescent="0.25">
      <c r="A875" t="str">
        <f>"03828037X"</f>
        <v>03828037X</v>
      </c>
      <c r="B875" t="str">
        <f t="shared" si="111"/>
        <v>991385301</v>
      </c>
      <c r="C875" t="str">
        <f t="shared" si="112"/>
        <v>MONACO-Musée Océanographique</v>
      </c>
      <c r="D875" t="str">
        <f t="shared" si="113"/>
        <v>43.7310033</v>
      </c>
      <c r="E875" t="str">
        <f t="shared" si="114"/>
        <v>7.425491600000001</v>
      </c>
      <c r="F875" t="str">
        <f t="shared" si="115"/>
        <v>Netherlands journal of aquatic ecology  [Texte imprimé]</v>
      </c>
      <c r="G875" t="str">
        <f t="shared" si="116"/>
        <v>Netherlands journal of aquatic ecology</v>
      </c>
      <c r="H875" t="str">
        <f t="shared" si="117"/>
        <v>1380-8427</v>
      </c>
      <c r="I875" t="str">
        <f t="shared" si="118"/>
        <v>vol. 26 no. 1 (1992)-....</v>
      </c>
    </row>
    <row r="876" spans="1:9" x14ac:dyDescent="0.25">
      <c r="A876" t="str">
        <f>"040113086"</f>
        <v>040113086</v>
      </c>
      <c r="B876" t="str">
        <f t="shared" si="111"/>
        <v>991385301</v>
      </c>
      <c r="C876" t="str">
        <f t="shared" si="112"/>
        <v>MONACO-Musée Océanographique</v>
      </c>
      <c r="D876" t="str">
        <f t="shared" si="113"/>
        <v>43.7310033</v>
      </c>
      <c r="E876" t="str">
        <f t="shared" si="114"/>
        <v>7.425491600000001</v>
      </c>
      <c r="F876" t="str">
        <f t="shared" si="115"/>
        <v>Nanhai haiyang kexue jikan  [Texte imprimé]</v>
      </c>
      <c r="G876" t="str">
        <f t="shared" si="116"/>
        <v>Nanhai haiyang kexue jikan</v>
      </c>
      <c r="H876" t="str">
        <f t="shared" si="117"/>
        <v>1000-8624</v>
      </c>
      <c r="I876" t="str">
        <f t="shared" si="118"/>
        <v>vol. 1 (1980)-....</v>
      </c>
    </row>
    <row r="877" spans="1:9" x14ac:dyDescent="0.25">
      <c r="A877" t="str">
        <f>"12427823X"</f>
        <v>12427823X</v>
      </c>
      <c r="B877" t="str">
        <f t="shared" si="111"/>
        <v>060885105</v>
      </c>
      <c r="C877" t="str">
        <f t="shared" si="112"/>
        <v>NICE-Bibl.Chevalier de Cessole</v>
      </c>
      <c r="D877" t="str">
        <f t="shared" si="113"/>
        <v>43.6956246</v>
      </c>
      <c r="E877" t="str">
        <f t="shared" si="114"/>
        <v>7.259380900000001</v>
      </c>
      <c r="F877" t="str">
        <f t="shared" si="115"/>
        <v>L'Ae  [Texte imprimé]</v>
      </c>
      <c r="G877" t="str">
        <f t="shared" si="116"/>
        <v>L'Ae</v>
      </c>
      <c r="H877" t="str">
        <f t="shared" si="117"/>
        <v>1963-8418</v>
      </c>
      <c r="I877" t="str">
        <f t="shared" si="118"/>
        <v>no. 1 (27-jun-1880) - no. 21  (14-nov-1880)</v>
      </c>
    </row>
    <row r="878" spans="1:9" x14ac:dyDescent="0.25">
      <c r="A878" t="str">
        <f>"038378191"</f>
        <v>038378191</v>
      </c>
      <c r="B878" t="str">
        <f t="shared" si="111"/>
        <v>991385201</v>
      </c>
      <c r="C878" t="str">
        <f t="shared" si="112"/>
        <v>MONACO-Jardin exotique</v>
      </c>
      <c r="D878" t="str">
        <f t="shared" si="113"/>
        <v>43.7310908</v>
      </c>
      <c r="E878" t="str">
        <f t="shared" si="114"/>
        <v>7.410747499999999</v>
      </c>
      <c r="F878" t="str">
        <f t="shared" si="115"/>
        <v>The Journal of the Cactus and succulent society of Japan  [Texte imprimé]</v>
      </c>
      <c r="G878" t="str">
        <f t="shared" si="116"/>
        <v>The Journal of the Cactus and succulent society of Japan</v>
      </c>
      <c r="H878" t="e">
        <f t="shared" si="117"/>
        <v>#VALUE!</v>
      </c>
      <c r="I878" t="str">
        <f t="shared" si="118"/>
        <v>no. 88 (1954) - no. 220  (1984) [lac.10%]</v>
      </c>
    </row>
    <row r="879" spans="1:9" x14ac:dyDescent="0.25">
      <c r="A879" t="str">
        <f>"040137449"</f>
        <v>040137449</v>
      </c>
      <c r="B879" t="str">
        <f t="shared" si="111"/>
        <v>991385301</v>
      </c>
      <c r="C879" t="str">
        <f t="shared" si="112"/>
        <v>MONACO-Musée Océanographique</v>
      </c>
      <c r="D879" t="str">
        <f t="shared" si="113"/>
        <v>43.7310033</v>
      </c>
      <c r="E879" t="str">
        <f t="shared" si="114"/>
        <v>7.425491600000001</v>
      </c>
      <c r="F879" t="str">
        <f t="shared" si="115"/>
        <v>Ichthos newsletter  [Texte imprimé]</v>
      </c>
      <c r="G879" t="str">
        <f t="shared" si="116"/>
        <v>Ichthos newsletter</v>
      </c>
      <c r="H879" t="str">
        <f t="shared" si="117"/>
        <v>1011-7490</v>
      </c>
      <c r="I879" t="str">
        <f t="shared" si="118"/>
        <v>no. 1 (1982)-....</v>
      </c>
    </row>
    <row r="880" spans="1:9" x14ac:dyDescent="0.25">
      <c r="A880" t="str">
        <f>"05829516X"</f>
        <v>05829516X</v>
      </c>
      <c r="B880" t="str">
        <f t="shared" si="111"/>
        <v>060046201</v>
      </c>
      <c r="C880" t="str">
        <f t="shared" si="112"/>
        <v>ANTIBES-Mediath.A.Camus</v>
      </c>
      <c r="D880" t="str">
        <f t="shared" si="113"/>
        <v>43.58041799999999</v>
      </c>
      <c r="E880" t="str">
        <f t="shared" si="114"/>
        <v>7.125102</v>
      </c>
      <c r="F880" t="str">
        <f t="shared" si="115"/>
        <v>Jeune afrique  [Texte imprimé]</v>
      </c>
      <c r="G880" t="str">
        <f t="shared" si="116"/>
        <v>Jeune afrique</v>
      </c>
      <c r="H880" t="str">
        <f t="shared" si="117"/>
        <v>0330-5902</v>
      </c>
      <c r="I880" t="str">
        <f t="shared" si="118"/>
        <v>Conservé pendant 2 année(s)</v>
      </c>
    </row>
    <row r="881" spans="1:9" x14ac:dyDescent="0.25">
      <c r="A881" t="str">
        <f>"038605899"</f>
        <v>038605899</v>
      </c>
      <c r="B881" t="str">
        <f t="shared" si="111"/>
        <v>061525404</v>
      </c>
      <c r="C881" t="str">
        <f t="shared" si="112"/>
        <v>SOPHIA/ANT.-Thales Und. Systems</v>
      </c>
      <c r="D881" t="e">
        <f t="shared" si="113"/>
        <v>#VALUE!</v>
      </c>
      <c r="E881" t="e">
        <f t="shared" si="114"/>
        <v>#VALUE!</v>
      </c>
      <c r="F881" t="str">
        <f t="shared" si="115"/>
        <v>B.I.P. : bulletin informatique production  [Texte imprimé]</v>
      </c>
      <c r="G881" t="str">
        <f t="shared" si="116"/>
        <v>B.I.P. : bulletin informatique production</v>
      </c>
      <c r="H881" t="e">
        <f t="shared" si="117"/>
        <v>#VALUE!</v>
      </c>
      <c r="I881" t="str">
        <f t="shared" si="118"/>
        <v>(1976) - (1979)</v>
      </c>
    </row>
    <row r="882" spans="1:9" x14ac:dyDescent="0.25">
      <c r="A882" t="str">
        <f>"038792117"</f>
        <v>038792117</v>
      </c>
      <c r="B882" t="str">
        <f t="shared" si="111"/>
        <v>060845301</v>
      </c>
      <c r="C882" t="str">
        <f t="shared" si="112"/>
        <v>MOUANS SARTOUX-CRD Occitane</v>
      </c>
      <c r="D882" t="str">
        <f t="shared" si="113"/>
        <v>43.6188186</v>
      </c>
      <c r="E882" t="str">
        <f t="shared" si="114"/>
        <v>6.972011600000001</v>
      </c>
      <c r="F882" t="str">
        <f t="shared" si="115"/>
        <v>Lou Darnagas d'Eoures  [Texte imprimé]</v>
      </c>
      <c r="G882" t="str">
        <f t="shared" si="116"/>
        <v>Lou Darnagas d'Eoures</v>
      </c>
      <c r="H882" t="str">
        <f t="shared" si="117"/>
        <v>1250-6907</v>
      </c>
      <c r="I882" t="str">
        <f t="shared" si="118"/>
        <v>no. 6 (1977) ; no. 7 (1979)</v>
      </c>
    </row>
    <row r="883" spans="1:9" x14ac:dyDescent="0.25">
      <c r="A883" t="str">
        <f>"152096477"</f>
        <v>152096477</v>
      </c>
      <c r="B883" t="str">
        <f t="shared" si="111"/>
        <v>991385201</v>
      </c>
      <c r="C883" t="str">
        <f t="shared" si="112"/>
        <v>MONACO-Jardin exotique</v>
      </c>
      <c r="D883" t="str">
        <f t="shared" si="113"/>
        <v>43.7310908</v>
      </c>
      <c r="E883" t="str">
        <f t="shared" si="114"/>
        <v>7.410747499999999</v>
      </c>
      <c r="F883" t="str">
        <f t="shared" si="115"/>
        <v>Ernstia  [Texte imprimé]</v>
      </c>
      <c r="G883" t="str">
        <f t="shared" si="116"/>
        <v>Ernstia</v>
      </c>
      <c r="H883" t="str">
        <f t="shared" si="117"/>
        <v>0252-8274</v>
      </c>
      <c r="I883" t="str">
        <f t="shared" si="118"/>
        <v>vol. 17 no. 1 (2007)-....</v>
      </c>
    </row>
    <row r="884" spans="1:9" x14ac:dyDescent="0.25">
      <c r="A884" t="str">
        <f>"03725748X"</f>
        <v>03725748X</v>
      </c>
      <c r="B884" t="str">
        <f t="shared" si="111"/>
        <v>991385301</v>
      </c>
      <c r="C884" t="str">
        <f t="shared" si="112"/>
        <v>MONACO-Musée Océanographique</v>
      </c>
      <c r="D884" t="str">
        <f t="shared" si="113"/>
        <v>43.7310033</v>
      </c>
      <c r="E884" t="str">
        <f t="shared" si="114"/>
        <v>7.425491600000001</v>
      </c>
      <c r="F884" t="str">
        <f t="shared" si="115"/>
        <v>BLL announcement bulletin  [Texte imprimé]</v>
      </c>
      <c r="G884" t="str">
        <f t="shared" si="116"/>
        <v>BLL announcement bulletin</v>
      </c>
      <c r="H884" t="str">
        <f t="shared" si="117"/>
        <v>0301-2085</v>
      </c>
      <c r="I884" t="str">
        <f t="shared" si="118"/>
        <v>(1973) - (1974)</v>
      </c>
    </row>
    <row r="885" spans="1:9" x14ac:dyDescent="0.25">
      <c r="A885" t="str">
        <f>"040004031"</f>
        <v>040004031</v>
      </c>
      <c r="B885" t="str">
        <f t="shared" si="111"/>
        <v>991385301</v>
      </c>
      <c r="C885" t="str">
        <f t="shared" si="112"/>
        <v>MONACO-Musée Océanographique</v>
      </c>
      <c r="D885" t="str">
        <f t="shared" si="113"/>
        <v>43.7310033</v>
      </c>
      <c r="E885" t="str">
        <f t="shared" si="114"/>
        <v>7.425491600000001</v>
      </c>
      <c r="F885" t="str">
        <f t="shared" si="115"/>
        <v>The Marine connection  [Texte imprimé]</v>
      </c>
      <c r="G885" t="str">
        <f t="shared" si="116"/>
        <v>The Marine connection</v>
      </c>
      <c r="H885" t="str">
        <f t="shared" si="117"/>
        <v>0898-9257</v>
      </c>
      <c r="I885" t="str">
        <f t="shared" si="118"/>
        <v>vol. 1 no. 1 (1986)-....</v>
      </c>
    </row>
    <row r="886" spans="1:9" x14ac:dyDescent="0.25">
      <c r="A886" t="str">
        <f>"040401359"</f>
        <v>040401359</v>
      </c>
      <c r="B886" t="str">
        <f t="shared" si="111"/>
        <v>831376201</v>
      </c>
      <c r="C886" t="str">
        <f t="shared" si="112"/>
        <v>TOULON-BM</v>
      </c>
      <c r="D886" t="str">
        <f t="shared" si="113"/>
        <v>43.0823215</v>
      </c>
      <c r="E886" t="str">
        <f t="shared" si="114"/>
        <v>5.920052699999999</v>
      </c>
      <c r="F886" t="e">
        <f t="shared" si="115"/>
        <v>#VALUE!</v>
      </c>
      <c r="G886" t="str">
        <f t="shared" si="116"/>
        <v>INSEE Guides</v>
      </c>
      <c r="H886" t="str">
        <f t="shared" si="117"/>
        <v>1262-974X</v>
      </c>
      <c r="I886" t="str">
        <f t="shared" si="118"/>
        <v>no. 4 (jul-1996)-....</v>
      </c>
    </row>
    <row r="887" spans="1:9" x14ac:dyDescent="0.25">
      <c r="A887" t="str">
        <f>"048880604"</f>
        <v>048880604</v>
      </c>
      <c r="B887" t="str">
        <f t="shared" si="111"/>
        <v>831375101</v>
      </c>
      <c r="C887" t="str">
        <f t="shared" si="112"/>
        <v>TOULON-Serv.Historique Marine</v>
      </c>
      <c r="D887" t="str">
        <f t="shared" si="113"/>
        <v>43.124228</v>
      </c>
      <c r="E887" t="str">
        <f t="shared" si="114"/>
        <v>5.928</v>
      </c>
      <c r="F887" t="str">
        <f t="shared" si="115"/>
        <v>Brassey's naval  [Texte imprimé]</v>
      </c>
      <c r="G887" t="str">
        <f t="shared" si="116"/>
        <v>Brassey's naval</v>
      </c>
      <c r="H887" t="e">
        <f t="shared" si="117"/>
        <v>#VALUE!</v>
      </c>
      <c r="I887" t="str">
        <f t="shared" si="118"/>
        <v>(1886) - (1892) ; (1894) - (1899) ; (1901) - (1914)</v>
      </c>
    </row>
    <row r="888" spans="1:9" x14ac:dyDescent="0.25">
      <c r="A888" t="str">
        <f>"038466406"</f>
        <v>038466406</v>
      </c>
      <c r="B888" t="str">
        <f t="shared" si="111"/>
        <v>061525404</v>
      </c>
      <c r="C888" t="str">
        <f t="shared" si="112"/>
        <v>SOPHIA/ANT.-Thales Und. Systems</v>
      </c>
      <c r="D888" t="e">
        <f t="shared" si="113"/>
        <v>#VALUE!</v>
      </c>
      <c r="E888" t="e">
        <f t="shared" si="114"/>
        <v>#VALUE!</v>
      </c>
      <c r="F888" t="str">
        <f t="shared" si="115"/>
        <v>Connection technology  [Texte imprimé]</v>
      </c>
      <c r="G888" t="str">
        <f t="shared" si="116"/>
        <v>Connection technology</v>
      </c>
      <c r="H888" t="str">
        <f t="shared" si="117"/>
        <v>8756-4076</v>
      </c>
      <c r="I888" t="str">
        <f t="shared" si="118"/>
        <v>(1986) - (1991)</v>
      </c>
    </row>
    <row r="889" spans="1:9" x14ac:dyDescent="0.25">
      <c r="A889" t="str">
        <f>"039096335"</f>
        <v>039096335</v>
      </c>
      <c r="B889" t="str">
        <f t="shared" si="111"/>
        <v>060885101</v>
      </c>
      <c r="C889" t="str">
        <f t="shared" si="112"/>
        <v>NICE-Archives Municipales</v>
      </c>
      <c r="D889" t="str">
        <f t="shared" si="113"/>
        <v>43.68774699999999</v>
      </c>
      <c r="E889" t="str">
        <f t="shared" si="114"/>
        <v>7.235200000000001</v>
      </c>
      <c r="F889" t="str">
        <f t="shared" si="115"/>
        <v>La Feniera  [Texte imprimé]</v>
      </c>
      <c r="G889" t="str">
        <f t="shared" si="116"/>
        <v>La Feniera</v>
      </c>
      <c r="H889" t="str">
        <f t="shared" si="117"/>
        <v>2017-2354</v>
      </c>
      <c r="I889" t="str">
        <f t="shared" si="118"/>
        <v>vol. 1 no. 1 (1883) - vol. 1  no. 6  (1883) [lac.n°4]</v>
      </c>
    </row>
    <row r="890" spans="1:9" x14ac:dyDescent="0.25">
      <c r="A890" t="str">
        <f>"161407757"</f>
        <v>161407757</v>
      </c>
      <c r="B890" t="str">
        <f t="shared" si="111"/>
        <v>060886101</v>
      </c>
      <c r="C890" t="str">
        <f t="shared" si="112"/>
        <v>NICE- BMVR Louis Nucéra</v>
      </c>
      <c r="D890" t="str">
        <f t="shared" si="113"/>
        <v>43.7015650</v>
      </c>
      <c r="E890" t="str">
        <f t="shared" si="114"/>
        <v>7.2786247</v>
      </c>
      <c r="F890" t="str">
        <f t="shared" si="115"/>
        <v>Revue Lou can  [Texte imprimé]</v>
      </c>
      <c r="G890" t="str">
        <f t="shared" si="116"/>
        <v>Revue Lou can</v>
      </c>
      <c r="H890" t="str">
        <f t="shared" si="117"/>
        <v>2259-3705</v>
      </c>
      <c r="I890" t="str">
        <f t="shared" si="118"/>
        <v>no. 1 (2012) - no. 5  (2015)</v>
      </c>
    </row>
    <row r="891" spans="1:9" x14ac:dyDescent="0.25">
      <c r="A891" t="str">
        <f>"036215988"</f>
        <v>036215988</v>
      </c>
      <c r="B891" t="str">
        <f t="shared" si="111"/>
        <v>991385301</v>
      </c>
      <c r="C891" t="str">
        <f t="shared" si="112"/>
        <v>MONACO-Musée Océanographique</v>
      </c>
      <c r="D891" t="str">
        <f t="shared" si="113"/>
        <v>43.7310033</v>
      </c>
      <c r="E891" t="str">
        <f t="shared" si="114"/>
        <v>7.425491600000001</v>
      </c>
      <c r="F891" t="str">
        <f t="shared" si="115"/>
        <v>Chart. Lake series.</v>
      </c>
      <c r="G891" t="str">
        <f t="shared" si="116"/>
        <v>Chart. Lake series.</v>
      </c>
      <c r="H891" t="e">
        <f t="shared" si="117"/>
        <v>#VALUE!</v>
      </c>
      <c r="I891" t="str">
        <f t="shared" si="118"/>
        <v>(1972)-....</v>
      </c>
    </row>
    <row r="892" spans="1:9" x14ac:dyDescent="0.25">
      <c r="A892" t="str">
        <f>"039403971"</f>
        <v>039403971</v>
      </c>
      <c r="B892" t="str">
        <f t="shared" si="111"/>
        <v>991385201</v>
      </c>
      <c r="C892" t="str">
        <f t="shared" si="112"/>
        <v>MONACO-Jardin exotique</v>
      </c>
      <c r="D892" t="str">
        <f t="shared" si="113"/>
        <v>43.7310908</v>
      </c>
      <c r="E892" t="str">
        <f t="shared" si="114"/>
        <v>7.410747499999999</v>
      </c>
      <c r="F892" t="str">
        <f t="shared" si="115"/>
        <v>Ashingtonia  [Texte imprimé]</v>
      </c>
      <c r="G892" t="str">
        <f t="shared" si="116"/>
        <v>Ashingtonia</v>
      </c>
      <c r="H892" t="str">
        <f t="shared" si="117"/>
        <v>0309-1120</v>
      </c>
      <c r="I892" t="str">
        <f t="shared" si="118"/>
        <v>(1973) - (1979)</v>
      </c>
    </row>
    <row r="893" spans="1:9" x14ac:dyDescent="0.25">
      <c r="A893" t="str">
        <f>"039410080"</f>
        <v>039410080</v>
      </c>
      <c r="B893" t="str">
        <f t="shared" si="111"/>
        <v>061525404</v>
      </c>
      <c r="C893" t="str">
        <f t="shared" si="112"/>
        <v>SOPHIA/ANT.-Thales Und. Systems</v>
      </c>
      <c r="D893" t="e">
        <f t="shared" si="113"/>
        <v>#VALUE!</v>
      </c>
      <c r="E893" t="e">
        <f t="shared" si="114"/>
        <v>#VALUE!</v>
      </c>
      <c r="F893" t="str">
        <f t="shared" si="115"/>
        <v>CIPS computer magazine  [Texte imprimé]</v>
      </c>
      <c r="G893" t="str">
        <f t="shared" si="116"/>
        <v>CIPS computer magazine</v>
      </c>
      <c r="H893" t="str">
        <f t="shared" si="117"/>
        <v>0315-1247</v>
      </c>
      <c r="I893" t="str">
        <f t="shared" si="118"/>
        <v>(1967)-....</v>
      </c>
    </row>
    <row r="894" spans="1:9" x14ac:dyDescent="0.25">
      <c r="A894" t="str">
        <f>"039805417"</f>
        <v>039805417</v>
      </c>
      <c r="B894" t="str">
        <f t="shared" si="111"/>
        <v>991385301</v>
      </c>
      <c r="C894" t="str">
        <f t="shared" si="112"/>
        <v>MONACO-Musée Océanographique</v>
      </c>
      <c r="D894" t="str">
        <f t="shared" si="113"/>
        <v>43.7310033</v>
      </c>
      <c r="E894" t="str">
        <f t="shared" si="114"/>
        <v>7.425491600000001</v>
      </c>
      <c r="F894" t="str">
        <f t="shared" si="115"/>
        <v>Out of the shell  [Texte imprimé]</v>
      </c>
      <c r="G894" t="str">
        <f t="shared" si="116"/>
        <v>Out of the shell</v>
      </c>
      <c r="H894" t="str">
        <f t="shared" si="117"/>
        <v>0847-3005</v>
      </c>
      <c r="I894" t="str">
        <f t="shared" si="118"/>
        <v>vol. 1 no. 1 (1989)-....</v>
      </c>
    </row>
    <row r="895" spans="1:9" x14ac:dyDescent="0.25">
      <c r="A895" t="str">
        <f>"103174354"</f>
        <v>103174354</v>
      </c>
      <c r="B895" t="str">
        <f t="shared" si="111"/>
        <v>060884001</v>
      </c>
      <c r="C895" t="str">
        <f t="shared" si="112"/>
        <v>NICE-Lycée hôtelier P.Augier</v>
      </c>
      <c r="D895" t="str">
        <f t="shared" si="113"/>
        <v>43.668306</v>
      </c>
      <c r="E895" t="str">
        <f t="shared" si="114"/>
        <v>7.21230</v>
      </c>
      <c r="F895" t="str">
        <f t="shared" si="115"/>
        <v>Plaisirs Gastronomie  [Texte imprimé]</v>
      </c>
      <c r="G895" t="str">
        <f t="shared" si="116"/>
        <v>Plaisirs Gastronomie</v>
      </c>
      <c r="H895" t="e">
        <f t="shared" si="117"/>
        <v>#VALUE!</v>
      </c>
      <c r="I895" t="str">
        <f t="shared" si="118"/>
        <v>no. 224 (1997)-.... [Lacunes]</v>
      </c>
    </row>
    <row r="896" spans="1:9" x14ac:dyDescent="0.25">
      <c r="A896" t="str">
        <f>"037836498"</f>
        <v>037836498</v>
      </c>
      <c r="B896" t="str">
        <f t="shared" si="111"/>
        <v>991385301</v>
      </c>
      <c r="C896" t="str">
        <f t="shared" si="112"/>
        <v>MONACO-Musée Océanographique</v>
      </c>
      <c r="D896" t="str">
        <f t="shared" si="113"/>
        <v>43.7310033</v>
      </c>
      <c r="E896" t="str">
        <f t="shared" si="114"/>
        <v>7.425491600000001</v>
      </c>
      <c r="F896" t="str">
        <f t="shared" si="115"/>
        <v>Survey of foreign fisheries, translated tables of contents, and new translations  [Texte imprimé]</v>
      </c>
      <c r="G896" t="str">
        <f t="shared" si="116"/>
        <v>Survey of foreign fisheries, translated tables of contents, and new translations</v>
      </c>
      <c r="H896" t="str">
        <f t="shared" si="117"/>
        <v>0898-5863</v>
      </c>
      <c r="I896" t="str">
        <f t="shared" si="118"/>
        <v>no. 1 (1987)-....</v>
      </c>
    </row>
    <row r="897" spans="1:9" x14ac:dyDescent="0.25">
      <c r="A897" t="str">
        <f>"039023311"</f>
        <v>039023311</v>
      </c>
      <c r="B897" t="str">
        <f t="shared" si="111"/>
        <v>831376201</v>
      </c>
      <c r="C897" t="str">
        <f t="shared" si="112"/>
        <v>TOULON-BM</v>
      </c>
      <c r="D897" t="str">
        <f t="shared" si="113"/>
        <v>43.0823215</v>
      </c>
      <c r="E897" t="str">
        <f t="shared" si="114"/>
        <v>5.920052699999999</v>
      </c>
      <c r="F897" t="str">
        <f t="shared" si="115"/>
        <v>Toulon Charité  [Texte imprimé]</v>
      </c>
      <c r="G897" t="str">
        <f t="shared" si="116"/>
        <v>Toulon Charité</v>
      </c>
      <c r="H897" t="str">
        <f t="shared" si="117"/>
        <v>2018-2589</v>
      </c>
      <c r="I897" t="str">
        <f t="shared" si="118"/>
        <v>(dec-1884)</v>
      </c>
    </row>
    <row r="898" spans="1:9" x14ac:dyDescent="0.25">
      <c r="A898" t="str">
        <f>"036287148"</f>
        <v>036287148</v>
      </c>
      <c r="B898" t="str">
        <f t="shared" si="111"/>
        <v>991385301</v>
      </c>
      <c r="C898" t="str">
        <f t="shared" si="112"/>
        <v>MONACO-Musée Océanographique</v>
      </c>
      <c r="D898" t="str">
        <f t="shared" si="113"/>
        <v>43.7310033</v>
      </c>
      <c r="E898" t="str">
        <f t="shared" si="114"/>
        <v>7.425491600000001</v>
      </c>
      <c r="F898" t="str">
        <f t="shared" si="115"/>
        <v>Industrial fishery products situation and outlook  [Texte imprimé]</v>
      </c>
      <c r="G898" t="str">
        <f t="shared" si="116"/>
        <v>Industrial fishery products situation and outlook</v>
      </c>
      <c r="H898" t="e">
        <f t="shared" si="117"/>
        <v>#VALUE!</v>
      </c>
      <c r="I898" t="str">
        <f t="shared" si="118"/>
        <v>(1969) - (1973)</v>
      </c>
    </row>
    <row r="899" spans="1:9" x14ac:dyDescent="0.25">
      <c r="A899" t="str">
        <f>"037778188"</f>
        <v>037778188</v>
      </c>
      <c r="B899" t="str">
        <f t="shared" ref="B899:B962" si="119">TEXT(_xlfn.FILTERXML(_xlfn.WEBSERVICE("http://www.sudoc.fr/services/multiwhere/"&amp;A899),"//query/result/library/rcr"),"000000000")</f>
        <v>991385301</v>
      </c>
      <c r="C899" t="str">
        <f t="shared" si="112"/>
        <v>MONACO-Musée Océanographique</v>
      </c>
      <c r="D899" t="str">
        <f t="shared" si="113"/>
        <v>43.7310033</v>
      </c>
      <c r="E899" t="str">
        <f t="shared" si="114"/>
        <v>7.425491600000001</v>
      </c>
      <c r="F899" t="str">
        <f t="shared" si="115"/>
        <v>Crustacean nutrition news  [Texte imprimé]</v>
      </c>
      <c r="G899" t="str">
        <f t="shared" si="116"/>
        <v>Crustacean nutrition news</v>
      </c>
      <c r="H899" t="str">
        <f t="shared" si="117"/>
        <v>0846-8656</v>
      </c>
      <c r="I899" t="str">
        <f t="shared" si="118"/>
        <v>vol. 1 no. 1 (1983)</v>
      </c>
    </row>
    <row r="900" spans="1:9" x14ac:dyDescent="0.25">
      <c r="A900" t="str">
        <f>"037797271"</f>
        <v>037797271</v>
      </c>
      <c r="B900" t="str">
        <f t="shared" si="119"/>
        <v>991385201</v>
      </c>
      <c r="C900" t="str">
        <f t="shared" si="112"/>
        <v>MONACO-Jardin exotique</v>
      </c>
      <c r="D900" t="str">
        <f t="shared" si="113"/>
        <v>43.7310908</v>
      </c>
      <c r="E900" t="str">
        <f t="shared" si="114"/>
        <v>7.410747499999999</v>
      </c>
      <c r="F900" t="str">
        <f t="shared" si="115"/>
        <v>Literaturschau Kakteen  [Texte imprimé]</v>
      </c>
      <c r="G900" t="str">
        <f t="shared" si="116"/>
        <v>Literaturschau Kakteen</v>
      </c>
      <c r="H900" t="str">
        <f t="shared" si="117"/>
        <v>0863-078X</v>
      </c>
      <c r="I900" t="str">
        <f t="shared" si="118"/>
        <v>vol. 1 no. 1 (1977) - (1982)</v>
      </c>
    </row>
    <row r="901" spans="1:9" x14ac:dyDescent="0.25">
      <c r="A901" t="str">
        <f>"038689421"</f>
        <v>038689421</v>
      </c>
      <c r="B901" t="str">
        <f t="shared" si="119"/>
        <v>060885102</v>
      </c>
      <c r="C901" t="str">
        <f t="shared" si="112"/>
        <v>NICE-Archives Départementales</v>
      </c>
      <c r="D901" t="str">
        <f t="shared" si="113"/>
        <v>43.6877482</v>
      </c>
      <c r="E901" t="str">
        <f t="shared" si="114"/>
        <v>7.2113605</v>
      </c>
      <c r="F901" t="str">
        <f t="shared" si="115"/>
        <v>Actualités de la quinzaine  [Texte imprimé]  / Chambre de commerce et d'industrie de Nice et des Alpes-Maritimes</v>
      </c>
      <c r="G901" t="str">
        <f t="shared" si="116"/>
        <v>Actualités de la quinzaine</v>
      </c>
      <c r="H901" t="str">
        <f t="shared" si="117"/>
        <v>1166-990X</v>
      </c>
      <c r="I901" t="str">
        <f t="shared" si="118"/>
        <v>(1974) - (1991)</v>
      </c>
    </row>
    <row r="902" spans="1:9" x14ac:dyDescent="0.25">
      <c r="A902" t="str">
        <f>"03848482X"</f>
        <v>03848482X</v>
      </c>
      <c r="B902" t="str">
        <f t="shared" si="119"/>
        <v>991385301</v>
      </c>
      <c r="C902" t="str">
        <f t="shared" si="112"/>
        <v>MONACO-Musée Océanographique</v>
      </c>
      <c r="D902" t="str">
        <f t="shared" si="113"/>
        <v>43.7310033</v>
      </c>
      <c r="E902" t="str">
        <f t="shared" si="114"/>
        <v>7.425491600000001</v>
      </c>
      <c r="F902" t="str">
        <f t="shared" si="115"/>
        <v>Psammonalia  [Texte imprimé]  : newsletter of the international association of meiobenthologists</v>
      </c>
      <c r="G902" t="str">
        <f t="shared" si="116"/>
        <v>Psammonalia</v>
      </c>
      <c r="H902" t="e">
        <f t="shared" si="117"/>
        <v>#VALUE!</v>
      </c>
      <c r="I902" t="str">
        <f t="shared" si="118"/>
        <v>no. 24 (1974)-....</v>
      </c>
    </row>
    <row r="903" spans="1:9" x14ac:dyDescent="0.25">
      <c r="A903" t="str">
        <f>"075997630"</f>
        <v>075997630</v>
      </c>
      <c r="B903" t="str">
        <f t="shared" si="119"/>
        <v>991385201</v>
      </c>
      <c r="C903" t="str">
        <f t="shared" si="112"/>
        <v>MONACO-Jardin exotique</v>
      </c>
      <c r="D903" t="str">
        <f t="shared" si="113"/>
        <v>43.7310908</v>
      </c>
      <c r="E903" t="str">
        <f t="shared" si="114"/>
        <v>7.410747499999999</v>
      </c>
      <c r="F903" t="str">
        <f t="shared" si="115"/>
        <v>Csili  [Texte imprimé]  / Kaktuszkedvelö szakkör tàjèkoztatòja</v>
      </c>
      <c r="G903" t="str">
        <f t="shared" si="116"/>
        <v>Csili</v>
      </c>
      <c r="H903" t="str">
        <f t="shared" si="117"/>
        <v>0201-0933</v>
      </c>
      <c r="I903" t="str">
        <f t="shared" si="118"/>
        <v>no. 2 (1973) - no. 2  (1976) ; no. 1 (1977) - no. 1  (1980) ; no. 3 (1980) ; no. 2 (1981) - no. 3  (1981) ; no. 1 (1983) ; no. 1 (1984) - no. 3  (1984) ; no. 1 (1985)</v>
      </c>
    </row>
    <row r="904" spans="1:9" x14ac:dyDescent="0.25">
      <c r="A904" t="str">
        <f>"036424412"</f>
        <v>036424412</v>
      </c>
      <c r="B904" t="str">
        <f t="shared" si="119"/>
        <v>991385301</v>
      </c>
      <c r="C904" t="str">
        <f t="shared" si="112"/>
        <v>MONACO-Musée Océanographique</v>
      </c>
      <c r="D904" t="str">
        <f t="shared" si="113"/>
        <v>43.7310033</v>
      </c>
      <c r="E904" t="str">
        <f t="shared" si="114"/>
        <v>7.425491600000001</v>
      </c>
      <c r="F904" t="str">
        <f t="shared" si="115"/>
        <v>Shellfish situation and outlook  [Texte imprimé]</v>
      </c>
      <c r="G904" t="str">
        <f t="shared" si="116"/>
        <v>Shellfish situation and outlook</v>
      </c>
      <c r="H904" t="e">
        <f t="shared" si="117"/>
        <v>#VALUE!</v>
      </c>
      <c r="I904" t="str">
        <f t="shared" si="118"/>
        <v>(1970) - (1973)</v>
      </c>
    </row>
    <row r="905" spans="1:9" x14ac:dyDescent="0.25">
      <c r="A905" t="str">
        <f>"036642037"</f>
        <v>036642037</v>
      </c>
      <c r="B905" t="str">
        <f t="shared" si="119"/>
        <v>991385301</v>
      </c>
      <c r="C905" t="str">
        <f t="shared" si="112"/>
        <v>MONACO-Musée Océanographique</v>
      </c>
      <c r="D905" t="str">
        <f t="shared" si="113"/>
        <v>43.7310033</v>
      </c>
      <c r="E905" t="str">
        <f t="shared" si="114"/>
        <v>7.425491600000001</v>
      </c>
      <c r="F905" t="str">
        <f t="shared" si="115"/>
        <v>Food fish market review and outlook  [Texte imprimé]</v>
      </c>
      <c r="G905" t="str">
        <f t="shared" si="116"/>
        <v>Food fish market review and outlook</v>
      </c>
      <c r="H905" t="str">
        <f t="shared" si="117"/>
        <v>0091-8105</v>
      </c>
      <c r="I905" t="str">
        <f t="shared" si="118"/>
        <v>(1973) - (1974)</v>
      </c>
    </row>
    <row r="906" spans="1:9" x14ac:dyDescent="0.25">
      <c r="A906" t="str">
        <f>"037127721"</f>
        <v>037127721</v>
      </c>
      <c r="B906" t="str">
        <f t="shared" si="119"/>
        <v>991386201</v>
      </c>
      <c r="C906" t="str">
        <f t="shared" si="112"/>
        <v>MONACO-Bibl.Louis Notari</v>
      </c>
      <c r="D906" t="str">
        <f t="shared" si="113"/>
        <v>43.7351319</v>
      </c>
      <c r="E906" t="str">
        <f t="shared" si="114"/>
        <v>7.420563100000001</v>
      </c>
      <c r="F906" t="str">
        <f t="shared" si="115"/>
        <v>Journal des 12 de la cote d'azur  [Texte imprimé]</v>
      </c>
      <c r="G906" t="str">
        <f t="shared" si="116"/>
        <v>Journal des 12 de la cote d'azur</v>
      </c>
      <c r="H906" t="e">
        <f t="shared" si="117"/>
        <v>#VALUE!</v>
      </c>
      <c r="I906" t="str">
        <f t="shared" si="118"/>
        <v>(1939) - (1944)</v>
      </c>
    </row>
    <row r="907" spans="1:9" x14ac:dyDescent="0.25">
      <c r="A907" t="str">
        <f>"038712482"</f>
        <v>038712482</v>
      </c>
      <c r="B907" t="str">
        <f t="shared" si="119"/>
        <v>831376201</v>
      </c>
      <c r="C907" t="str">
        <f t="shared" si="112"/>
        <v>TOULON-BM</v>
      </c>
      <c r="D907" t="str">
        <f t="shared" si="113"/>
        <v>43.0823215</v>
      </c>
      <c r="E907" t="str">
        <f t="shared" si="114"/>
        <v>5.920052699999999</v>
      </c>
      <c r="F907" t="str">
        <f t="shared" si="115"/>
        <v>Sortie libre  [Texte imprimé]</v>
      </c>
      <c r="G907" t="str">
        <f t="shared" si="116"/>
        <v>Sortie libre</v>
      </c>
      <c r="H907" t="str">
        <f t="shared" si="117"/>
        <v>1169-9035</v>
      </c>
      <c r="I907" t="str">
        <f t="shared" si="118"/>
        <v>no. 1 (1982) - no. 12  (1983)</v>
      </c>
    </row>
    <row r="908" spans="1:9" x14ac:dyDescent="0.25">
      <c r="A908" t="str">
        <f>"040080463"</f>
        <v>040080463</v>
      </c>
      <c r="B908" t="str">
        <f t="shared" si="119"/>
        <v>061525404</v>
      </c>
      <c r="C908" t="str">
        <f t="shared" si="112"/>
        <v>SOPHIA/ANT.-Thales Und. Systems</v>
      </c>
      <c r="D908" t="e">
        <f t="shared" si="113"/>
        <v>#VALUE!</v>
      </c>
      <c r="E908" t="e">
        <f t="shared" si="114"/>
        <v>#VALUE!</v>
      </c>
      <c r="F908" t="str">
        <f t="shared" si="115"/>
        <v>Countertrade &amp; barter  [Texte imprimé]</v>
      </c>
      <c r="G908" t="str">
        <f t="shared" si="116"/>
        <v>Countertrade &amp; barter</v>
      </c>
      <c r="H908" t="str">
        <f t="shared" si="117"/>
        <v>0951-7588</v>
      </c>
      <c r="I908" t="str">
        <f t="shared" si="118"/>
        <v>(1987) - (1989)</v>
      </c>
    </row>
    <row r="909" spans="1:9" x14ac:dyDescent="0.25">
      <c r="A909" t="str">
        <f>"039313794"</f>
        <v>039313794</v>
      </c>
      <c r="B909" t="str">
        <f t="shared" si="119"/>
        <v>991385301</v>
      </c>
      <c r="C909" t="str">
        <f t="shared" si="112"/>
        <v>MONACO-Musée Océanographique</v>
      </c>
      <c r="D909" t="str">
        <f t="shared" si="113"/>
        <v>43.7310033</v>
      </c>
      <c r="E909" t="str">
        <f t="shared" si="114"/>
        <v>7.425491600000001</v>
      </c>
      <c r="F909" t="str">
        <f t="shared" si="115"/>
        <v>Practical fishkeeping  [Texte imprimé]</v>
      </c>
      <c r="G909" t="str">
        <f t="shared" si="116"/>
        <v>Practical fishkeeping</v>
      </c>
      <c r="H909" t="str">
        <f t="shared" si="117"/>
        <v>0262-5806</v>
      </c>
      <c r="I909" t="str">
        <f t="shared" si="118"/>
        <v>(jan-1984) ; (mai-1984)-....</v>
      </c>
    </row>
    <row r="910" spans="1:9" x14ac:dyDescent="0.25">
      <c r="A910" t="str">
        <f>"039567834"</f>
        <v>039567834</v>
      </c>
      <c r="B910" t="str">
        <f t="shared" si="119"/>
        <v>060886101</v>
      </c>
      <c r="C910" t="str">
        <f t="shared" si="112"/>
        <v>NICE- BMVR Louis Nucéra</v>
      </c>
      <c r="D910" t="str">
        <f t="shared" si="113"/>
        <v>43.7015650</v>
      </c>
      <c r="E910" t="str">
        <f t="shared" si="114"/>
        <v>7.2786247</v>
      </c>
      <c r="F910" t="str">
        <f t="shared" si="115"/>
        <v>Livre canadien  [Texte imprimé]</v>
      </c>
      <c r="G910" t="str">
        <f t="shared" si="116"/>
        <v>Livre canadien</v>
      </c>
      <c r="H910" t="str">
        <f t="shared" si="117"/>
        <v>0381-7776</v>
      </c>
      <c r="I910" t="str">
        <f t="shared" si="118"/>
        <v>vol. 6 (1975) - vol. 7  (1976)</v>
      </c>
    </row>
    <row r="911" spans="1:9" x14ac:dyDescent="0.25">
      <c r="A911" t="str">
        <f>"040236234"</f>
        <v>040236234</v>
      </c>
      <c r="B911" t="str">
        <f t="shared" si="119"/>
        <v>991385201</v>
      </c>
      <c r="C911" t="str">
        <f t="shared" si="112"/>
        <v>MONACO-Jardin exotique</v>
      </c>
      <c r="D911" t="str">
        <f t="shared" si="113"/>
        <v>43.7310908</v>
      </c>
      <c r="E911" t="str">
        <f t="shared" si="114"/>
        <v>7.410747499999999</v>
      </c>
      <c r="F911" t="str">
        <f t="shared" si="115"/>
        <v>Ballya  [Texte imprimé]</v>
      </c>
      <c r="G911" t="str">
        <f t="shared" si="116"/>
        <v>Ballya</v>
      </c>
      <c r="H911" t="str">
        <f t="shared" si="117"/>
        <v>1029-2713</v>
      </c>
      <c r="I911" t="str">
        <f t="shared" si="118"/>
        <v>vol. 1 no. 1 (1993) - vol. 5  no. 3  (1998)</v>
      </c>
    </row>
    <row r="912" spans="1:9" x14ac:dyDescent="0.25">
      <c r="A912" t="str">
        <f>"040277860"</f>
        <v>040277860</v>
      </c>
      <c r="B912" t="str">
        <f t="shared" si="119"/>
        <v>991385301</v>
      </c>
      <c r="C912" t="str">
        <f t="shared" si="112"/>
        <v>MONACO-Musée Océanographique</v>
      </c>
      <c r="D912" t="str">
        <f t="shared" si="113"/>
        <v>43.7310033</v>
      </c>
      <c r="E912" t="str">
        <f t="shared" si="114"/>
        <v>7.425491600000001</v>
      </c>
      <c r="F912" t="e">
        <f t="shared" si="115"/>
        <v>#VALUE!</v>
      </c>
      <c r="G912" t="str">
        <f t="shared" si="116"/>
        <v>National Undersea Research Program research report</v>
      </c>
      <c r="H912" t="str">
        <f t="shared" si="117"/>
        <v>1054-240X</v>
      </c>
      <c r="I912" t="str">
        <f t="shared" si="118"/>
        <v>no. 88 (1988)-....</v>
      </c>
    </row>
    <row r="913" spans="1:9" x14ac:dyDescent="0.25">
      <c r="A913" t="str">
        <f>"040277739"</f>
        <v>040277739</v>
      </c>
      <c r="B913" t="str">
        <f t="shared" si="119"/>
        <v>991385301</v>
      </c>
      <c r="C913" t="str">
        <f t="shared" si="112"/>
        <v>MONACO-Musée Océanographique</v>
      </c>
      <c r="D913" t="str">
        <f t="shared" si="113"/>
        <v>43.7310033</v>
      </c>
      <c r="E913" t="str">
        <f t="shared" si="114"/>
        <v>7.425491600000001</v>
      </c>
      <c r="F913" t="e">
        <f t="shared" si="115"/>
        <v>#VALUE!</v>
      </c>
      <c r="G913" t="str">
        <f t="shared" si="116"/>
        <v>National Undersea Research Program technical report</v>
      </c>
      <c r="H913" t="str">
        <f t="shared" si="117"/>
        <v>1054-2078</v>
      </c>
      <c r="I913" t="str">
        <f t="shared" si="118"/>
        <v>[n.88/1A-]</v>
      </c>
    </row>
    <row r="914" spans="1:9" x14ac:dyDescent="0.25">
      <c r="A914" t="str">
        <f>"037459155"</f>
        <v>037459155</v>
      </c>
      <c r="B914" t="str">
        <f t="shared" si="119"/>
        <v>991385201</v>
      </c>
      <c r="C914" t="str">
        <f t="shared" si="112"/>
        <v>MONACO-Jardin exotique</v>
      </c>
      <c r="D914" t="str">
        <f t="shared" si="113"/>
        <v>43.7310908</v>
      </c>
      <c r="E914" t="str">
        <f t="shared" si="114"/>
        <v>7.410747499999999</v>
      </c>
      <c r="F914" t="str">
        <f t="shared" si="115"/>
        <v>CSIE. Cactus and succulent information exchange  [Texte imprimé]</v>
      </c>
      <c r="G914" t="str">
        <f t="shared" si="116"/>
        <v>CSIE. Cactus and succulent information exchange</v>
      </c>
      <c r="H914" t="str">
        <f t="shared" si="117"/>
        <v>0380-1764</v>
      </c>
      <c r="I914" t="str">
        <f t="shared" si="118"/>
        <v>vol. 10 no. 9 (1977) - vol. 12  no. 2  (1979) ; vol. 12 no. 4 (1979) - vol. 17  no. 9  (1984) ; vol. 18 no. 3 (1985) - vol. 18  no. 7  (1986)</v>
      </c>
    </row>
    <row r="915" spans="1:9" x14ac:dyDescent="0.25">
      <c r="A915" t="str">
        <f>"039698475"</f>
        <v>039698475</v>
      </c>
      <c r="B915" t="str">
        <f t="shared" si="119"/>
        <v>991385201</v>
      </c>
      <c r="C915" t="str">
        <f t="shared" si="112"/>
        <v>MONACO-Jardin exotique</v>
      </c>
      <c r="D915" t="str">
        <f t="shared" si="113"/>
        <v>43.7310908</v>
      </c>
      <c r="E915" t="str">
        <f t="shared" si="114"/>
        <v>7.410747499999999</v>
      </c>
      <c r="F915" t="str">
        <f t="shared" si="115"/>
        <v>Agave  [Texte imprimé]</v>
      </c>
      <c r="G915" t="str">
        <f t="shared" si="116"/>
        <v>Agave</v>
      </c>
      <c r="H915" t="str">
        <f t="shared" si="117"/>
        <v>0735-8652</v>
      </c>
      <c r="I915" t="str">
        <f t="shared" si="118"/>
        <v>vol. 1 no. 1 (1983) - vol. 3  no. 4  (1990)</v>
      </c>
    </row>
    <row r="916" spans="1:9" x14ac:dyDescent="0.25">
      <c r="A916" t="str">
        <f>"040086593"</f>
        <v>040086593</v>
      </c>
      <c r="B916" t="str">
        <f t="shared" si="119"/>
        <v>991385201</v>
      </c>
      <c r="C916" t="str">
        <f t="shared" si="112"/>
        <v>MONACO-Jardin exotique</v>
      </c>
      <c r="D916" t="str">
        <f t="shared" si="113"/>
        <v>43.7310908</v>
      </c>
      <c r="E916" t="str">
        <f t="shared" si="114"/>
        <v>7.410747499999999</v>
      </c>
      <c r="F916" t="str">
        <f t="shared" si="115"/>
        <v>Mesemb Study Group bulletin  [Texte imprimé]</v>
      </c>
      <c r="G916" t="str">
        <f t="shared" si="116"/>
        <v>Mesemb Study Group bulletin</v>
      </c>
      <c r="H916" t="str">
        <f t="shared" si="117"/>
        <v>0955-8276</v>
      </c>
      <c r="I916" t="str">
        <f t="shared" si="118"/>
        <v>vol. 4 no. 1 (1989)-....</v>
      </c>
    </row>
    <row r="917" spans="1:9" x14ac:dyDescent="0.25">
      <c r="A917" t="str">
        <f>"136210732"</f>
        <v>136210732</v>
      </c>
      <c r="B917" t="str">
        <f t="shared" si="119"/>
        <v>060845301</v>
      </c>
      <c r="C917" t="str">
        <f t="shared" si="112"/>
        <v>MOUANS SARTOUX-CRD Occitane</v>
      </c>
      <c r="D917" t="str">
        <f t="shared" si="113"/>
        <v>43.6188186</v>
      </c>
      <c r="E917" t="str">
        <f t="shared" si="114"/>
        <v>6.972011600000001</v>
      </c>
      <c r="F917" t="str">
        <f t="shared" si="115"/>
        <v>L'Aurore  : journal littéraire bi-mensuel</v>
      </c>
      <c r="G917" t="str">
        <f t="shared" si="116"/>
        <v>L'Aurore</v>
      </c>
      <c r="H917" t="str">
        <f t="shared" si="117"/>
        <v>2121-1337</v>
      </c>
      <c r="I917" t="str">
        <f t="shared" si="118"/>
        <v>no. 1 (1886)</v>
      </c>
    </row>
    <row r="918" spans="1:9" x14ac:dyDescent="0.25">
      <c r="A918" t="str">
        <f>"187259399"</f>
        <v>187259399</v>
      </c>
      <c r="B918" t="str">
        <f t="shared" si="119"/>
        <v>060696201</v>
      </c>
      <c r="C918" t="str">
        <f t="shared" si="112"/>
        <v>GRASSE-Villa St Hilaire</v>
      </c>
      <c r="D918" t="str">
        <f t="shared" si="113"/>
        <v>43.65711599999999</v>
      </c>
      <c r="E918" t="str">
        <f t="shared" si="114"/>
        <v>6.9183745</v>
      </c>
      <c r="F918" t="str">
        <f t="shared" si="115"/>
        <v>Le Réveil de Grasse  [Ressource électronique]</v>
      </c>
      <c r="G918" t="str">
        <f t="shared" si="116"/>
        <v>Le Réveil de Grasse</v>
      </c>
      <c r="H918" t="str">
        <f t="shared" si="117"/>
        <v>2462-036X</v>
      </c>
      <c r="I918" t="str">
        <f t="shared" si="118"/>
        <v>no. 5 (30-jan-1932) - no. 5  (4-fev-1939) [Lacunaire]</v>
      </c>
    </row>
    <row r="919" spans="1:9" x14ac:dyDescent="0.25">
      <c r="A919" t="str">
        <f>"040319563"</f>
        <v>040319563</v>
      </c>
      <c r="B919" t="str">
        <f t="shared" si="119"/>
        <v>991385201</v>
      </c>
      <c r="C919" t="str">
        <f t="shared" si="112"/>
        <v>MONACO-Jardin exotique</v>
      </c>
      <c r="D919" t="str">
        <f t="shared" si="113"/>
        <v>43.7310908</v>
      </c>
      <c r="E919" t="str">
        <f t="shared" si="114"/>
        <v>7.410747499999999</v>
      </c>
      <c r="F919" t="str">
        <f t="shared" si="115"/>
        <v>The Sonoran quarterly  [Texte imprimé]</v>
      </c>
      <c r="G919" t="str">
        <f t="shared" si="116"/>
        <v>The Sonoran quarterly</v>
      </c>
      <c r="H919" t="str">
        <f t="shared" si="117"/>
        <v>1075-1386</v>
      </c>
      <c r="I919" t="str">
        <f t="shared" si="118"/>
        <v>vol. 45 no. 1 (1991) - vol. 53  no. 1  (1999) ; vol. 53 no. 3 (1999) - vol. 57  no. 1  (2003) ; vol. 57 no. 3 (2003)-....</v>
      </c>
    </row>
    <row r="920" spans="1:9" x14ac:dyDescent="0.25">
      <c r="A920" t="str">
        <f>"038255049"</f>
        <v>038255049</v>
      </c>
      <c r="B920" t="str">
        <f t="shared" si="119"/>
        <v>991385201</v>
      </c>
      <c r="C920" t="str">
        <f t="shared" si="112"/>
        <v>MONACO-Jardin exotique</v>
      </c>
      <c r="D920" t="str">
        <f t="shared" si="113"/>
        <v>43.7310908</v>
      </c>
      <c r="E920" t="str">
        <f t="shared" si="114"/>
        <v>7.410747499999999</v>
      </c>
      <c r="F920" t="str">
        <f t="shared" si="115"/>
        <v>Calandrinia  [Texte imprimé]</v>
      </c>
      <c r="G920" t="str">
        <f t="shared" si="116"/>
        <v>Calandrinia</v>
      </c>
      <c r="H920" t="str">
        <f t="shared" si="117"/>
        <v>1321-6252</v>
      </c>
      <c r="I920" t="str">
        <f t="shared" si="118"/>
        <v>no. 1 (1980) - no. 2  (1982)</v>
      </c>
    </row>
    <row r="921" spans="1:9" x14ac:dyDescent="0.25">
      <c r="A921" t="str">
        <f>"040262618"</f>
        <v>040262618</v>
      </c>
      <c r="B921" t="str">
        <f t="shared" si="119"/>
        <v>061525404</v>
      </c>
      <c r="C921" t="str">
        <f t="shared" ref="C921:C984" si="120">_xlfn.FILTERXML(_xlfn.WEBSERVICE("http://www.sudoc.fr/services/multiwhere/"&amp;A921),"//query/result/library/shortname")</f>
        <v>SOPHIA/ANT.-Thales Und. Systems</v>
      </c>
      <c r="D921" t="e">
        <f t="shared" ref="D921:D984" si="121">_xlfn.FILTERXML(_xlfn.WEBSERVICE("http://www.sudoc.fr/services/multiwhere/"&amp;A921),"//query/result/library/latitude")</f>
        <v>#VALUE!</v>
      </c>
      <c r="E921" t="e">
        <f t="shared" ref="E921:E984" si="122">_xlfn.FILTERXML(_xlfn.WEBSERVICE("http://www.sudoc.fr/services/multiwhere/"&amp;A921),"//query/result/library/longitude")</f>
        <v>#VALUE!</v>
      </c>
      <c r="F921" t="str">
        <f t="shared" ref="F921:F984" si="123">_xlfn.FILTERXML(_xlfn.WEBSERVICE("http://www.sudoc.fr/"&amp;A921&amp;".rdf"),"//bibo:Periodical/dc:title")</f>
        <v>Defense marketing international  [Texte imprimé]</v>
      </c>
      <c r="G921" t="str">
        <f t="shared" ref="G921:G984" si="124">_xlfn.FILTERXML(_xlfn.WEBSERVICE("http://www.sudoc.fr/"&amp;A921&amp;".abes"),"//datafield[@tag='200']/subfield[@code='a']")</f>
        <v>Defense marketing international</v>
      </c>
      <c r="H921" t="str">
        <f t="shared" ref="H921:H984" si="125">_xlfn.FILTERXML(_xlfn.WEBSERVICE("http://www.sudoc.fr/"&amp;A921&amp;".abes"),"//datafield[@tag='011']/subfield[@code='a']")</f>
        <v>1044-3975</v>
      </c>
      <c r="I921" t="str">
        <f t="shared" ref="I921:I984" si="126">_xlfn.FILTERXML(_xlfn.WEBSERVICE("http://www.sudoc.fr/"&amp;A921&amp;".abes"),"//datafield[@tag='955']/subfield[@code='r']")</f>
        <v>(1989)-....</v>
      </c>
    </row>
    <row r="922" spans="1:9" x14ac:dyDescent="0.25">
      <c r="A922" t="str">
        <f>"055787738"</f>
        <v>055787738</v>
      </c>
      <c r="B922" t="str">
        <f t="shared" si="119"/>
        <v>831375101</v>
      </c>
      <c r="C922" t="str">
        <f t="shared" si="120"/>
        <v>TOULON-Serv.Historique Marine</v>
      </c>
      <c r="D922" t="str">
        <f t="shared" si="121"/>
        <v>43.124228</v>
      </c>
      <c r="E922" t="str">
        <f t="shared" si="122"/>
        <v>5.928</v>
      </c>
      <c r="F922" t="str">
        <f t="shared" si="123"/>
        <v>Le Var libre  [Texte imprimé]  : Organe des mouvements et partis de la Résistance</v>
      </c>
      <c r="G922" t="str">
        <f t="shared" si="124"/>
        <v>Le Var libre</v>
      </c>
      <c r="H922" t="str">
        <f t="shared" si="125"/>
        <v>2021-1554</v>
      </c>
      <c r="I922" t="str">
        <f t="shared" si="126"/>
        <v>no. 2 (1944) - no. 51  (1944) [lac.]</v>
      </c>
    </row>
    <row r="923" spans="1:9" x14ac:dyDescent="0.25">
      <c r="A923" t="str">
        <f>"036316962"</f>
        <v>036316962</v>
      </c>
      <c r="B923" t="str">
        <f t="shared" si="119"/>
        <v>991385301</v>
      </c>
      <c r="C923" t="str">
        <f t="shared" si="120"/>
        <v>MONACO-Musée Océanographique</v>
      </c>
      <c r="D923" t="str">
        <f t="shared" si="121"/>
        <v>43.7310033</v>
      </c>
      <c r="E923" t="str">
        <f t="shared" si="122"/>
        <v>7.425491600000001</v>
      </c>
      <c r="F923" t="str">
        <f t="shared" si="123"/>
        <v>Laboratorio per lo studio della dinamica delle grandi masse. Rapporto tecnico.</v>
      </c>
      <c r="G923" t="str">
        <f t="shared" si="124"/>
        <v>Laboratorio per lo studio della dinamica delle grandi masse. Rapporto tecnico.</v>
      </c>
      <c r="H923" t="e">
        <f t="shared" si="125"/>
        <v>#VALUE!</v>
      </c>
      <c r="I923" t="str">
        <f t="shared" si="126"/>
        <v>(1969)-....</v>
      </c>
    </row>
    <row r="924" spans="1:9" x14ac:dyDescent="0.25">
      <c r="A924" t="str">
        <f>"037948814"</f>
        <v>037948814</v>
      </c>
      <c r="B924" t="str">
        <f t="shared" si="119"/>
        <v>991386201</v>
      </c>
      <c r="C924" t="str">
        <f t="shared" si="120"/>
        <v>MONACO-Bibl.Louis Notari</v>
      </c>
      <c r="D924" t="str">
        <f t="shared" si="121"/>
        <v>43.7351319</v>
      </c>
      <c r="E924" t="str">
        <f t="shared" si="122"/>
        <v>7.420563100000001</v>
      </c>
      <c r="F924" t="str">
        <f t="shared" si="123"/>
        <v>L'Essor monégasque  [Texte imprimé]</v>
      </c>
      <c r="G924" t="str">
        <f t="shared" si="124"/>
        <v>L'Essor monégasque</v>
      </c>
      <c r="H924" t="str">
        <f t="shared" si="125"/>
        <v>1010-8688</v>
      </c>
      <c r="I924" t="str">
        <f t="shared" si="126"/>
        <v>(nov-1944) - (fev-1947) ; (mai-1947) - (sep-1947)</v>
      </c>
    </row>
    <row r="925" spans="1:9" x14ac:dyDescent="0.25">
      <c r="A925" t="str">
        <f>"039757099"</f>
        <v>039757099</v>
      </c>
      <c r="B925" t="str">
        <f t="shared" si="119"/>
        <v>991385301</v>
      </c>
      <c r="C925" t="str">
        <f t="shared" si="120"/>
        <v>MONACO-Musée Océanographique</v>
      </c>
      <c r="D925" t="str">
        <f t="shared" si="121"/>
        <v>43.7310033</v>
      </c>
      <c r="E925" t="str">
        <f t="shared" si="122"/>
        <v>7.425491600000001</v>
      </c>
      <c r="F925" t="str">
        <f t="shared" si="123"/>
        <v>Revista uruguaya de cardiología  [Texte imprimé]</v>
      </c>
      <c r="G925" t="str">
        <f t="shared" si="124"/>
        <v>Revista uruguaya de cardiología</v>
      </c>
      <c r="H925" t="str">
        <f t="shared" si="125"/>
        <v>0797-0048</v>
      </c>
      <c r="I925" t="str">
        <f t="shared" si="126"/>
        <v>vol. 1 (1986)-....</v>
      </c>
    </row>
    <row r="926" spans="1:9" x14ac:dyDescent="0.25">
      <c r="A926" t="str">
        <f>"03641929X"</f>
        <v>03641929X</v>
      </c>
      <c r="B926" t="str">
        <f t="shared" si="119"/>
        <v>991385301</v>
      </c>
      <c r="C926" t="str">
        <f t="shared" si="120"/>
        <v>MONACO-Musée Océanographique</v>
      </c>
      <c r="D926" t="str">
        <f t="shared" si="121"/>
        <v>43.7310033</v>
      </c>
      <c r="E926" t="str">
        <f t="shared" si="122"/>
        <v>7.425491600000001</v>
      </c>
      <c r="F926" t="str">
        <f t="shared" si="123"/>
        <v>Sea grant information leaflet  [Texte imprimé]</v>
      </c>
      <c r="G926" t="str">
        <f t="shared" si="124"/>
        <v>Sea grant information leaflet</v>
      </c>
      <c r="H926" t="e">
        <f t="shared" si="125"/>
        <v>#VALUE!</v>
      </c>
      <c r="I926" t="str">
        <f t="shared" si="126"/>
        <v>(1970)-....</v>
      </c>
    </row>
    <row r="927" spans="1:9" x14ac:dyDescent="0.25">
      <c r="A927" t="str">
        <f>"038049562"</f>
        <v>038049562</v>
      </c>
      <c r="B927" t="str">
        <f t="shared" si="119"/>
        <v>991385301</v>
      </c>
      <c r="C927" t="str">
        <f t="shared" si="120"/>
        <v>MONACO-Musée Océanographique</v>
      </c>
      <c r="D927" t="str">
        <f t="shared" si="121"/>
        <v>43.7310033</v>
      </c>
      <c r="E927" t="str">
        <f t="shared" si="122"/>
        <v>7.425491600000001</v>
      </c>
      <c r="F927" t="e">
        <f t="shared" si="123"/>
        <v>#VALUE!</v>
      </c>
      <c r="G927" t="str">
        <f t="shared" si="124"/>
        <v>Publication</v>
      </c>
      <c r="H927" t="str">
        <f t="shared" si="125"/>
        <v>1068-2864</v>
      </c>
      <c r="I927" t="str">
        <f t="shared" si="126"/>
        <v>no. 2 (1957) - no. 3  (1958)</v>
      </c>
    </row>
    <row r="928" spans="1:9" x14ac:dyDescent="0.25">
      <c r="A928" t="str">
        <f>"039065790"</f>
        <v>039065790</v>
      </c>
      <c r="B928" t="str">
        <f t="shared" si="119"/>
        <v>831376201</v>
      </c>
      <c r="C928" t="str">
        <f t="shared" si="120"/>
        <v>TOULON-BM</v>
      </c>
      <c r="D928" t="str">
        <f t="shared" si="121"/>
        <v>43.0823215</v>
      </c>
      <c r="E928" t="str">
        <f t="shared" si="122"/>
        <v>5.920052699999999</v>
      </c>
      <c r="F928" t="str">
        <f t="shared" si="123"/>
        <v>La Tribune Toulonnaise  [Texte imprimé]</v>
      </c>
      <c r="G928" t="str">
        <f t="shared" si="124"/>
        <v>La Tribune Toulonnaise</v>
      </c>
      <c r="H928" t="str">
        <f t="shared" si="125"/>
        <v>2018-6525</v>
      </c>
      <c r="I928" t="str">
        <f t="shared" si="126"/>
        <v>no. 1 (1913)</v>
      </c>
    </row>
    <row r="929" spans="1:9" x14ac:dyDescent="0.25">
      <c r="A929" t="str">
        <f>"113613350"</f>
        <v>113613350</v>
      </c>
      <c r="B929" t="str">
        <f t="shared" si="119"/>
        <v>060882303</v>
      </c>
      <c r="C929" t="str">
        <f t="shared" si="120"/>
        <v>NICE-Museum Hist.Naturelle</v>
      </c>
      <c r="D929" t="str">
        <f t="shared" si="121"/>
        <v>43.7017477</v>
      </c>
      <c r="E929" t="str">
        <f t="shared" si="122"/>
        <v>7.279483399999999</v>
      </c>
      <c r="F929" t="str">
        <f t="shared" si="123"/>
        <v>Entomologisches Nachrichtenblatt  [Texte imprimé]</v>
      </c>
      <c r="G929" t="str">
        <f t="shared" si="124"/>
        <v>Entomologisches Nachrichtenblatt</v>
      </c>
      <c r="H929" t="str">
        <f t="shared" si="125"/>
        <v>1025-4870</v>
      </c>
      <c r="I929" t="str">
        <f t="shared" si="126"/>
        <v>vol. 46 (1994) - vol. 57  (2005)</v>
      </c>
    </row>
    <row r="930" spans="1:9" x14ac:dyDescent="0.25">
      <c r="A930" t="str">
        <f>"036610445"</f>
        <v>036610445</v>
      </c>
      <c r="B930" t="str">
        <f t="shared" si="119"/>
        <v>991385301</v>
      </c>
      <c r="C930" t="str">
        <f t="shared" si="120"/>
        <v>MONACO-Musée Océanographique</v>
      </c>
      <c r="D930" t="str">
        <f t="shared" si="121"/>
        <v>43.7310033</v>
      </c>
      <c r="E930" t="str">
        <f t="shared" si="122"/>
        <v>7.425491600000001</v>
      </c>
      <c r="F930" t="e">
        <f t="shared" si="123"/>
        <v>#VALUE!</v>
      </c>
      <c r="G930" t="str">
        <f t="shared" si="124"/>
        <v>Technical report</v>
      </c>
      <c r="H930" t="str">
        <f t="shared" si="125"/>
        <v>0072-6737</v>
      </c>
      <c r="I930" t="e">
        <f t="shared" si="126"/>
        <v>#VALUE!</v>
      </c>
    </row>
    <row r="931" spans="1:9" x14ac:dyDescent="0.25">
      <c r="A931" t="str">
        <f>"036917850"</f>
        <v>036917850</v>
      </c>
      <c r="B931" t="str">
        <f t="shared" si="119"/>
        <v>061525404</v>
      </c>
      <c r="C931" t="str">
        <f t="shared" si="120"/>
        <v>SOPHIA/ANT.-Thales Und. Systems</v>
      </c>
      <c r="D931" t="e">
        <f t="shared" si="121"/>
        <v>#VALUE!</v>
      </c>
      <c r="E931" t="e">
        <f t="shared" si="122"/>
        <v>#VALUE!</v>
      </c>
      <c r="F931" t="str">
        <f t="shared" si="123"/>
        <v>Jane's defence review  [Texte imprimé]</v>
      </c>
      <c r="G931" t="str">
        <f t="shared" si="124"/>
        <v>Jane's defence review</v>
      </c>
      <c r="H931" t="str">
        <f t="shared" si="125"/>
        <v>0144-0470</v>
      </c>
      <c r="I931">
        <f t="shared" si="126"/>
        <v>-1983</v>
      </c>
    </row>
    <row r="932" spans="1:9" x14ac:dyDescent="0.25">
      <c r="A932" t="str">
        <f>"038137607"</f>
        <v>038137607</v>
      </c>
      <c r="B932" t="str">
        <f t="shared" si="119"/>
        <v>991385301</v>
      </c>
      <c r="C932" t="str">
        <f t="shared" si="120"/>
        <v>MONACO-Musée Océanographique</v>
      </c>
      <c r="D932" t="str">
        <f t="shared" si="121"/>
        <v>43.7310033</v>
      </c>
      <c r="E932" t="str">
        <f t="shared" si="122"/>
        <v>7.425491600000001</v>
      </c>
      <c r="F932" t="str">
        <f t="shared" si="123"/>
        <v>Subacmas  [Texte imprimé]</v>
      </c>
      <c r="G932" t="str">
        <f t="shared" si="124"/>
        <v>Subacmas</v>
      </c>
      <c r="H932" t="str">
        <f t="shared" si="125"/>
        <v>1148-1072</v>
      </c>
      <c r="I932" t="str">
        <f t="shared" si="126"/>
        <v>no. 1 (1991) - no. 2  (1991)</v>
      </c>
    </row>
    <row r="933" spans="1:9" x14ac:dyDescent="0.25">
      <c r="A933" t="str">
        <f>"187480834"</f>
        <v>187480834</v>
      </c>
      <c r="B933" t="str">
        <f t="shared" si="119"/>
        <v>060886101</v>
      </c>
      <c r="C933" t="str">
        <f t="shared" si="120"/>
        <v>NICE- BMVR Louis Nucéra</v>
      </c>
      <c r="D933" t="str">
        <f t="shared" si="121"/>
        <v>43.7015650</v>
      </c>
      <c r="E933" t="str">
        <f t="shared" si="122"/>
        <v>7.2786247</v>
      </c>
      <c r="F933" t="str">
        <f t="shared" si="123"/>
        <v>L'Arte Muta  : rassegna della vita cinematografica</v>
      </c>
      <c r="G933" t="str">
        <f t="shared" si="124"/>
        <v>L'Arte Muta</v>
      </c>
      <c r="H933" t="str">
        <f t="shared" si="125"/>
        <v>2421-7492</v>
      </c>
      <c r="I933" t="str">
        <f t="shared" si="126"/>
        <v>no. 1 (15-jun-1916) - no. 9  (30-sep-1917)</v>
      </c>
    </row>
    <row r="934" spans="1:9" x14ac:dyDescent="0.25">
      <c r="A934" t="str">
        <f>"044693257"</f>
        <v>044693257</v>
      </c>
      <c r="B934" t="str">
        <f t="shared" si="119"/>
        <v>060185201</v>
      </c>
      <c r="C934" t="str">
        <f t="shared" si="120"/>
        <v>SOPHIA ANTIPOLIS-ANSES</v>
      </c>
      <c r="D934" t="str">
        <f t="shared" si="121"/>
        <v>46.0007702</v>
      </c>
      <c r="E934" t="str">
        <f t="shared" si="122"/>
        <v>6.2518531</v>
      </c>
      <c r="F934" t="str">
        <f t="shared" si="123"/>
        <v>Australasian beekeeper  [Texte imprimé]</v>
      </c>
      <c r="G934" t="str">
        <f t="shared" si="124"/>
        <v>Australasian beekeeper</v>
      </c>
      <c r="H934" t="str">
        <f t="shared" si="125"/>
        <v>0004-8313</v>
      </c>
      <c r="I934" t="str">
        <f t="shared" si="126"/>
        <v>vol. 97 no. 7 (1996) - (2002)</v>
      </c>
    </row>
    <row r="935" spans="1:9" x14ac:dyDescent="0.25">
      <c r="A935" t="str">
        <f>"192976095"</f>
        <v>192976095</v>
      </c>
      <c r="B935" t="str">
        <f t="shared" si="119"/>
        <v>991385203</v>
      </c>
      <c r="C935" t="str">
        <f t="shared" si="120"/>
        <v>MONACO-ES d'Arts Plastiques</v>
      </c>
      <c r="D935" t="str">
        <f t="shared" si="121"/>
        <v>43.7320022</v>
      </c>
      <c r="E935" t="str">
        <f t="shared" si="122"/>
        <v>7.426917999999999</v>
      </c>
      <c r="F935" t="str">
        <f t="shared" si="123"/>
        <v>Kaléidoscope Asia</v>
      </c>
      <c r="G935" t="str">
        <f t="shared" si="124"/>
        <v>Kaléidoscope Asia</v>
      </c>
      <c r="H935" t="e">
        <f t="shared" si="125"/>
        <v>#VALUE!</v>
      </c>
      <c r="I935" t="str">
        <f t="shared" si="126"/>
        <v>no. 2 (2015)-....</v>
      </c>
    </row>
    <row r="936" spans="1:9" x14ac:dyDescent="0.25">
      <c r="A936" t="str">
        <f>"036352764"</f>
        <v>036352764</v>
      </c>
      <c r="B936" t="str">
        <f t="shared" si="119"/>
        <v>991385301</v>
      </c>
      <c r="C936" t="str">
        <f t="shared" si="120"/>
        <v>MONACO-Musée Océanographique</v>
      </c>
      <c r="D936" t="str">
        <f t="shared" si="121"/>
        <v>43.7310033</v>
      </c>
      <c r="E936" t="str">
        <f t="shared" si="122"/>
        <v>7.425491600000001</v>
      </c>
      <c r="F936" t="str">
        <f t="shared" si="123"/>
        <v>National academy of sciences. Membership</v>
      </c>
      <c r="G936" t="str">
        <f t="shared" si="124"/>
        <v>National academy of sciences. Membership</v>
      </c>
      <c r="H936" t="e">
        <f t="shared" si="125"/>
        <v>#VALUE!</v>
      </c>
      <c r="I936" t="e">
        <f t="shared" si="126"/>
        <v>#VALUE!</v>
      </c>
    </row>
    <row r="937" spans="1:9" x14ac:dyDescent="0.25">
      <c r="A937" t="str">
        <f>"036420212"</f>
        <v>036420212</v>
      </c>
      <c r="B937" t="str">
        <f t="shared" si="119"/>
        <v>991385301</v>
      </c>
      <c r="C937" t="str">
        <f t="shared" si="120"/>
        <v>MONACO-Musée Océanographique</v>
      </c>
      <c r="D937" t="str">
        <f t="shared" si="121"/>
        <v>43.7310033</v>
      </c>
      <c r="E937" t="str">
        <f t="shared" si="122"/>
        <v>7.425491600000001</v>
      </c>
      <c r="F937" t="str">
        <f t="shared" si="123"/>
        <v>Selected United States Government publications  [Texte imprimé]</v>
      </c>
      <c r="G937" t="str">
        <f t="shared" si="124"/>
        <v>Selected United States Government publications</v>
      </c>
      <c r="H937" t="str">
        <f t="shared" si="125"/>
        <v>0566-8549</v>
      </c>
      <c r="I937" t="str">
        <f t="shared" si="126"/>
        <v>(1972)-....</v>
      </c>
    </row>
    <row r="938" spans="1:9" x14ac:dyDescent="0.25">
      <c r="A938" t="str">
        <f>"037215663"</f>
        <v>037215663</v>
      </c>
      <c r="B938" t="str">
        <f t="shared" si="119"/>
        <v>061525404</v>
      </c>
      <c r="C938" t="str">
        <f t="shared" si="120"/>
        <v>SOPHIA/ANT.-Thales Und. Systems</v>
      </c>
      <c r="D938" t="e">
        <f t="shared" si="121"/>
        <v>#VALUE!</v>
      </c>
      <c r="E938" t="e">
        <f t="shared" si="122"/>
        <v>#VALUE!</v>
      </c>
      <c r="F938" t="str">
        <f t="shared" si="123"/>
        <v>Defence attachĐe  [Texte imprimé]</v>
      </c>
      <c r="G938" t="str">
        <f t="shared" si="124"/>
        <v>Defence attachĐe</v>
      </c>
      <c r="H938" t="str">
        <f t="shared" si="125"/>
        <v>0265-7910</v>
      </c>
      <c r="I938" t="str">
        <f t="shared" si="126"/>
        <v>(1984) - (1988)</v>
      </c>
    </row>
    <row r="939" spans="1:9" x14ac:dyDescent="0.25">
      <c r="A939" t="str">
        <f>"03898895X"</f>
        <v>03898895X</v>
      </c>
      <c r="B939" t="str">
        <f t="shared" si="119"/>
        <v>060696201</v>
      </c>
      <c r="C939" t="str">
        <f t="shared" si="120"/>
        <v>GRASSE-Villa St Hilaire</v>
      </c>
      <c r="D939" t="str">
        <f t="shared" si="121"/>
        <v>43.65711599999999</v>
      </c>
      <c r="E939" t="str">
        <f t="shared" si="122"/>
        <v>6.9183745</v>
      </c>
      <c r="F939" t="str">
        <f t="shared" si="123"/>
        <v>Bulletin trimestriel  [Texte imprimé]  / Collectionneurs d'emballages  cigarettes, cigares et tabacs</v>
      </c>
      <c r="G939" t="str">
        <f t="shared" si="124"/>
        <v>Bulletin trimestriel</v>
      </c>
      <c r="H939" t="e">
        <f t="shared" si="125"/>
        <v>#VALUE!</v>
      </c>
      <c r="I939" t="str">
        <f t="shared" si="126"/>
        <v>(jan-1960) - (jul-1965)</v>
      </c>
    </row>
    <row r="940" spans="1:9" x14ac:dyDescent="0.25">
      <c r="A940" t="str">
        <f>"038988976"</f>
        <v>038988976</v>
      </c>
      <c r="B940" t="str">
        <f t="shared" si="119"/>
        <v>060696201</v>
      </c>
      <c r="C940" t="str">
        <f t="shared" si="120"/>
        <v>GRASSE-Villa St Hilaire</v>
      </c>
      <c r="D940" t="str">
        <f t="shared" si="121"/>
        <v>43.65711599999999</v>
      </c>
      <c r="E940" t="str">
        <f t="shared" si="122"/>
        <v>6.9183745</v>
      </c>
      <c r="F940" t="str">
        <f t="shared" si="123"/>
        <v>Bulletin de St Jacques et St Antoine  [Texte imprimé]</v>
      </c>
      <c r="G940" t="str">
        <f t="shared" si="124"/>
        <v>Bulletin de St Jacques et St Antoine</v>
      </c>
      <c r="H940" t="str">
        <f t="shared" si="125"/>
        <v>2023-5836</v>
      </c>
      <c r="I940" t="str">
        <f t="shared" si="126"/>
        <v>(mar-1955) - (avr-1958)</v>
      </c>
    </row>
    <row r="941" spans="1:9" x14ac:dyDescent="0.25">
      <c r="A941" t="str">
        <f>"036471232"</f>
        <v>036471232</v>
      </c>
      <c r="B941" t="str">
        <f t="shared" si="119"/>
        <v>060886101</v>
      </c>
      <c r="C941" t="str">
        <f t="shared" si="120"/>
        <v>NICE- BMVR Louis Nucéra</v>
      </c>
      <c r="D941" t="str">
        <f t="shared" si="121"/>
        <v>43.7015650</v>
      </c>
      <c r="E941" t="str">
        <f t="shared" si="122"/>
        <v>7.2786247</v>
      </c>
      <c r="F941" t="str">
        <f t="shared" si="123"/>
        <v>University of Kentucky library  [Texte imprimé]  : Bulletin</v>
      </c>
      <c r="G941" t="str">
        <f t="shared" si="124"/>
        <v>University of Kentucky library</v>
      </c>
      <c r="H941" t="e">
        <f t="shared" si="125"/>
        <v>#VALUE!</v>
      </c>
      <c r="I941" t="str">
        <f t="shared" si="126"/>
        <v>(1952) - (1955)</v>
      </c>
    </row>
    <row r="942" spans="1:9" x14ac:dyDescent="0.25">
      <c r="A942" t="str">
        <f>"038888440"</f>
        <v>038888440</v>
      </c>
      <c r="B942" t="str">
        <f t="shared" si="119"/>
        <v>991385201</v>
      </c>
      <c r="C942" t="str">
        <f t="shared" si="120"/>
        <v>MONACO-Jardin exotique</v>
      </c>
      <c r="D942" t="str">
        <f t="shared" si="121"/>
        <v>43.7310908</v>
      </c>
      <c r="E942" t="str">
        <f t="shared" si="122"/>
        <v>7.410747499999999</v>
      </c>
      <c r="F942" t="str">
        <f t="shared" si="123"/>
        <v>Bromeliads  [Texte imprimé]</v>
      </c>
      <c r="G942" t="str">
        <f t="shared" si="124"/>
        <v>Bromeliads</v>
      </c>
      <c r="H942" t="str">
        <f t="shared" si="125"/>
        <v>0084-8107</v>
      </c>
      <c r="I942" t="str">
        <f t="shared" si="126"/>
        <v>vol. 2 no. 8 (1970) - no. 71  (1987)</v>
      </c>
    </row>
    <row r="943" spans="1:9" x14ac:dyDescent="0.25">
      <c r="A943" t="str">
        <f>"050932926"</f>
        <v>050932926</v>
      </c>
      <c r="B943" t="str">
        <f t="shared" si="119"/>
        <v>060886101</v>
      </c>
      <c r="C943" t="str">
        <f t="shared" si="120"/>
        <v>NICE- BMVR Louis Nucéra</v>
      </c>
      <c r="D943" t="str">
        <f t="shared" si="121"/>
        <v>43.7015650</v>
      </c>
      <c r="E943" t="str">
        <f t="shared" si="122"/>
        <v>7.2786247</v>
      </c>
      <c r="F943" t="str">
        <f t="shared" si="123"/>
        <v>Contact  [Texte imprimé]</v>
      </c>
      <c r="G943" t="str">
        <f t="shared" si="124"/>
        <v>Contact</v>
      </c>
      <c r="H943" t="str">
        <f t="shared" si="125"/>
        <v>0319-7379</v>
      </c>
      <c r="I943" t="str">
        <f t="shared" si="126"/>
        <v>no. 1 (1972) - no. 27  (1974) [lac.20%]</v>
      </c>
    </row>
    <row r="944" spans="1:9" x14ac:dyDescent="0.25">
      <c r="A944" t="str">
        <f>"03761634X"</f>
        <v>03761634X</v>
      </c>
      <c r="B944" t="str">
        <f t="shared" si="119"/>
        <v>061525404</v>
      </c>
      <c r="C944" t="str">
        <f t="shared" si="120"/>
        <v>SOPHIA/ANT.-Thales Und. Systems</v>
      </c>
      <c r="D944" t="e">
        <f t="shared" si="121"/>
        <v>#VALUE!</v>
      </c>
      <c r="E944" t="e">
        <f t="shared" si="122"/>
        <v>#VALUE!</v>
      </c>
      <c r="F944" t="str">
        <f t="shared" si="123"/>
        <v>Auszüge aus den europäischen Patentschriften  [Texte imprimé]</v>
      </c>
      <c r="G944" t="str">
        <f t="shared" si="124"/>
        <v>Auszüge aus den europäischen Patentschriften</v>
      </c>
      <c r="H944" t="str">
        <f t="shared" si="125"/>
        <v>0720-9339</v>
      </c>
      <c r="I944" t="str">
        <f t="shared" si="126"/>
        <v>(1985)-.... [lac.5%]</v>
      </c>
    </row>
    <row r="945" spans="1:9" x14ac:dyDescent="0.25">
      <c r="A945" t="str">
        <f>"038792729"</f>
        <v>038792729</v>
      </c>
      <c r="B945" t="str">
        <f t="shared" si="119"/>
        <v>060692301</v>
      </c>
      <c r="C945" t="str">
        <f t="shared" si="120"/>
        <v>GRASSE-Musée Art/Hist Provence</v>
      </c>
      <c r="D945" t="str">
        <f t="shared" si="121"/>
        <v>43.65761759999999</v>
      </c>
      <c r="E945" t="str">
        <f t="shared" si="122"/>
        <v>6.9224541</v>
      </c>
      <c r="F945" t="str">
        <f t="shared" si="123"/>
        <v>Bulletin de la Société scientifique et littéraire de Cannes et de l'arrondissement de Grasse  [Texte imprimé]</v>
      </c>
      <c r="G945" t="str">
        <f t="shared" si="124"/>
        <v>Bulletin de la Société scientifique et littéraire de Cannes et de l'arrondissement de Grasse</v>
      </c>
      <c r="H945" t="str">
        <f t="shared" si="125"/>
        <v>1250-713X</v>
      </c>
      <c r="I945" t="str">
        <f t="shared" si="126"/>
        <v>no. 3 (1958)</v>
      </c>
    </row>
    <row r="946" spans="1:9" x14ac:dyDescent="0.25">
      <c r="A946" t="str">
        <f>"04002055X"</f>
        <v>04002055X</v>
      </c>
      <c r="B946" t="str">
        <f t="shared" si="119"/>
        <v>991385301</v>
      </c>
      <c r="C946" t="str">
        <f t="shared" si="120"/>
        <v>MONACO-Musée Océanographique</v>
      </c>
      <c r="D946" t="str">
        <f t="shared" si="121"/>
        <v>43.7310033</v>
      </c>
      <c r="E946" t="str">
        <f t="shared" si="122"/>
        <v>7.425491600000001</v>
      </c>
      <c r="F946" t="str">
        <f t="shared" si="123"/>
        <v>Kaichū kōen jōhō  [Texte imprimé]</v>
      </c>
      <c r="G946" t="str">
        <f t="shared" si="124"/>
        <v>Kaichū kōen jōhō</v>
      </c>
      <c r="H946" t="str">
        <f t="shared" si="125"/>
        <v>0910-4496</v>
      </c>
      <c r="I946" t="str">
        <f t="shared" si="126"/>
        <v>(1968) - no. 34  (1974) ; no. 37 (1976)-....</v>
      </c>
    </row>
    <row r="947" spans="1:9" x14ac:dyDescent="0.25">
      <c r="A947" t="str">
        <f>"037388487"</f>
        <v>037388487</v>
      </c>
      <c r="B947" t="str">
        <f t="shared" si="119"/>
        <v>991385301</v>
      </c>
      <c r="C947" t="str">
        <f t="shared" si="120"/>
        <v>MONACO-Musée Océanographique</v>
      </c>
      <c r="D947" t="str">
        <f t="shared" si="121"/>
        <v>43.7310033</v>
      </c>
      <c r="E947" t="str">
        <f t="shared" si="122"/>
        <v>7.425491600000001</v>
      </c>
      <c r="F947" t="str">
        <f t="shared" si="123"/>
        <v>Rapporti e studi  [Texte imprimé]  / Commissione di studio dei provvedimenti per la conservazione e difesa della laguna e della città di Venezia</v>
      </c>
      <c r="G947" t="str">
        <f t="shared" si="124"/>
        <v>Rapporti e studi</v>
      </c>
      <c r="H947" t="e">
        <f t="shared" si="125"/>
        <v>#VALUE!</v>
      </c>
      <c r="I947" t="str">
        <f t="shared" si="126"/>
        <v>vol. 1 (1961)-....</v>
      </c>
    </row>
    <row r="948" spans="1:9" x14ac:dyDescent="0.25">
      <c r="A948" t="str">
        <f>"037388452"</f>
        <v>037388452</v>
      </c>
      <c r="B948" t="str">
        <f t="shared" si="119"/>
        <v>991385301</v>
      </c>
      <c r="C948" t="str">
        <f t="shared" si="120"/>
        <v>MONACO-Musée Océanographique</v>
      </c>
      <c r="D948" t="str">
        <f t="shared" si="121"/>
        <v>43.7310033</v>
      </c>
      <c r="E948" t="str">
        <f t="shared" si="122"/>
        <v>7.425491600000001</v>
      </c>
      <c r="F948" t="str">
        <f t="shared" si="123"/>
        <v>Hydrozoan Zoologist Association Newsletter  [Texte imprimé]</v>
      </c>
      <c r="G948" t="str">
        <f t="shared" si="124"/>
        <v>Hydrozoan Zoologist Association Newsletter</v>
      </c>
      <c r="H948" t="e">
        <f t="shared" si="125"/>
        <v>#VALUE!</v>
      </c>
      <c r="I948" t="str">
        <f t="shared" si="126"/>
        <v>no. 1 (1987)-....</v>
      </c>
    </row>
    <row r="949" spans="1:9" x14ac:dyDescent="0.25">
      <c r="A949" t="str">
        <f>"037393561"</f>
        <v>037393561</v>
      </c>
      <c r="B949" t="str">
        <f t="shared" si="119"/>
        <v>991385301</v>
      </c>
      <c r="C949" t="str">
        <f t="shared" si="120"/>
        <v>MONACO-Musée Océanographique</v>
      </c>
      <c r="D949" t="str">
        <f t="shared" si="121"/>
        <v>43.7310033</v>
      </c>
      <c r="E949" t="str">
        <f t="shared" si="122"/>
        <v>7.425491600000001</v>
      </c>
      <c r="F949" t="str">
        <f t="shared" si="123"/>
        <v>Documenta  [Texte imprimé]  / Servicio de bibliotecas y medios audiovisuales, Universidad de Antofagasta</v>
      </c>
      <c r="G949" t="str">
        <f t="shared" si="124"/>
        <v>Documenta</v>
      </c>
      <c r="H949" t="e">
        <f t="shared" si="125"/>
        <v>#VALUE!</v>
      </c>
      <c r="I949" t="str">
        <f t="shared" si="126"/>
        <v>no. 7 (1986)-....</v>
      </c>
    </row>
    <row r="950" spans="1:9" x14ac:dyDescent="0.25">
      <c r="A950" t="str">
        <f>"038597632"</f>
        <v>038597632</v>
      </c>
      <c r="B950" t="str">
        <f t="shared" si="119"/>
        <v>831376201</v>
      </c>
      <c r="C950" t="str">
        <f t="shared" si="120"/>
        <v>TOULON-BM</v>
      </c>
      <c r="D950" t="str">
        <f t="shared" si="121"/>
        <v>43.0823215</v>
      </c>
      <c r="E950" t="str">
        <f t="shared" si="122"/>
        <v>5.920052699999999</v>
      </c>
      <c r="F950" t="str">
        <f t="shared" si="123"/>
        <v>Les Chiffres clés de l'économie varoise  [Texte imprimé]</v>
      </c>
      <c r="G950" t="str">
        <f t="shared" si="124"/>
        <v>Les Chiffres clés de l'économie varoise</v>
      </c>
      <c r="H950" t="str">
        <f t="shared" si="125"/>
        <v>1155-0163</v>
      </c>
      <c r="I950">
        <f t="shared" si="126"/>
        <v>-1973</v>
      </c>
    </row>
    <row r="951" spans="1:9" x14ac:dyDescent="0.25">
      <c r="A951" t="str">
        <f>"039052400"</f>
        <v>039052400</v>
      </c>
      <c r="B951" t="str">
        <f t="shared" si="119"/>
        <v>831376201</v>
      </c>
      <c r="C951" t="str">
        <f t="shared" si="120"/>
        <v>TOULON-BM</v>
      </c>
      <c r="D951" t="str">
        <f t="shared" si="121"/>
        <v>43.0823215</v>
      </c>
      <c r="E951" t="str">
        <f t="shared" si="122"/>
        <v>5.920052699999999</v>
      </c>
      <c r="F951" t="str">
        <f t="shared" si="123"/>
        <v>La Voix du peuple du midi  [Texte imprimé]</v>
      </c>
      <c r="G951" t="str">
        <f t="shared" si="124"/>
        <v>La Voix du peuple du midi</v>
      </c>
      <c r="H951" t="str">
        <f t="shared" si="125"/>
        <v>2018-6398</v>
      </c>
      <c r="I951" t="str">
        <f t="shared" si="126"/>
        <v>no. 87 (1891) - no. 110  (1891) ; no. 213 (1893) ; no. 267 (1897) ; no. 270 (1898) - no. 272  (1898) [lac.80%]</v>
      </c>
    </row>
    <row r="952" spans="1:9" x14ac:dyDescent="0.25">
      <c r="A952" t="str">
        <f>"036926779"</f>
        <v>036926779</v>
      </c>
      <c r="B952" t="str">
        <f t="shared" si="119"/>
        <v>061525404</v>
      </c>
      <c r="C952" t="str">
        <f t="shared" si="120"/>
        <v>SOPHIA/ANT.-Thales Und. Systems</v>
      </c>
      <c r="D952" t="e">
        <f t="shared" si="121"/>
        <v>#VALUE!</v>
      </c>
      <c r="E952" t="e">
        <f t="shared" si="122"/>
        <v>#VALUE!</v>
      </c>
      <c r="F952" t="str">
        <f t="shared" si="123"/>
        <v>Electronic, electro-optic and infrared countermeasures  [Texte imprimé]</v>
      </c>
      <c r="G952" t="str">
        <f t="shared" si="124"/>
        <v>Electronic, electro-optic and infrared countermeasures</v>
      </c>
      <c r="H952" t="str">
        <f t="shared" si="125"/>
        <v>0148-6373</v>
      </c>
      <c r="I952" t="str">
        <f t="shared" si="126"/>
        <v>(1975) - (1978)</v>
      </c>
    </row>
    <row r="953" spans="1:9" x14ac:dyDescent="0.25">
      <c r="A953" t="str">
        <f>"03721263X"</f>
        <v>03721263X</v>
      </c>
      <c r="B953" t="str">
        <f t="shared" si="119"/>
        <v>060886101</v>
      </c>
      <c r="C953" t="str">
        <f t="shared" si="120"/>
        <v>NICE- BMVR Louis Nucéra</v>
      </c>
      <c r="D953" t="str">
        <f t="shared" si="121"/>
        <v>43.7015650</v>
      </c>
      <c r="E953" t="str">
        <f t="shared" si="122"/>
        <v>7.2786247</v>
      </c>
      <c r="F953" t="str">
        <f t="shared" si="123"/>
        <v>BBC English  [Texte imprimé]</v>
      </c>
      <c r="G953" t="str">
        <f t="shared" si="124"/>
        <v>BBC English</v>
      </c>
      <c r="H953" t="str">
        <f t="shared" si="125"/>
        <v>0263-550X</v>
      </c>
      <c r="I953" t="str">
        <f t="shared" si="126"/>
        <v>no. 1 (1982) - no. 16  (1983)</v>
      </c>
    </row>
    <row r="954" spans="1:9" x14ac:dyDescent="0.25">
      <c r="A954" t="str">
        <f>"039406415"</f>
        <v>039406415</v>
      </c>
      <c r="B954" t="str">
        <f t="shared" si="119"/>
        <v>991385301</v>
      </c>
      <c r="C954" t="str">
        <f t="shared" si="120"/>
        <v>MONACO-Musée Océanographique</v>
      </c>
      <c r="D954" t="str">
        <f t="shared" si="121"/>
        <v>43.7310033</v>
      </c>
      <c r="E954" t="str">
        <f t="shared" si="122"/>
        <v>7.425491600000001</v>
      </c>
      <c r="F954" t="str">
        <f t="shared" si="123"/>
        <v>Report  [Texte imprimé]  / Horace Lamb Institute of Oceanography</v>
      </c>
      <c r="G954" t="str">
        <f t="shared" si="124"/>
        <v>Report</v>
      </c>
      <c r="H954" t="str">
        <f t="shared" si="125"/>
        <v>0310-2750</v>
      </c>
      <c r="I954" t="str">
        <f t="shared" si="126"/>
        <v>(1973)-....</v>
      </c>
    </row>
    <row r="955" spans="1:9" x14ac:dyDescent="0.25">
      <c r="A955" t="str">
        <f>"037482947"</f>
        <v>037482947</v>
      </c>
      <c r="B955" t="str">
        <f t="shared" si="119"/>
        <v>060886101</v>
      </c>
      <c r="C955" t="str">
        <f t="shared" si="120"/>
        <v>NICE- BMVR Louis Nucéra</v>
      </c>
      <c r="D955" t="str">
        <f t="shared" si="121"/>
        <v>43.7015650</v>
      </c>
      <c r="E955" t="str">
        <f t="shared" si="122"/>
        <v>7.2786247</v>
      </c>
      <c r="F955" t="str">
        <f t="shared" si="123"/>
        <v>Il mondo illustrato  [Texte imprimé]</v>
      </c>
      <c r="G955" t="str">
        <f t="shared" si="124"/>
        <v>Il mondo illustrato</v>
      </c>
      <c r="H955" t="str">
        <f t="shared" si="125"/>
        <v>0393-375X</v>
      </c>
      <c r="I955" t="str">
        <f t="shared" si="126"/>
        <v>no. 1 (1846) - no. 52  (1848)</v>
      </c>
    </row>
    <row r="956" spans="1:9" x14ac:dyDescent="0.25">
      <c r="A956" t="str">
        <f>"037900714"</f>
        <v>037900714</v>
      </c>
      <c r="B956" t="str">
        <f t="shared" si="119"/>
        <v>830612301</v>
      </c>
      <c r="C956" t="str">
        <f t="shared" si="120"/>
        <v>ST AYGULF-Station amélior.plan</v>
      </c>
      <c r="D956" t="e">
        <f t="shared" si="121"/>
        <v>#VALUE!</v>
      </c>
      <c r="E956" t="e">
        <f t="shared" si="122"/>
        <v>#VALUE!</v>
      </c>
      <c r="F956" t="str">
        <f t="shared" si="123"/>
        <v>Gartenbauliche Versuchsberichte ... der Versuchsanstalten für Gartenbau Auweiler-Friesdorf, Garten- und Landschaftsbau und Friedhofsgärtnerei Essen, Pilzanbau Krefeld, Gemüse- und Zierpflanzenbau Straelen  [Texte imprimé]</v>
      </c>
      <c r="G956" t="str">
        <f t="shared" si="124"/>
        <v>Gartenbauliche Versuchsberichte ... der Versuchsanstalten für Gartenbau Auweiler-Friesdorf, Garten- und Landschaftsbau und Friedhofsgärtnerei Essen, Pilzanbau Krefeld, Gemüse- und Zierpflanzenbau Straelen</v>
      </c>
      <c r="H956" t="str">
        <f t="shared" si="125"/>
        <v>0935-8676</v>
      </c>
      <c r="I956" t="str">
        <f t="shared" si="126"/>
        <v>(1986)-....</v>
      </c>
    </row>
    <row r="957" spans="1:9" x14ac:dyDescent="0.25">
      <c r="A957" t="str">
        <f>"039591441"</f>
        <v>039591441</v>
      </c>
      <c r="B957" t="str">
        <f t="shared" si="119"/>
        <v>061525404</v>
      </c>
      <c r="C957" t="str">
        <f t="shared" si="120"/>
        <v>SOPHIA/ANT.-Thales Und. Systems</v>
      </c>
      <c r="D957" t="e">
        <f t="shared" si="121"/>
        <v>#VALUE!</v>
      </c>
      <c r="E957" t="e">
        <f t="shared" si="122"/>
        <v>#VALUE!</v>
      </c>
      <c r="F957" t="str">
        <f t="shared" si="123"/>
        <v>Aviazione e marina internazionale  [Texte imprimé]</v>
      </c>
      <c r="G957" t="str">
        <f t="shared" si="124"/>
        <v>Aviazione e marina internazionale</v>
      </c>
      <c r="H957" t="str">
        <f t="shared" si="125"/>
        <v>0392-8446</v>
      </c>
      <c r="I957" t="str">
        <f t="shared" si="126"/>
        <v>(1979) - (1980)</v>
      </c>
    </row>
    <row r="958" spans="1:9" x14ac:dyDescent="0.25">
      <c r="A958" t="str">
        <f>"038813270"</f>
        <v>038813270</v>
      </c>
      <c r="B958" t="str">
        <f t="shared" si="119"/>
        <v>991385301</v>
      </c>
      <c r="C958" t="str">
        <f t="shared" si="120"/>
        <v>MONACO-Musée Océanographique</v>
      </c>
      <c r="D958" t="str">
        <f t="shared" si="121"/>
        <v>43.7310033</v>
      </c>
      <c r="E958" t="str">
        <f t="shared" si="122"/>
        <v>7.425491600000001</v>
      </c>
      <c r="F958" t="str">
        <f t="shared" si="123"/>
        <v>Vancouver Public Aquarium newsletter  [Texte imprimé]</v>
      </c>
      <c r="G958" t="str">
        <f t="shared" si="124"/>
        <v>Vancouver Public Aquarium newsletter</v>
      </c>
      <c r="H958" t="str">
        <f t="shared" si="125"/>
        <v>0042-2495</v>
      </c>
      <c r="I958" t="str">
        <f t="shared" si="126"/>
        <v>vol. 13 no. 4 (1969) - vol. 20  no. 1  (1976)</v>
      </c>
    </row>
    <row r="959" spans="1:9" x14ac:dyDescent="0.25">
      <c r="A959" t="str">
        <f>"039699161"</f>
        <v>039699161</v>
      </c>
      <c r="B959" t="str">
        <f t="shared" si="119"/>
        <v>991385301</v>
      </c>
      <c r="C959" t="str">
        <f t="shared" si="120"/>
        <v>MONACO-Musée Océanographique</v>
      </c>
      <c r="D959" t="str">
        <f t="shared" si="121"/>
        <v>43.7310033</v>
      </c>
      <c r="E959" t="str">
        <f t="shared" si="122"/>
        <v>7.425491600000001</v>
      </c>
      <c r="F959" t="str">
        <f t="shared" si="123"/>
        <v>Cetus  [Texte imprimé]</v>
      </c>
      <c r="G959" t="str">
        <f t="shared" si="124"/>
        <v>Cetus</v>
      </c>
      <c r="H959" t="str">
        <f t="shared" si="125"/>
        <v>0736-542X</v>
      </c>
      <c r="I959" t="str">
        <f t="shared" si="126"/>
        <v>vol. 5 no. 2 (1984)-....</v>
      </c>
    </row>
    <row r="960" spans="1:9" x14ac:dyDescent="0.25">
      <c r="A960" t="str">
        <f>"040537641"</f>
        <v>040537641</v>
      </c>
      <c r="B960" t="str">
        <f t="shared" si="119"/>
        <v>991385301</v>
      </c>
      <c r="C960" t="str">
        <f t="shared" si="120"/>
        <v>MONACO-Musée Océanographique</v>
      </c>
      <c r="D960" t="str">
        <f t="shared" si="121"/>
        <v>43.7310033</v>
      </c>
      <c r="E960" t="str">
        <f t="shared" si="122"/>
        <v>7.425491600000001</v>
      </c>
      <c r="F960" t="str">
        <f t="shared" si="123"/>
        <v>Réseau cétacés  [Texte imprimé]</v>
      </c>
      <c r="G960" t="str">
        <f t="shared" si="124"/>
        <v>Réseau cétacés</v>
      </c>
      <c r="H960" t="str">
        <f t="shared" si="125"/>
        <v>1279-6131</v>
      </c>
      <c r="I960" t="str">
        <f t="shared" si="126"/>
        <v>vol. 1 (1991)-....</v>
      </c>
    </row>
    <row r="961" spans="1:9" x14ac:dyDescent="0.25">
      <c r="A961" t="str">
        <f>"190990813"</f>
        <v>190990813</v>
      </c>
      <c r="B961" t="str">
        <f t="shared" si="119"/>
        <v>060696201</v>
      </c>
      <c r="C961" t="str">
        <f t="shared" si="120"/>
        <v>GRASSE-Villa St Hilaire</v>
      </c>
      <c r="D961" t="str">
        <f t="shared" si="121"/>
        <v>43.65711599999999</v>
      </c>
      <c r="E961" t="str">
        <f t="shared" si="122"/>
        <v>6.9183745</v>
      </c>
      <c r="F961" t="str">
        <f t="shared" si="123"/>
        <v>L'Elan Montfleuri, Grasse  : journal de liaison</v>
      </c>
      <c r="G961" t="str">
        <f t="shared" si="124"/>
        <v>L'Elan Montfleuri, Grasse</v>
      </c>
      <c r="H961" t="str">
        <f t="shared" si="125"/>
        <v>2555-2457</v>
      </c>
      <c r="I961" t="str">
        <f t="shared" si="126"/>
        <v>(avr-1962) - (dec-1965) [Lacunaire]</v>
      </c>
    </row>
    <row r="962" spans="1:9" x14ac:dyDescent="0.25">
      <c r="A962" t="str">
        <f>"036210943"</f>
        <v>036210943</v>
      </c>
      <c r="B962" t="str">
        <f t="shared" si="119"/>
        <v>991385301</v>
      </c>
      <c r="C962" t="str">
        <f t="shared" si="120"/>
        <v>MONACO-Musée Océanographique</v>
      </c>
      <c r="D962" t="str">
        <f t="shared" si="121"/>
        <v>43.7310033</v>
      </c>
      <c r="E962" t="str">
        <f t="shared" si="122"/>
        <v>7.425491600000001</v>
      </c>
      <c r="F962" t="str">
        <f t="shared" si="123"/>
        <v>N.L.L. announcement bulletin  [Texte imprimé]</v>
      </c>
      <c r="G962" t="str">
        <f t="shared" si="124"/>
        <v>N.L.L. announcement bulletin</v>
      </c>
      <c r="H962" t="str">
        <f t="shared" si="125"/>
        <v>0007-1749</v>
      </c>
      <c r="I962" t="str">
        <f t="shared" si="126"/>
        <v>(1972) - (1973)</v>
      </c>
    </row>
    <row r="963" spans="1:9" x14ac:dyDescent="0.25">
      <c r="A963" t="str">
        <f>"036603309"</f>
        <v>036603309</v>
      </c>
      <c r="B963" t="str">
        <f t="shared" ref="B963:B1026" si="127">TEXT(_xlfn.FILTERXML(_xlfn.WEBSERVICE("http://www.sudoc.fr/services/multiwhere/"&amp;A963),"//query/result/library/rcr"),"000000000")</f>
        <v>991385301</v>
      </c>
      <c r="C963" t="str">
        <f t="shared" si="120"/>
        <v>MONACO-Musée Océanographique</v>
      </c>
      <c r="D963" t="str">
        <f t="shared" si="121"/>
        <v>43.7310033</v>
      </c>
      <c r="E963" t="str">
        <f t="shared" si="122"/>
        <v>7.425491600000001</v>
      </c>
      <c r="F963" t="e">
        <f t="shared" si="123"/>
        <v>#VALUE!</v>
      </c>
      <c r="G963" t="str">
        <f t="shared" si="124"/>
        <v>Canadian fisheries reports</v>
      </c>
      <c r="H963" t="str">
        <f t="shared" si="125"/>
        <v>0068-8738</v>
      </c>
      <c r="I963" t="e">
        <f t="shared" si="126"/>
        <v>#VALUE!</v>
      </c>
    </row>
    <row r="964" spans="1:9" x14ac:dyDescent="0.25">
      <c r="A964" t="str">
        <f>"039035239"</f>
        <v>039035239</v>
      </c>
      <c r="B964" t="str">
        <f t="shared" si="127"/>
        <v>991386201</v>
      </c>
      <c r="C964" t="str">
        <f t="shared" si="120"/>
        <v>MONACO-Bibl.Louis Notari</v>
      </c>
      <c r="D964" t="str">
        <f t="shared" si="121"/>
        <v>43.7351319</v>
      </c>
      <c r="E964" t="str">
        <f t="shared" si="122"/>
        <v>7.420563100000001</v>
      </c>
      <c r="F964" t="str">
        <f t="shared" si="123"/>
        <v>L'Éveil  [Texte imprimé]  : organe des intérêts monégasques</v>
      </c>
      <c r="G964" t="str">
        <f t="shared" si="124"/>
        <v>L'Éveil</v>
      </c>
      <c r="H964" t="str">
        <f t="shared" si="125"/>
        <v>2071-6095</v>
      </c>
      <c r="I964" t="str">
        <f t="shared" si="126"/>
        <v>(jan-1910) - (oct-1911)</v>
      </c>
    </row>
    <row r="965" spans="1:9" x14ac:dyDescent="0.25">
      <c r="A965" t="str">
        <f>"039051935"</f>
        <v>039051935</v>
      </c>
      <c r="B965" t="str">
        <f t="shared" si="127"/>
        <v>831376201</v>
      </c>
      <c r="C965" t="str">
        <f t="shared" si="120"/>
        <v>TOULON-BM</v>
      </c>
      <c r="D965" t="str">
        <f t="shared" si="121"/>
        <v>43.0823215</v>
      </c>
      <c r="E965" t="str">
        <f t="shared" si="122"/>
        <v>5.920052699999999</v>
      </c>
      <c r="F965" t="str">
        <f t="shared" si="123"/>
        <v>Nos lectures  [Texte imprimé]  : Revue nationale illustrée</v>
      </c>
      <c r="G965" t="str">
        <f t="shared" si="124"/>
        <v>Nos lectures</v>
      </c>
      <c r="H965" t="str">
        <f t="shared" si="125"/>
        <v>2017-926X</v>
      </c>
      <c r="I965" t="str">
        <f t="shared" si="126"/>
        <v>no. 1 (1908) - no. 41  (1909)</v>
      </c>
    </row>
    <row r="966" spans="1:9" x14ac:dyDescent="0.25">
      <c r="A966" t="str">
        <f>"040152553"</f>
        <v>040152553</v>
      </c>
      <c r="B966" t="str">
        <f t="shared" si="127"/>
        <v>991385301</v>
      </c>
      <c r="C966" t="str">
        <f t="shared" si="120"/>
        <v>MONACO-Musée Océanographique</v>
      </c>
      <c r="D966" t="str">
        <f t="shared" si="121"/>
        <v>43.7310033</v>
      </c>
      <c r="E966" t="str">
        <f t="shared" si="122"/>
        <v>7.425491600000001</v>
      </c>
      <c r="F966" t="str">
        <f t="shared" si="123"/>
        <v>Newsletter  [Texte imprimé]  / COMARAF</v>
      </c>
      <c r="G966" t="str">
        <f t="shared" si="124"/>
        <v>Newsletter</v>
      </c>
      <c r="H966" t="str">
        <f t="shared" si="125"/>
        <v>1014-8655</v>
      </c>
      <c r="I966" t="str">
        <f t="shared" si="126"/>
        <v>no. 1 (1988)-....</v>
      </c>
    </row>
    <row r="967" spans="1:9" x14ac:dyDescent="0.25">
      <c r="A967" t="str">
        <f>"140302395"</f>
        <v>140302395</v>
      </c>
      <c r="B967" t="str">
        <f t="shared" si="127"/>
        <v>060885105</v>
      </c>
      <c r="C967" t="str">
        <f t="shared" si="120"/>
        <v>NICE-Bibl.Chevalier de Cessole</v>
      </c>
      <c r="D967" t="str">
        <f t="shared" si="121"/>
        <v>43.6956246</v>
      </c>
      <c r="E967" t="str">
        <f t="shared" si="122"/>
        <v>7.259380900000001</v>
      </c>
      <c r="F967" t="str">
        <f t="shared" si="123"/>
        <v>La Vous de Nissa  [Texte imprimé]</v>
      </c>
      <c r="G967" t="str">
        <f t="shared" si="124"/>
        <v>La Vous de Nissa</v>
      </c>
      <c r="H967" t="str">
        <f t="shared" si="125"/>
        <v>2140-3724</v>
      </c>
      <c r="I967" t="str">
        <f t="shared" si="126"/>
        <v>no. 1 (1-sep-1889) - no. 4  (22-sep-1889)</v>
      </c>
    </row>
    <row r="968" spans="1:9" x14ac:dyDescent="0.25">
      <c r="A968" t="str">
        <f>"036735582"</f>
        <v>036735582</v>
      </c>
      <c r="B968" t="str">
        <f t="shared" si="127"/>
        <v>991386201</v>
      </c>
      <c r="C968" t="str">
        <f t="shared" si="120"/>
        <v>MONACO-Bibl.Louis Notari</v>
      </c>
      <c r="D968" t="str">
        <f t="shared" si="121"/>
        <v>43.7351319</v>
      </c>
      <c r="E968" t="str">
        <f t="shared" si="122"/>
        <v>7.420563100000001</v>
      </c>
      <c r="F968" t="str">
        <f t="shared" si="123"/>
        <v>La Gazette de Monaco  [Texte imprimé]</v>
      </c>
      <c r="G968" t="str">
        <f t="shared" si="124"/>
        <v>La Gazette de Monaco</v>
      </c>
      <c r="H968" t="e">
        <f t="shared" si="125"/>
        <v>#VALUE!</v>
      </c>
      <c r="I968" t="str">
        <f t="shared" si="126"/>
        <v>no. 1 (1960) - no. 256  (1974)</v>
      </c>
    </row>
    <row r="969" spans="1:9" x14ac:dyDescent="0.25">
      <c r="A969" t="str">
        <f>"039103269"</f>
        <v>039103269</v>
      </c>
      <c r="B969" t="str">
        <f t="shared" si="127"/>
        <v>991385301</v>
      </c>
      <c r="C969" t="str">
        <f t="shared" si="120"/>
        <v>MONACO-Musée Océanographique</v>
      </c>
      <c r="D969" t="str">
        <f t="shared" si="121"/>
        <v>43.7310033</v>
      </c>
      <c r="E969" t="str">
        <f t="shared" si="122"/>
        <v>7.425491600000001</v>
      </c>
      <c r="F969" t="str">
        <f t="shared" si="123"/>
        <v>The Marine newsletter  [Texte imprimé]</v>
      </c>
      <c r="G969" t="str">
        <f t="shared" si="124"/>
        <v>The Marine newsletter</v>
      </c>
      <c r="H969" t="str">
        <f t="shared" si="125"/>
        <v>0160-8509</v>
      </c>
      <c r="I969" t="str">
        <f t="shared" si="126"/>
        <v>(1970)-....</v>
      </c>
    </row>
    <row r="970" spans="1:9" x14ac:dyDescent="0.25">
      <c r="A970" t="str">
        <f>"040035514"</f>
        <v>040035514</v>
      </c>
      <c r="B970" t="str">
        <f t="shared" si="127"/>
        <v>831376201</v>
      </c>
      <c r="C970" t="str">
        <f t="shared" si="120"/>
        <v>TOULON-BM</v>
      </c>
      <c r="D970" t="str">
        <f t="shared" si="121"/>
        <v>43.0823215</v>
      </c>
      <c r="E970" t="str">
        <f t="shared" si="122"/>
        <v>5.920052699999999</v>
      </c>
      <c r="F970" t="str">
        <f t="shared" si="123"/>
        <v>Archange  [Texte imprimé]</v>
      </c>
      <c r="G970" t="str">
        <f t="shared" si="124"/>
        <v>Archange</v>
      </c>
      <c r="H970" t="str">
        <f t="shared" si="125"/>
        <v>1169-8942</v>
      </c>
      <c r="I970" t="str">
        <f t="shared" si="126"/>
        <v>no. 1 (1982)</v>
      </c>
    </row>
    <row r="971" spans="1:9" x14ac:dyDescent="0.25">
      <c r="A971" t="str">
        <f>"037921029"</f>
        <v>037921029</v>
      </c>
      <c r="B971" t="str">
        <f t="shared" si="127"/>
        <v>991385301</v>
      </c>
      <c r="C971" t="str">
        <f t="shared" si="120"/>
        <v>MONACO-Musée Océanographique</v>
      </c>
      <c r="D971" t="str">
        <f t="shared" si="121"/>
        <v>43.7310033</v>
      </c>
      <c r="E971" t="str">
        <f t="shared" si="122"/>
        <v>7.425491600000001</v>
      </c>
      <c r="F971" t="str">
        <f t="shared" si="123"/>
        <v>Newsletter  [Texte imprimé]  / British Library. Science Reference and Information Service</v>
      </c>
      <c r="G971" t="str">
        <f t="shared" si="124"/>
        <v>Newsletter</v>
      </c>
      <c r="H971" t="str">
        <f t="shared" si="125"/>
        <v>0951-4635</v>
      </c>
      <c r="I971" t="str">
        <f t="shared" si="126"/>
        <v>no. 1 (1987)-....</v>
      </c>
    </row>
    <row r="972" spans="1:9" x14ac:dyDescent="0.25">
      <c r="A972" t="str">
        <f>"05092687X"</f>
        <v>05092687X</v>
      </c>
      <c r="B972" t="str">
        <f t="shared" si="127"/>
        <v>831375101</v>
      </c>
      <c r="C972" t="str">
        <f t="shared" si="120"/>
        <v>TOULON-Serv.Historique Marine</v>
      </c>
      <c r="D972" t="str">
        <f t="shared" si="121"/>
        <v>43.124228</v>
      </c>
      <c r="E972" t="str">
        <f t="shared" si="122"/>
        <v>5.928</v>
      </c>
      <c r="F972" t="str">
        <f t="shared" si="123"/>
        <v>Relations postales de la France avec les colonies françaises et les pays étrangers d'outre-mer y compris la Corse et l'Algérie  [Texte imprimé]</v>
      </c>
      <c r="G972" t="str">
        <f t="shared" si="124"/>
        <v>Relations postales de la France avec les colonies françaises et les pays étrangers d'outre-mer y compris la Corse et l'Algérie</v>
      </c>
      <c r="H972" t="str">
        <f t="shared" si="125"/>
        <v>2020-9932</v>
      </c>
      <c r="I972" t="str">
        <f t="shared" si="126"/>
        <v>(1904) ; (1908) ; (1912)</v>
      </c>
    </row>
    <row r="973" spans="1:9" x14ac:dyDescent="0.25">
      <c r="A973" t="str">
        <f>"15207306X"</f>
        <v>15207306X</v>
      </c>
      <c r="B973" t="str">
        <f t="shared" si="127"/>
        <v>991385201</v>
      </c>
      <c r="C973" t="str">
        <f t="shared" si="120"/>
        <v>MONACO-Jardin exotique</v>
      </c>
      <c r="D973" t="str">
        <f t="shared" si="121"/>
        <v>43.7310908</v>
      </c>
      <c r="E973" t="str">
        <f t="shared" si="122"/>
        <v>7.410747499999999</v>
      </c>
      <c r="F973" t="str">
        <f t="shared" si="123"/>
        <v>Amigos newsletter  [Texte imprimé]  / Organization for Tropical Studies  ; Wilson bontanical Garden  ; Las Cruces Biological Station</v>
      </c>
      <c r="G973" t="str">
        <f t="shared" si="124"/>
        <v>Amigos newsletter</v>
      </c>
      <c r="H973" t="e">
        <f t="shared" si="125"/>
        <v>#VALUE!</v>
      </c>
      <c r="I973" t="str">
        <f t="shared" si="126"/>
        <v>vol. 70 (2007)-....</v>
      </c>
    </row>
    <row r="974" spans="1:9" x14ac:dyDescent="0.25">
      <c r="A974" t="str">
        <f>"037948911"</f>
        <v>037948911</v>
      </c>
      <c r="B974" t="str">
        <f t="shared" si="127"/>
        <v>991386201</v>
      </c>
      <c r="C974" t="str">
        <f t="shared" si="120"/>
        <v>MONACO-Bibl.Louis Notari</v>
      </c>
      <c r="D974" t="str">
        <f t="shared" si="121"/>
        <v>43.7351319</v>
      </c>
      <c r="E974" t="str">
        <f t="shared" si="122"/>
        <v>7.420563100000001</v>
      </c>
      <c r="F974" t="str">
        <f t="shared" si="123"/>
        <v>Les Cahiers de l'APEM  [Texte imprimé]</v>
      </c>
      <c r="G974" t="str">
        <f t="shared" si="124"/>
        <v>Les Cahiers de l'APEM</v>
      </c>
      <c r="H974" t="str">
        <f t="shared" si="125"/>
        <v>1010-8912</v>
      </c>
      <c r="I974" t="str">
        <f t="shared" si="126"/>
        <v>no. 23 (1981) - no. 36  (1985)</v>
      </c>
    </row>
    <row r="975" spans="1:9" x14ac:dyDescent="0.25">
      <c r="A975" t="str">
        <f>"03635371X"</f>
        <v>03635371X</v>
      </c>
      <c r="B975" t="str">
        <f t="shared" si="127"/>
        <v>991385301</v>
      </c>
      <c r="C975" t="str">
        <f t="shared" si="120"/>
        <v>MONACO-Musée Océanographique</v>
      </c>
      <c r="D975" t="str">
        <f t="shared" si="121"/>
        <v>43.7310033</v>
      </c>
      <c r="E975" t="str">
        <f t="shared" si="122"/>
        <v>7.425491600000001</v>
      </c>
      <c r="F975" t="str">
        <f t="shared" si="123"/>
        <v>National oceanographic instrumentation center. Technical bulletin</v>
      </c>
      <c r="G975" t="str">
        <f t="shared" si="124"/>
        <v>National oceanographic instrumentation center. Technical bulletin</v>
      </c>
      <c r="H975" t="e">
        <f t="shared" si="125"/>
        <v>#VALUE!</v>
      </c>
      <c r="I975" t="e">
        <f t="shared" si="126"/>
        <v>#VALUE!</v>
      </c>
    </row>
    <row r="976" spans="1:9" x14ac:dyDescent="0.25">
      <c r="A976" t="str">
        <f>"039051692"</f>
        <v>039051692</v>
      </c>
      <c r="B976" t="str">
        <f t="shared" si="127"/>
        <v>831376201</v>
      </c>
      <c r="C976" t="str">
        <f t="shared" si="120"/>
        <v>TOULON-BM</v>
      </c>
      <c r="D976" t="str">
        <f t="shared" si="121"/>
        <v>43.0823215</v>
      </c>
      <c r="E976" t="str">
        <f t="shared" si="122"/>
        <v>5.920052699999999</v>
      </c>
      <c r="F976" t="str">
        <f t="shared" si="123"/>
        <v>Le Toulonnais  [Texte imprimé]  : Journal maritime, politique, commercial, administratif, littéraire</v>
      </c>
      <c r="G976" t="str">
        <f t="shared" si="124"/>
        <v>Le Toulonnais</v>
      </c>
      <c r="H976" t="str">
        <f t="shared" si="125"/>
        <v>2018-3526</v>
      </c>
      <c r="I976" t="str">
        <f t="shared" si="126"/>
        <v>2eS no. 224 (1836) - no. 971  (1873) ; 3eS no. 623 (1888) - no. 1540  (1890) [lac. imp.]</v>
      </c>
    </row>
    <row r="977" spans="1:9" x14ac:dyDescent="0.25">
      <c r="A977" t="str">
        <f>"039051730"</f>
        <v>039051730</v>
      </c>
      <c r="B977" t="str">
        <f t="shared" si="127"/>
        <v>831376201</v>
      </c>
      <c r="C977" t="str">
        <f t="shared" si="120"/>
        <v>TOULON-BM</v>
      </c>
      <c r="D977" t="str">
        <f t="shared" si="121"/>
        <v>43.0823215</v>
      </c>
      <c r="E977" t="str">
        <f t="shared" si="122"/>
        <v>5.920052699999999</v>
      </c>
      <c r="F977" t="str">
        <f t="shared" si="123"/>
        <v>Le Var automobile  [Texte imprimé]  : Bulletin mensuel officiel de l'Automobile-club du Var</v>
      </c>
      <c r="G977" t="str">
        <f t="shared" si="124"/>
        <v>Le Var automobile</v>
      </c>
      <c r="H977" t="str">
        <f t="shared" si="125"/>
        <v>2018-6320</v>
      </c>
      <c r="I977" t="str">
        <f t="shared" si="126"/>
        <v>(jan-1929) - (dec-1932) [lac.]</v>
      </c>
    </row>
    <row r="978" spans="1:9" x14ac:dyDescent="0.25">
      <c r="A978" t="str">
        <f>"039095320"</f>
        <v>039095320</v>
      </c>
      <c r="B978" t="str">
        <f t="shared" si="127"/>
        <v>831376201</v>
      </c>
      <c r="C978" t="str">
        <f t="shared" si="120"/>
        <v>TOULON-BM</v>
      </c>
      <c r="D978" t="str">
        <f t="shared" si="121"/>
        <v>43.0823215</v>
      </c>
      <c r="E978" t="str">
        <f t="shared" si="122"/>
        <v>5.920052699999999</v>
      </c>
      <c r="F978" t="str">
        <f t="shared" si="123"/>
        <v>L'Ombre  [Texte imprimé]  : Journal politique, littéraire, illustré</v>
      </c>
      <c r="G978" t="str">
        <f t="shared" si="124"/>
        <v>L'Ombre</v>
      </c>
      <c r="H978" t="str">
        <f t="shared" si="125"/>
        <v>2018-0667</v>
      </c>
      <c r="I978" t="str">
        <f t="shared" si="126"/>
        <v>no. 4 (25-oct-1873)</v>
      </c>
    </row>
    <row r="979" spans="1:9" x14ac:dyDescent="0.25">
      <c r="A979" t="str">
        <f>"040615952"</f>
        <v>040615952</v>
      </c>
      <c r="B979" t="str">
        <f t="shared" si="127"/>
        <v>060885102</v>
      </c>
      <c r="C979" t="str">
        <f t="shared" si="120"/>
        <v>NICE-Archives Départementales</v>
      </c>
      <c r="D979" t="str">
        <f t="shared" si="121"/>
        <v>43.6877482</v>
      </c>
      <c r="E979" t="str">
        <f t="shared" si="122"/>
        <v>7.2113605</v>
      </c>
      <c r="F979" t="str">
        <f t="shared" si="123"/>
        <v>Tableau de bord  [Texte imprimé]  / Comité interministériel de la sécurité routière</v>
      </c>
      <c r="G979" t="str">
        <f t="shared" si="124"/>
        <v>Tableau de bord</v>
      </c>
      <c r="H979" t="e">
        <f t="shared" si="125"/>
        <v>#VALUE!</v>
      </c>
      <c r="I979" t="str">
        <f t="shared" si="126"/>
        <v>(1981) - (1988)</v>
      </c>
    </row>
    <row r="980" spans="1:9" x14ac:dyDescent="0.25">
      <c r="A980" t="str">
        <f>"039141373"</f>
        <v>039141373</v>
      </c>
      <c r="B980" t="str">
        <f t="shared" si="127"/>
        <v>831375101</v>
      </c>
      <c r="C980" t="str">
        <f t="shared" si="120"/>
        <v>TOULON-Serv.Historique Marine</v>
      </c>
      <c r="D980" t="str">
        <f t="shared" si="121"/>
        <v>43.124228</v>
      </c>
      <c r="E980" t="str">
        <f t="shared" si="122"/>
        <v>5.928</v>
      </c>
      <c r="F980" t="str">
        <f t="shared" si="123"/>
        <v>Annonces hydrographiques  [Texte imprimé]</v>
      </c>
      <c r="G980" t="str">
        <f t="shared" si="124"/>
        <v>Annonces hydrographiques</v>
      </c>
      <c r="H980" t="str">
        <f t="shared" si="125"/>
        <v>2023-0400</v>
      </c>
      <c r="I980" t="str">
        <f t="shared" si="126"/>
        <v>(1875) - (1882)</v>
      </c>
    </row>
    <row r="981" spans="1:9" x14ac:dyDescent="0.25">
      <c r="A981" t="str">
        <f>"04504712X"</f>
        <v>04504712X</v>
      </c>
      <c r="B981" t="str">
        <f t="shared" si="127"/>
        <v>991385201</v>
      </c>
      <c r="C981" t="str">
        <f t="shared" si="120"/>
        <v>MONACO-Jardin exotique</v>
      </c>
      <c r="D981" t="str">
        <f t="shared" si="121"/>
        <v>43.7310908</v>
      </c>
      <c r="E981" t="str">
        <f t="shared" si="122"/>
        <v>7.410747499999999</v>
      </c>
      <c r="F981" t="str">
        <f t="shared" si="123"/>
        <v>Gymnocalycium  [Texte imprimé]</v>
      </c>
      <c r="G981" t="str">
        <f t="shared" si="124"/>
        <v>Gymnocalycium</v>
      </c>
      <c r="H981" t="str">
        <f t="shared" si="125"/>
        <v>1017-9178</v>
      </c>
      <c r="I981" t="str">
        <f t="shared" si="126"/>
        <v>vol. 1 no. 1 (1988)-....</v>
      </c>
    </row>
    <row r="982" spans="1:9" x14ac:dyDescent="0.25">
      <c r="A982" t="str">
        <f>"036454966"</f>
        <v>036454966</v>
      </c>
      <c r="B982" t="str">
        <f t="shared" si="127"/>
        <v>991385301</v>
      </c>
      <c r="C982" t="str">
        <f t="shared" si="120"/>
        <v>MONACO-Musée Océanographique</v>
      </c>
      <c r="D982" t="str">
        <f t="shared" si="121"/>
        <v>43.7310033</v>
      </c>
      <c r="E982" t="str">
        <f t="shared" si="122"/>
        <v>7.425491600000001</v>
      </c>
      <c r="F982" t="str">
        <f t="shared" si="123"/>
        <v>Tropical Atlantic biological laboratory. Translation.</v>
      </c>
      <c r="G982" t="str">
        <f t="shared" si="124"/>
        <v>Tropical Atlantic biological laboratory. Translation.</v>
      </c>
      <c r="H982" t="e">
        <f t="shared" si="125"/>
        <v>#VALUE!</v>
      </c>
      <c r="I982" t="e">
        <f t="shared" si="126"/>
        <v>#VALUE!</v>
      </c>
    </row>
    <row r="983" spans="1:9" x14ac:dyDescent="0.25">
      <c r="A983" t="str">
        <f>"13788074X"</f>
        <v>13788074X</v>
      </c>
      <c r="B983" t="str">
        <f t="shared" si="127"/>
        <v>060696201</v>
      </c>
      <c r="C983" t="str">
        <f t="shared" si="120"/>
        <v>GRASSE-Villa St Hilaire</v>
      </c>
      <c r="D983" t="str">
        <f t="shared" si="121"/>
        <v>43.65711599999999</v>
      </c>
      <c r="E983" t="str">
        <f t="shared" si="122"/>
        <v>6.9183745</v>
      </c>
      <c r="F983" t="str">
        <f t="shared" si="123"/>
        <v>La Jeune république  [Texte imprimé]</v>
      </c>
      <c r="G983" t="str">
        <f t="shared" si="124"/>
        <v>La Jeune république</v>
      </c>
      <c r="H983" t="str">
        <f t="shared" si="125"/>
        <v>2130-0887</v>
      </c>
      <c r="I983" t="str">
        <f t="shared" si="126"/>
        <v>no. 39 (9-sep-1893) - no. 55  (30-dec-1893) [Lacunaire]</v>
      </c>
    </row>
    <row r="984" spans="1:9" x14ac:dyDescent="0.25">
      <c r="A984" t="str">
        <f>"13790228X"</f>
        <v>13790228X</v>
      </c>
      <c r="B984" t="str">
        <f t="shared" si="127"/>
        <v>060845301</v>
      </c>
      <c r="C984" t="str">
        <f t="shared" si="120"/>
        <v>MOUANS SARTOUX-CRD Occitane</v>
      </c>
      <c r="D984" t="str">
        <f t="shared" si="121"/>
        <v>43.6188186</v>
      </c>
      <c r="E984" t="str">
        <f t="shared" si="122"/>
        <v>6.972011600000001</v>
      </c>
      <c r="F984" t="str">
        <f t="shared" si="123"/>
        <v>Le Midi hivernal  [Texte imprimé]</v>
      </c>
      <c r="G984" t="str">
        <f t="shared" si="124"/>
        <v>Le Midi hivernal</v>
      </c>
      <c r="H984" t="str">
        <f t="shared" si="125"/>
        <v>2132-2244</v>
      </c>
      <c r="I984" t="str">
        <f t="shared" si="126"/>
        <v>no. 72 (1887) ; no. 85 (1887)</v>
      </c>
    </row>
    <row r="985" spans="1:9" x14ac:dyDescent="0.25">
      <c r="A985" t="str">
        <f>"037946307"</f>
        <v>037946307</v>
      </c>
      <c r="B985" t="str">
        <f t="shared" si="127"/>
        <v>991386201</v>
      </c>
      <c r="C985" t="str">
        <f t="shared" ref="C985:C1048" si="128">_xlfn.FILTERXML(_xlfn.WEBSERVICE("http://www.sudoc.fr/services/multiwhere/"&amp;A985),"//query/result/library/shortname")</f>
        <v>MONACO-Bibl.Louis Notari</v>
      </c>
      <c r="D985" t="str">
        <f t="shared" ref="D985:D1048" si="129">_xlfn.FILTERXML(_xlfn.WEBSERVICE("http://www.sudoc.fr/services/multiwhere/"&amp;A985),"//query/result/library/latitude")</f>
        <v>43.7351319</v>
      </c>
      <c r="E985" t="str">
        <f t="shared" ref="E985:E1048" si="130">_xlfn.FILTERXML(_xlfn.WEBSERVICE("http://www.sudoc.fr/services/multiwhere/"&amp;A985),"//query/result/library/longitude")</f>
        <v>7.420563100000001</v>
      </c>
      <c r="F985" t="str">
        <f t="shared" ref="F985:F1048" si="131">_xlfn.FILTERXML(_xlfn.WEBSERVICE("http://www.sudoc.fr/"&amp;A985&amp;".rdf"),"//bibo:Periodical/dc:title")</f>
        <v>Journal des français à l'étranger  [Texte imprimé]</v>
      </c>
      <c r="G985" t="str">
        <f t="shared" ref="G985:G1048" si="132">_xlfn.FILTERXML(_xlfn.WEBSERVICE("http://www.sudoc.fr/"&amp;A985&amp;".abes"),"//datafield[@tag='200']/subfield[@code='a']")</f>
        <v>Journal des français à l'étranger</v>
      </c>
      <c r="H985" t="str">
        <f t="shared" ref="H985:H1048" si="133">_xlfn.FILTERXML(_xlfn.WEBSERVICE("http://www.sudoc.fr/"&amp;A985&amp;".abes"),"//datafield[@tag='011']/subfield[@code='a']")</f>
        <v>1010-4348</v>
      </c>
      <c r="I985" t="str">
        <f t="shared" ref="I985:I1048" si="134">_xlfn.FILTERXML(_xlfn.WEBSERVICE("http://www.sudoc.fr/"&amp;A985&amp;".abes"),"//datafield[@tag='955']/subfield[@code='r']")</f>
        <v>vol. 1 (1979) - vol. 4  (1980)</v>
      </c>
    </row>
    <row r="986" spans="1:9" x14ac:dyDescent="0.25">
      <c r="A986" t="str">
        <f>"039034623"</f>
        <v>039034623</v>
      </c>
      <c r="B986" t="str">
        <f t="shared" si="127"/>
        <v>831376201</v>
      </c>
      <c r="C986" t="str">
        <f t="shared" si="128"/>
        <v>TOULON-BM</v>
      </c>
      <c r="D986" t="str">
        <f t="shared" si="129"/>
        <v>43.0823215</v>
      </c>
      <c r="E986" t="str">
        <f t="shared" si="130"/>
        <v>5.920052699999999</v>
      </c>
      <c r="F986" t="str">
        <f t="shared" si="131"/>
        <v>L'Incroyable  [Texte imprimé]  : Journal littéraire et humoristique</v>
      </c>
      <c r="G986" t="str">
        <f t="shared" si="132"/>
        <v>L'Incroyable</v>
      </c>
      <c r="H986" t="str">
        <f t="shared" si="133"/>
        <v>2017-0130</v>
      </c>
      <c r="I986" t="str">
        <f t="shared" si="134"/>
        <v>no. 2 (1882)</v>
      </c>
    </row>
    <row r="987" spans="1:9" x14ac:dyDescent="0.25">
      <c r="A987" t="str">
        <f>"140665811"</f>
        <v>140665811</v>
      </c>
      <c r="B987" t="str">
        <f t="shared" si="127"/>
        <v>060885105</v>
      </c>
      <c r="C987" t="str">
        <f t="shared" si="128"/>
        <v>NICE-Bibl.Chevalier de Cessole</v>
      </c>
      <c r="D987" t="str">
        <f t="shared" si="129"/>
        <v>43.6956246</v>
      </c>
      <c r="E987" t="str">
        <f t="shared" si="130"/>
        <v>7.259380900000001</v>
      </c>
      <c r="F987" t="str">
        <f t="shared" si="131"/>
        <v>La Revue niçoise  [Texte imprimé]</v>
      </c>
      <c r="G987" t="str">
        <f t="shared" si="132"/>
        <v>La Revue niçoise</v>
      </c>
      <c r="H987" t="str">
        <f t="shared" si="133"/>
        <v>2137-4848</v>
      </c>
      <c r="I987" t="str">
        <f t="shared" si="134"/>
        <v>no. 22 (28-avr-1932) - no. 27  (1-jun-1932) [lacunes]</v>
      </c>
    </row>
    <row r="988" spans="1:9" x14ac:dyDescent="0.25">
      <c r="A988" t="str">
        <f>"037979817"</f>
        <v>037979817</v>
      </c>
      <c r="B988" t="str">
        <f t="shared" si="127"/>
        <v>991386201</v>
      </c>
      <c r="C988" t="str">
        <f t="shared" si="128"/>
        <v>MONACO-Bibl.Louis Notari</v>
      </c>
      <c r="D988" t="str">
        <f t="shared" si="129"/>
        <v>43.7351319</v>
      </c>
      <c r="E988" t="str">
        <f t="shared" si="130"/>
        <v>7.420563100000001</v>
      </c>
      <c r="F988" t="str">
        <f t="shared" si="131"/>
        <v>Le Reveil monégasque  [Texte imprimé]</v>
      </c>
      <c r="G988" t="str">
        <f t="shared" si="132"/>
        <v>Le Reveil monégasque</v>
      </c>
      <c r="H988" t="str">
        <f t="shared" si="133"/>
        <v>1018-9971</v>
      </c>
      <c r="I988" t="str">
        <f t="shared" si="134"/>
        <v>(nov-1908) - (avr-1912)</v>
      </c>
    </row>
    <row r="989" spans="1:9" x14ac:dyDescent="0.25">
      <c r="A989" t="str">
        <f>"039644413"</f>
        <v>039644413</v>
      </c>
      <c r="B989" t="str">
        <f t="shared" si="127"/>
        <v>991385301</v>
      </c>
      <c r="C989" t="str">
        <f t="shared" si="128"/>
        <v>MONACO-Musée Océanographique</v>
      </c>
      <c r="D989" t="str">
        <f t="shared" si="129"/>
        <v>43.7310033</v>
      </c>
      <c r="E989" t="str">
        <f t="shared" si="130"/>
        <v>7.425491600000001</v>
      </c>
      <c r="F989" t="str">
        <f t="shared" si="131"/>
        <v>Nagasaki Daigaku Suisangakubu Kenkyu Hokoku  [Texte imprimé]</v>
      </c>
      <c r="G989" t="str">
        <f t="shared" si="132"/>
        <v>Nagasaki Daigaku Suisangakubu Kenkyu Hokoku</v>
      </c>
      <c r="H989" t="str">
        <f t="shared" si="133"/>
        <v>0547-1427</v>
      </c>
      <c r="I989" t="str">
        <f t="shared" si="134"/>
        <v>(1959)-....</v>
      </c>
    </row>
    <row r="990" spans="1:9" x14ac:dyDescent="0.25">
      <c r="A990" t="str">
        <f>"050927159"</f>
        <v>050927159</v>
      </c>
      <c r="B990" t="str">
        <f t="shared" si="127"/>
        <v>831375101</v>
      </c>
      <c r="C990" t="str">
        <f t="shared" si="128"/>
        <v>TOULON-Serv.Historique Marine</v>
      </c>
      <c r="D990" t="str">
        <f t="shared" si="129"/>
        <v>43.124228</v>
      </c>
      <c r="E990" t="str">
        <f t="shared" si="130"/>
        <v>5.928</v>
      </c>
      <c r="F990" t="str">
        <f t="shared" si="131"/>
        <v>Statistique des naufrages et évènements de mer survenus sur les côtes de France pendant l'année...  [Texte imprimé]</v>
      </c>
      <c r="G990" t="str">
        <f t="shared" si="132"/>
        <v>Statistique des naufrages et évènements de mer survenus sur les côtes de France pendant l'année...</v>
      </c>
      <c r="H990" t="str">
        <f t="shared" si="133"/>
        <v>2021-0086</v>
      </c>
      <c r="I990" t="str">
        <f t="shared" si="134"/>
        <v>(1867) - (1910) = (1866) - (1910) [lac.]</v>
      </c>
    </row>
    <row r="991" spans="1:9" x14ac:dyDescent="0.25">
      <c r="A991" t="str">
        <f>"036389560"</f>
        <v>036389560</v>
      </c>
      <c r="B991" t="str">
        <f t="shared" si="127"/>
        <v>991385301</v>
      </c>
      <c r="C991" t="str">
        <f t="shared" si="128"/>
        <v>MONACO-Musée Océanographique</v>
      </c>
      <c r="D991" t="str">
        <f t="shared" si="129"/>
        <v>43.7310033</v>
      </c>
      <c r="E991" t="str">
        <f t="shared" si="130"/>
        <v>7.425491600000001</v>
      </c>
      <c r="F991" t="str">
        <f t="shared" si="131"/>
        <v>Proyecto para el desarrollo de la pesca marítima en Colombia. Comunicaciones.</v>
      </c>
      <c r="G991" t="str">
        <f t="shared" si="132"/>
        <v>Proyecto para el desarrollo de la pesca marítima en Colombia. Comunicaciones.</v>
      </c>
      <c r="H991" t="e">
        <f t="shared" si="133"/>
        <v>#VALUE!</v>
      </c>
      <c r="I991" t="e">
        <f t="shared" si="134"/>
        <v>#VALUE!</v>
      </c>
    </row>
    <row r="992" spans="1:9" x14ac:dyDescent="0.25">
      <c r="A992" t="str">
        <f>"039034739"</f>
        <v>039034739</v>
      </c>
      <c r="B992" t="str">
        <f t="shared" si="127"/>
        <v>831376201</v>
      </c>
      <c r="C992" t="str">
        <f t="shared" si="128"/>
        <v>TOULON-BM</v>
      </c>
      <c r="D992" t="str">
        <f t="shared" si="129"/>
        <v>43.0823215</v>
      </c>
      <c r="E992" t="str">
        <f t="shared" si="130"/>
        <v>5.920052699999999</v>
      </c>
      <c r="F992" t="str">
        <f t="shared" si="131"/>
        <v>L'Illustré de Toulon  [Texte imprimé]</v>
      </c>
      <c r="G992" t="str">
        <f t="shared" si="132"/>
        <v>L'Illustré de Toulon</v>
      </c>
      <c r="H992" t="str">
        <f t="shared" si="133"/>
        <v>2017-0181</v>
      </c>
      <c r="I992" t="str">
        <f t="shared" si="134"/>
        <v>(dec-1881)</v>
      </c>
    </row>
    <row r="993" spans="1:9" x14ac:dyDescent="0.25">
      <c r="A993" t="str">
        <f>"039095606"</f>
        <v>039095606</v>
      </c>
      <c r="B993" t="str">
        <f t="shared" si="127"/>
        <v>831376201</v>
      </c>
      <c r="C993" t="str">
        <f t="shared" si="128"/>
        <v>TOULON-BM</v>
      </c>
      <c r="D993" t="str">
        <f t="shared" si="129"/>
        <v>43.0823215</v>
      </c>
      <c r="E993" t="str">
        <f t="shared" si="130"/>
        <v>5.920052699999999</v>
      </c>
      <c r="F993" t="str">
        <f t="shared" si="131"/>
        <v>Revue de la jeunesse  [Texte imprimé]  : journal des familles</v>
      </c>
      <c r="G993" t="str">
        <f t="shared" si="132"/>
        <v>Revue de la jeunesse</v>
      </c>
      <c r="H993" t="str">
        <f t="shared" si="133"/>
        <v>2018-0713</v>
      </c>
      <c r="I993" t="str">
        <f t="shared" si="134"/>
        <v>no. 4 (1878)</v>
      </c>
    </row>
    <row r="994" spans="1:9" x14ac:dyDescent="0.25">
      <c r="A994" t="str">
        <f>"187259852"</f>
        <v>187259852</v>
      </c>
      <c r="B994" t="str">
        <f t="shared" si="127"/>
        <v>060696201</v>
      </c>
      <c r="C994" t="str">
        <f t="shared" si="128"/>
        <v>GRASSE-Villa St Hilaire</v>
      </c>
      <c r="D994" t="str">
        <f t="shared" si="129"/>
        <v>43.65711599999999</v>
      </c>
      <c r="E994" t="str">
        <f t="shared" si="130"/>
        <v>6.9183745</v>
      </c>
      <c r="F994" t="str">
        <f t="shared" si="131"/>
        <v>La Voix du peuple  [Ressource électronique]</v>
      </c>
      <c r="G994" t="str">
        <f t="shared" si="132"/>
        <v>La Voix du peuple</v>
      </c>
      <c r="H994" t="str">
        <f t="shared" si="133"/>
        <v>2462-0815</v>
      </c>
      <c r="I994" t="str">
        <f t="shared" si="134"/>
        <v>no. 1 (29-sep-1896) - no. 24  (25-jun-1927) [Lacunaire entre 1916 et 1918]</v>
      </c>
    </row>
    <row r="995" spans="1:9" x14ac:dyDescent="0.25">
      <c r="A995" t="str">
        <f>"040277755"</f>
        <v>040277755</v>
      </c>
      <c r="B995" t="str">
        <f t="shared" si="127"/>
        <v>991385301</v>
      </c>
      <c r="C995" t="str">
        <f t="shared" si="128"/>
        <v>MONACO-Musée Océanographique</v>
      </c>
      <c r="D995" t="str">
        <f t="shared" si="129"/>
        <v>43.7310033</v>
      </c>
      <c r="E995" t="str">
        <f t="shared" si="130"/>
        <v>7.425491600000001</v>
      </c>
      <c r="F995" t="str">
        <f t="shared" si="131"/>
        <v>Technical reports accessions list  [Texte imprimé]</v>
      </c>
      <c r="G995" t="str">
        <f t="shared" si="132"/>
        <v>Technical reports accessions list</v>
      </c>
      <c r="H995" t="str">
        <f t="shared" si="133"/>
        <v>1054-2094</v>
      </c>
      <c r="I995" t="str">
        <f t="shared" si="134"/>
        <v>(mai-1989)-....</v>
      </c>
    </row>
    <row r="996" spans="1:9" x14ac:dyDescent="0.25">
      <c r="A996" t="str">
        <f>"040291367"</f>
        <v>040291367</v>
      </c>
      <c r="B996" t="str">
        <f t="shared" si="127"/>
        <v>991385301</v>
      </c>
      <c r="C996" t="str">
        <f t="shared" si="128"/>
        <v>MONACO-Musée Océanographique</v>
      </c>
      <c r="D996" t="str">
        <f t="shared" si="129"/>
        <v>43.7310033</v>
      </c>
      <c r="E996" t="str">
        <f t="shared" si="130"/>
        <v>7.425491600000001</v>
      </c>
      <c r="F996" t="str">
        <f t="shared" si="131"/>
        <v>U.S. JGOFS news  [Texte imprimé]</v>
      </c>
      <c r="G996" t="str">
        <f t="shared" si="132"/>
        <v>U.S. JGOFS news</v>
      </c>
      <c r="H996" t="str">
        <f t="shared" si="133"/>
        <v>1061-5946</v>
      </c>
      <c r="I996" t="str">
        <f t="shared" si="134"/>
        <v>vol. 1 no. 3 (1989)</v>
      </c>
    </row>
    <row r="997" spans="1:9" x14ac:dyDescent="0.25">
      <c r="A997" t="str">
        <f>"040304205"</f>
        <v>040304205</v>
      </c>
      <c r="B997" t="str">
        <f t="shared" si="127"/>
        <v>991385301</v>
      </c>
      <c r="C997" t="str">
        <f t="shared" si="128"/>
        <v>MONACO-Musée Océanographique</v>
      </c>
      <c r="D997" t="str">
        <f t="shared" si="129"/>
        <v>43.7310033</v>
      </c>
      <c r="E997" t="str">
        <f t="shared" si="130"/>
        <v>7.425491600000001</v>
      </c>
      <c r="F997" t="str">
        <f t="shared" si="131"/>
        <v>Pacific basin marine education newsletter  [Texte imprimé]</v>
      </c>
      <c r="G997" t="str">
        <f t="shared" si="132"/>
        <v>Pacific basin marine education newsletter</v>
      </c>
      <c r="H997" t="str">
        <f t="shared" si="133"/>
        <v>1068-3399</v>
      </c>
      <c r="I997" t="str">
        <f t="shared" si="134"/>
        <v>vol. 1 no. 1 (1986)-....</v>
      </c>
    </row>
    <row r="998" spans="1:9" x14ac:dyDescent="0.25">
      <c r="A998" t="str">
        <f>"050926810"</f>
        <v>050926810</v>
      </c>
      <c r="B998" t="str">
        <f t="shared" si="127"/>
        <v>831375101</v>
      </c>
      <c r="C998" t="str">
        <f t="shared" si="128"/>
        <v>TOULON-Serv.Historique Marine</v>
      </c>
      <c r="D998" t="str">
        <f t="shared" si="129"/>
        <v>43.124228</v>
      </c>
      <c r="E998" t="str">
        <f t="shared" si="130"/>
        <v>5.928</v>
      </c>
      <c r="F998" t="str">
        <f t="shared" si="131"/>
        <v>Raccolta di R. determinazioni, regolamenti, decisioni, ed altri provvedimenti relativi all'amministrazione ed al servizio militare di terra e di mare  [Texte imprimé]</v>
      </c>
      <c r="G998" t="str">
        <f t="shared" si="132"/>
        <v>Raccolta di R. determinazioni, regolamenti, decisioni, ed altri provvedimenti relativi all'amministrazione ed al servizio militare di terra e di mare</v>
      </c>
      <c r="H998" t="str">
        <f t="shared" si="133"/>
        <v>1591-0822</v>
      </c>
      <c r="I998" t="str">
        <f t="shared" si="134"/>
        <v>(1848) - (1859)</v>
      </c>
    </row>
    <row r="999" spans="1:9" x14ac:dyDescent="0.25">
      <c r="A999" t="str">
        <f>"036428736"</f>
        <v>036428736</v>
      </c>
      <c r="B999" t="str">
        <f t="shared" si="127"/>
        <v>991385301</v>
      </c>
      <c r="C999" t="str">
        <f t="shared" si="128"/>
        <v>MONACO-Musée Océanographique</v>
      </c>
      <c r="D999" t="str">
        <f t="shared" si="129"/>
        <v>43.7310033</v>
      </c>
      <c r="E999" t="str">
        <f t="shared" si="130"/>
        <v>7.425491600000001</v>
      </c>
      <c r="F999" t="str">
        <f t="shared" si="131"/>
        <v>Southeast Asian fisheries development center. Marine fisheries research department. Annual report</v>
      </c>
      <c r="G999" t="str">
        <f t="shared" si="132"/>
        <v>Southeast Asian fisheries development center. Marine fisheries research department. Annual report</v>
      </c>
      <c r="H999" t="e">
        <f t="shared" si="133"/>
        <v>#VALUE!</v>
      </c>
      <c r="I999" t="str">
        <f t="shared" si="134"/>
        <v>(1969)-....</v>
      </c>
    </row>
    <row r="1000" spans="1:9" x14ac:dyDescent="0.25">
      <c r="A1000" t="str">
        <f>"037950509"</f>
        <v>037950509</v>
      </c>
      <c r="B1000" t="str">
        <f t="shared" si="127"/>
        <v>991386201</v>
      </c>
      <c r="C1000" t="str">
        <f t="shared" si="128"/>
        <v>MONACO-Bibl.Louis Notari</v>
      </c>
      <c r="D1000" t="str">
        <f t="shared" si="129"/>
        <v>43.7351319</v>
      </c>
      <c r="E1000" t="str">
        <f t="shared" si="130"/>
        <v>7.420563100000001</v>
      </c>
      <c r="F1000" t="str">
        <f t="shared" si="131"/>
        <v>Annuaire du sport automobile et vélocipédique de Monaco  [Texte imprimé]</v>
      </c>
      <c r="G1000" t="str">
        <f t="shared" si="132"/>
        <v>Annuaire du sport automobile et vélocipédique de Monaco</v>
      </c>
      <c r="H1000" t="str">
        <f t="shared" si="133"/>
        <v>1011-1360</v>
      </c>
      <c r="I1000" t="str">
        <f t="shared" si="134"/>
        <v>(1914) - (1925)</v>
      </c>
    </row>
    <row r="1001" spans="1:9" x14ac:dyDescent="0.25">
      <c r="A1001" t="str">
        <f>"039807568"</f>
        <v>039807568</v>
      </c>
      <c r="B1001" t="str">
        <f t="shared" si="127"/>
        <v>060882305</v>
      </c>
      <c r="C1001" t="str">
        <f t="shared" si="128"/>
        <v>NICE-Institut européen</v>
      </c>
      <c r="D1001" t="str">
        <f t="shared" si="129"/>
        <v>43.697776</v>
      </c>
      <c r="E1001" t="str">
        <f t="shared" si="130"/>
        <v>7.254210999999999</v>
      </c>
      <c r="F1001" t="e">
        <f t="shared" si="131"/>
        <v>#VALUE!</v>
      </c>
      <c r="G1001" t="str">
        <f t="shared" si="132"/>
        <v>Cahiers</v>
      </c>
      <c r="H1001" t="str">
        <f t="shared" si="133"/>
        <v>0982-5673</v>
      </c>
      <c r="I1001" t="str">
        <f t="shared" si="134"/>
        <v>(1986) - (1991)</v>
      </c>
    </row>
    <row r="1002" spans="1:9" x14ac:dyDescent="0.25">
      <c r="A1002" t="str">
        <f>"136589987"</f>
        <v>136589987</v>
      </c>
      <c r="B1002" t="str">
        <f t="shared" si="127"/>
        <v>060885105</v>
      </c>
      <c r="C1002" t="str">
        <f t="shared" si="128"/>
        <v>NICE-Bibl.Chevalier de Cessole</v>
      </c>
      <c r="D1002" t="str">
        <f t="shared" si="129"/>
        <v>43.6956246</v>
      </c>
      <c r="E1002" t="str">
        <f t="shared" si="130"/>
        <v>7.259380900000001</v>
      </c>
      <c r="F1002" t="str">
        <f t="shared" si="131"/>
        <v>La Colonie étrangère  [Texte imprimé]</v>
      </c>
      <c r="G1002" t="str">
        <f t="shared" si="132"/>
        <v>La Colonie étrangère</v>
      </c>
      <c r="H1002" t="str">
        <f t="shared" si="133"/>
        <v>2124-0558</v>
      </c>
      <c r="I1002" t="str">
        <f t="shared" si="134"/>
        <v>no. 324 (10-fev-1883) - (fev-1883)</v>
      </c>
    </row>
    <row r="1003" spans="1:9" x14ac:dyDescent="0.25">
      <c r="A1003" t="str">
        <f>"036746185"</f>
        <v>036746185</v>
      </c>
      <c r="B1003" t="str">
        <f t="shared" si="127"/>
        <v>991385201</v>
      </c>
      <c r="C1003" t="str">
        <f t="shared" si="128"/>
        <v>MONACO-Jardin exotique</v>
      </c>
      <c r="D1003" t="str">
        <f t="shared" si="129"/>
        <v>43.7310908</v>
      </c>
      <c r="E1003" t="str">
        <f t="shared" si="130"/>
        <v>7.410747499999999</v>
      </c>
      <c r="F1003" t="str">
        <f t="shared" si="131"/>
        <v>Haworthiad  [Texte imprimé]</v>
      </c>
      <c r="G1003" t="str">
        <f t="shared" si="132"/>
        <v>Haworthiad</v>
      </c>
      <c r="H1003" t="str">
        <f t="shared" si="133"/>
        <v>1359-1614</v>
      </c>
      <c r="I1003" t="str">
        <f t="shared" si="134"/>
        <v>vol. 3 no. 3 (1989) - vol. 16  no. 3  (2002) ; vol. 17 no. 1 (2003)-....</v>
      </c>
    </row>
    <row r="1004" spans="1:9" x14ac:dyDescent="0.25">
      <c r="A1004" t="str">
        <f>"039066894"</f>
        <v>039066894</v>
      </c>
      <c r="B1004" t="str">
        <f t="shared" si="127"/>
        <v>831376201</v>
      </c>
      <c r="C1004" t="str">
        <f t="shared" si="128"/>
        <v>TOULON-BM</v>
      </c>
      <c r="D1004" t="str">
        <f t="shared" si="129"/>
        <v>43.0823215</v>
      </c>
      <c r="E1004" t="str">
        <f t="shared" si="130"/>
        <v>5.920052699999999</v>
      </c>
      <c r="F1004" t="str">
        <f t="shared" si="131"/>
        <v>La Feuille toulonnaise  [Texte imprimé]</v>
      </c>
      <c r="G1004" t="str">
        <f t="shared" si="132"/>
        <v>La Feuille toulonnaise</v>
      </c>
      <c r="H1004" t="str">
        <f t="shared" si="133"/>
        <v>2017-1269</v>
      </c>
      <c r="I1004" t="str">
        <f t="shared" si="134"/>
        <v>no. 1 (1898) - no. 5  (1898)</v>
      </c>
    </row>
    <row r="1005" spans="1:9" x14ac:dyDescent="0.25">
      <c r="A1005" t="str">
        <f>"039095959"</f>
        <v>039095959</v>
      </c>
      <c r="B1005" t="str">
        <f t="shared" si="127"/>
        <v>831376201</v>
      </c>
      <c r="C1005" t="str">
        <f t="shared" si="128"/>
        <v>TOULON-BM</v>
      </c>
      <c r="D1005" t="str">
        <f t="shared" si="129"/>
        <v>43.0823215</v>
      </c>
      <c r="E1005" t="str">
        <f t="shared" si="130"/>
        <v>5.920052699999999</v>
      </c>
      <c r="F1005" t="str">
        <f t="shared" si="131"/>
        <v>Eldorado-programme  [Texte imprimé]</v>
      </c>
      <c r="G1005" t="str">
        <f t="shared" si="132"/>
        <v>Eldorado-programme</v>
      </c>
      <c r="H1005" t="str">
        <f t="shared" si="133"/>
        <v>2017-2311</v>
      </c>
      <c r="I1005" t="str">
        <f t="shared" si="134"/>
        <v>no. 100 (1874)</v>
      </c>
    </row>
    <row r="1006" spans="1:9" x14ac:dyDescent="0.25">
      <c r="A1006" t="str">
        <f>"048886955"</f>
        <v>048886955</v>
      </c>
      <c r="B1006" t="str">
        <f t="shared" si="127"/>
        <v>831375101</v>
      </c>
      <c r="C1006" t="str">
        <f t="shared" si="128"/>
        <v>TOULON-Serv.Historique Marine</v>
      </c>
      <c r="D1006" t="str">
        <f t="shared" si="129"/>
        <v>43.124228</v>
      </c>
      <c r="E1006" t="str">
        <f t="shared" si="130"/>
        <v>5.928</v>
      </c>
      <c r="F1006" t="str">
        <f t="shared" si="131"/>
        <v>Bulletin d'informations  [Texte imprimé]  / Association amicale des officiers et anciens officiers du Commissariat de la marine et des anciens élèves de l'école du Commissariat de la Marine</v>
      </c>
      <c r="G1006" t="str">
        <f t="shared" si="132"/>
        <v>Bulletin d'informations</v>
      </c>
      <c r="H1006" t="str">
        <f t="shared" si="133"/>
        <v>2020-6194</v>
      </c>
      <c r="I1006" t="str">
        <f t="shared" si="134"/>
        <v>no. 14 (1955) - no. 34  (1963)</v>
      </c>
    </row>
    <row r="1007" spans="1:9" x14ac:dyDescent="0.25">
      <c r="A1007" t="str">
        <f>"137907990"</f>
        <v>137907990</v>
      </c>
      <c r="B1007" t="str">
        <f t="shared" si="127"/>
        <v>060885105</v>
      </c>
      <c r="C1007" t="str">
        <f t="shared" si="128"/>
        <v>NICE-Bibl.Chevalier de Cessole</v>
      </c>
      <c r="D1007" t="str">
        <f t="shared" si="129"/>
        <v>43.6956246</v>
      </c>
      <c r="E1007" t="str">
        <f t="shared" si="130"/>
        <v>7.259380900000001</v>
      </c>
      <c r="F1007" t="str">
        <f t="shared" si="131"/>
        <v>Le Niçard  [Texte imprimé]</v>
      </c>
      <c r="G1007" t="str">
        <f t="shared" si="132"/>
        <v>Le Niçard</v>
      </c>
      <c r="H1007" t="str">
        <f t="shared" si="133"/>
        <v>2132-7890</v>
      </c>
      <c r="I1007" t="str">
        <f t="shared" si="134"/>
        <v>no. 14 (11-jul-1903) - no. 573  (09-mar-1912) [lacunes]</v>
      </c>
    </row>
    <row r="1008" spans="1:9" x14ac:dyDescent="0.25">
      <c r="A1008" t="str">
        <f>"172104734"</f>
        <v>172104734</v>
      </c>
      <c r="B1008" t="str">
        <f t="shared" si="127"/>
        <v>060886101</v>
      </c>
      <c r="C1008" t="str">
        <f t="shared" si="128"/>
        <v>NICE- BMVR Louis Nucéra</v>
      </c>
      <c r="D1008" t="str">
        <f t="shared" si="129"/>
        <v>43.7015650</v>
      </c>
      <c r="E1008" t="str">
        <f t="shared" si="130"/>
        <v>7.2786247</v>
      </c>
      <c r="F1008" t="str">
        <f t="shared" si="131"/>
        <v>Parenthèse  [Texte imprimé]</v>
      </c>
      <c r="G1008" t="str">
        <f t="shared" si="132"/>
        <v>Parenthèse</v>
      </c>
      <c r="H1008" t="str">
        <f t="shared" si="133"/>
        <v>2268-4905</v>
      </c>
      <c r="I1008" t="str">
        <f t="shared" si="134"/>
        <v>no. 4 (2012)-....</v>
      </c>
    </row>
    <row r="1009" spans="1:9" x14ac:dyDescent="0.25">
      <c r="A1009" t="str">
        <f>"039034380"</f>
        <v>039034380</v>
      </c>
      <c r="B1009" t="str">
        <f t="shared" si="127"/>
        <v>831376201</v>
      </c>
      <c r="C1009" t="str">
        <f t="shared" si="128"/>
        <v>TOULON-BM</v>
      </c>
      <c r="D1009" t="str">
        <f t="shared" si="129"/>
        <v>43.0823215</v>
      </c>
      <c r="E1009" t="str">
        <f t="shared" si="130"/>
        <v>5.920052699999999</v>
      </c>
      <c r="F1009" t="str">
        <f t="shared" si="131"/>
        <v>Le Carnaval de Toulon  [Texte imprimé]</v>
      </c>
      <c r="G1009" t="str">
        <f t="shared" si="132"/>
        <v>Le Carnaval de Toulon</v>
      </c>
      <c r="H1009" t="str">
        <f t="shared" si="133"/>
        <v>2016-6249</v>
      </c>
      <c r="I1009" t="str">
        <f t="shared" si="134"/>
        <v>(1923) - (1924) ; (1926) - (1927)</v>
      </c>
    </row>
    <row r="1010" spans="1:9" x14ac:dyDescent="0.25">
      <c r="A1010" t="str">
        <f>"036177490"</f>
        <v>036177490</v>
      </c>
      <c r="B1010" t="str">
        <f t="shared" si="127"/>
        <v>991385301</v>
      </c>
      <c r="C1010" t="str">
        <f t="shared" si="128"/>
        <v>MONACO-Musée Océanographique</v>
      </c>
      <c r="D1010" t="str">
        <f t="shared" si="129"/>
        <v>43.7310033</v>
      </c>
      <c r="E1010" t="str">
        <f t="shared" si="130"/>
        <v>7.425491600000001</v>
      </c>
      <c r="F1010" t="str">
        <f t="shared" si="131"/>
        <v>Australian fisheries paper  [Texte imprimé]</v>
      </c>
      <c r="G1010" t="str">
        <f t="shared" si="132"/>
        <v>Australian fisheries paper</v>
      </c>
      <c r="H1010" t="e">
        <f t="shared" si="133"/>
        <v>#VALUE!</v>
      </c>
      <c r="I1010" t="str">
        <f t="shared" si="134"/>
        <v>(1970) - (1977)</v>
      </c>
    </row>
    <row r="1011" spans="1:9" x14ac:dyDescent="0.25">
      <c r="A1011" t="str">
        <f>"036240745"</f>
        <v>036240745</v>
      </c>
      <c r="B1011" t="str">
        <f t="shared" si="127"/>
        <v>991385301</v>
      </c>
      <c r="C1011" t="str">
        <f t="shared" si="128"/>
        <v>MONACO-Musée Océanographique</v>
      </c>
      <c r="D1011" t="str">
        <f t="shared" si="129"/>
        <v>43.7310033</v>
      </c>
      <c r="E1011" t="str">
        <f t="shared" si="130"/>
        <v>7.425491600000001</v>
      </c>
      <c r="F1011" t="str">
        <f t="shared" si="131"/>
        <v>Division of biological research. Collected reprints.</v>
      </c>
      <c r="G1011" t="str">
        <f t="shared" si="132"/>
        <v>Division of biological research. Collected reprints.</v>
      </c>
      <c r="H1011" t="e">
        <f t="shared" si="133"/>
        <v>#VALUE!</v>
      </c>
      <c r="I1011" t="e">
        <f t="shared" si="134"/>
        <v>#VALUE!</v>
      </c>
    </row>
    <row r="1012" spans="1:9" x14ac:dyDescent="0.25">
      <c r="A1012" t="str">
        <f>"040148424"</f>
        <v>040148424</v>
      </c>
      <c r="B1012" t="str">
        <f t="shared" si="127"/>
        <v>991385201</v>
      </c>
      <c r="C1012" t="str">
        <f t="shared" si="128"/>
        <v>MONACO-Jardin exotique</v>
      </c>
      <c r="D1012" t="str">
        <f t="shared" si="129"/>
        <v>43.7310908</v>
      </c>
      <c r="E1012" t="str">
        <f t="shared" si="130"/>
        <v>7.410747499999999</v>
      </c>
      <c r="F1012" t="str">
        <f t="shared" si="131"/>
        <v>Feuille de liaison et d'information  [Texte imprimé]  / Société centrale d'agriculture</v>
      </c>
      <c r="G1012" t="str">
        <f t="shared" si="132"/>
        <v>Feuille de liaison et d'information</v>
      </c>
      <c r="H1012" t="str">
        <f t="shared" si="133"/>
        <v>1247-0201</v>
      </c>
      <c r="I1012" t="str">
        <f t="shared" si="134"/>
        <v>no. 1 (1991) - no. 7  (1992)</v>
      </c>
    </row>
    <row r="1013" spans="1:9" x14ac:dyDescent="0.25">
      <c r="A1013" t="str">
        <f>"156153858"</f>
        <v>156153858</v>
      </c>
      <c r="B1013" t="str">
        <f t="shared" si="127"/>
        <v>060696201</v>
      </c>
      <c r="C1013" t="str">
        <f t="shared" si="128"/>
        <v>GRASSE-Villa St Hilaire</v>
      </c>
      <c r="D1013" t="str">
        <f t="shared" si="129"/>
        <v>43.65711599999999</v>
      </c>
      <c r="E1013" t="str">
        <f t="shared" si="130"/>
        <v>6.9183745</v>
      </c>
      <c r="F1013" t="str">
        <f t="shared" si="131"/>
        <v>Le Progrès de Grasse  [Texte imprimé]</v>
      </c>
      <c r="G1013" t="str">
        <f t="shared" si="132"/>
        <v>Le Progrès de Grasse</v>
      </c>
      <c r="H1013" t="str">
        <f t="shared" si="133"/>
        <v>2135-3611</v>
      </c>
      <c r="I1013" t="str">
        <f t="shared" si="134"/>
        <v>no. 1 (19-sep-1936) - no. 12  (25-mar-1939)</v>
      </c>
    </row>
    <row r="1014" spans="1:9" x14ac:dyDescent="0.25">
      <c r="A1014" t="str">
        <f>"036228575"</f>
        <v>036228575</v>
      </c>
      <c r="B1014" t="str">
        <f t="shared" si="127"/>
        <v>991385301</v>
      </c>
      <c r="C1014" t="str">
        <f t="shared" si="128"/>
        <v>MONACO-Musée Océanographique</v>
      </c>
      <c r="D1014" t="str">
        <f t="shared" si="129"/>
        <v>43.7310033</v>
      </c>
      <c r="E1014" t="str">
        <f t="shared" si="130"/>
        <v>7.425491600000001</v>
      </c>
      <c r="F1014" t="str">
        <f t="shared" si="131"/>
        <v>Contributions from the Lamont-Doherty geological observatory, Columbia university</v>
      </c>
      <c r="G1014" t="str">
        <f t="shared" si="132"/>
        <v>Contributions from the Lamont-Doherty geological observatory, Columbia university</v>
      </c>
      <c r="H1014" t="e">
        <f t="shared" si="133"/>
        <v>#VALUE!</v>
      </c>
      <c r="I1014" t="str">
        <f t="shared" si="134"/>
        <v>(1968)-....</v>
      </c>
    </row>
    <row r="1015" spans="1:9" x14ac:dyDescent="0.25">
      <c r="A1015" t="str">
        <f>"04017543X"</f>
        <v>04017543X</v>
      </c>
      <c r="B1015" t="str">
        <f t="shared" si="127"/>
        <v>991386201</v>
      </c>
      <c r="C1015" t="str">
        <f t="shared" si="128"/>
        <v>MONACO-Bibl.Louis Notari</v>
      </c>
      <c r="D1015" t="str">
        <f t="shared" si="129"/>
        <v>43.7351319</v>
      </c>
      <c r="E1015" t="str">
        <f t="shared" si="130"/>
        <v>7.420563100000001</v>
      </c>
      <c r="F1015" t="str">
        <f t="shared" si="131"/>
        <v>L'Echo de la sûreté publique  [Texte imprimé]</v>
      </c>
      <c r="G1015" t="str">
        <f t="shared" si="132"/>
        <v>L'Echo de la sûreté publique</v>
      </c>
      <c r="H1015" t="str">
        <f t="shared" si="133"/>
        <v>1018-9882</v>
      </c>
      <c r="I1015" t="str">
        <f t="shared" si="134"/>
        <v>vol. 1 (1990)-....</v>
      </c>
    </row>
    <row r="1016" spans="1:9" x14ac:dyDescent="0.25">
      <c r="A1016" t="str">
        <f>"050926780"</f>
        <v>050926780</v>
      </c>
      <c r="B1016" t="str">
        <f t="shared" si="127"/>
        <v>831375101</v>
      </c>
      <c r="C1016" t="str">
        <f t="shared" si="128"/>
        <v>TOULON-Serv.Historique Marine</v>
      </c>
      <c r="D1016" t="str">
        <f t="shared" si="129"/>
        <v>43.124228</v>
      </c>
      <c r="E1016" t="str">
        <f t="shared" si="130"/>
        <v>5.928</v>
      </c>
      <c r="F1016" t="str">
        <f t="shared" si="131"/>
        <v>Ordnance. Land, sea, air, space  [Texte imprimé]</v>
      </c>
      <c r="G1016" t="str">
        <f t="shared" si="132"/>
        <v>Ordnance. Land, sea, air, space</v>
      </c>
      <c r="H1016" t="e">
        <f t="shared" si="133"/>
        <v>#VALUE!</v>
      </c>
      <c r="I1016" t="str">
        <f t="shared" si="134"/>
        <v>vol. 46 no. 247 (1961) - vol. 46  no. 250  (1962)</v>
      </c>
    </row>
    <row r="1017" spans="1:9" x14ac:dyDescent="0.25">
      <c r="A1017" t="str">
        <f>"137875649"</f>
        <v>137875649</v>
      </c>
      <c r="B1017" t="str">
        <f t="shared" si="127"/>
        <v>060885105</v>
      </c>
      <c r="C1017" t="str">
        <f t="shared" si="128"/>
        <v>NICE-Bibl.Chevalier de Cessole</v>
      </c>
      <c r="D1017" t="str">
        <f t="shared" si="129"/>
        <v>43.6956246</v>
      </c>
      <c r="E1017" t="str">
        <f t="shared" si="130"/>
        <v>7.259380900000001</v>
      </c>
      <c r="F1017" t="str">
        <f t="shared" si="131"/>
        <v>L'Indépendant des Alpes-Maritimes  [Texte imprimé]</v>
      </c>
      <c r="G1017" t="str">
        <f t="shared" si="132"/>
        <v>L'Indépendant des Alpes-Maritimes</v>
      </c>
      <c r="H1017" t="str">
        <f t="shared" si="133"/>
        <v>2129-5867</v>
      </c>
      <c r="I1017" t="str">
        <f t="shared" si="134"/>
        <v>no. 83 (20-aou-1881)</v>
      </c>
    </row>
    <row r="1018" spans="1:9" x14ac:dyDescent="0.25">
      <c r="A1018" t="str">
        <f>"140657452"</f>
        <v>140657452</v>
      </c>
      <c r="B1018" t="str">
        <f t="shared" si="127"/>
        <v>060885105</v>
      </c>
      <c r="C1018" t="str">
        <f t="shared" si="128"/>
        <v>NICE-Bibl.Chevalier de Cessole</v>
      </c>
      <c r="D1018" t="str">
        <f t="shared" si="129"/>
        <v>43.6956246</v>
      </c>
      <c r="E1018" t="str">
        <f t="shared" si="130"/>
        <v>7.259380900000001</v>
      </c>
      <c r="F1018" t="str">
        <f t="shared" si="131"/>
        <v>La République sociale  [Texte imprimé]</v>
      </c>
      <c r="G1018" t="str">
        <f t="shared" si="132"/>
        <v>La République sociale</v>
      </c>
      <c r="H1018" t="str">
        <f t="shared" si="133"/>
        <v>2136-5970</v>
      </c>
      <c r="I1018" t="str">
        <f t="shared" si="134"/>
        <v>no. 1 (21-jul-1895) - no. 38  (7-mai-1896) [lacunes]</v>
      </c>
    </row>
    <row r="1019" spans="1:9" x14ac:dyDescent="0.25">
      <c r="A1019" t="str">
        <f>"037979795"</f>
        <v>037979795</v>
      </c>
      <c r="B1019" t="str">
        <f t="shared" si="127"/>
        <v>991386201</v>
      </c>
      <c r="C1019" t="str">
        <f t="shared" si="128"/>
        <v>MONACO-Bibl.Louis Notari</v>
      </c>
      <c r="D1019" t="str">
        <f t="shared" si="129"/>
        <v>43.7351319</v>
      </c>
      <c r="E1019" t="str">
        <f t="shared" si="130"/>
        <v>7.420563100000001</v>
      </c>
      <c r="F1019" t="str">
        <f t="shared" si="131"/>
        <v>La Vérité  [Texte imprimé]</v>
      </c>
      <c r="G1019" t="str">
        <f t="shared" si="132"/>
        <v>La Vérité</v>
      </c>
      <c r="H1019" t="str">
        <f t="shared" si="133"/>
        <v>1018-9963</v>
      </c>
      <c r="I1019" t="str">
        <f t="shared" si="134"/>
        <v>(mar-1911) - (jul-1914)</v>
      </c>
    </row>
    <row r="1020" spans="1:9" x14ac:dyDescent="0.25">
      <c r="A1020" t="str">
        <f>"038416069"</f>
        <v>038416069</v>
      </c>
      <c r="B1020" t="str">
        <f t="shared" si="127"/>
        <v>991385201</v>
      </c>
      <c r="C1020" t="str">
        <f t="shared" si="128"/>
        <v>MONACO-Jardin exotique</v>
      </c>
      <c r="D1020" t="str">
        <f t="shared" si="129"/>
        <v>43.7310908</v>
      </c>
      <c r="E1020" t="str">
        <f t="shared" si="130"/>
        <v>7.410747499999999</v>
      </c>
      <c r="F1020" t="str">
        <f t="shared" si="131"/>
        <v>Succulent scene  [Texte imprimé]</v>
      </c>
      <c r="G1020" t="str">
        <f t="shared" si="132"/>
        <v>Succulent scene</v>
      </c>
      <c r="H1020" t="str">
        <f t="shared" si="133"/>
        <v>1754-6044</v>
      </c>
      <c r="I1020" t="str">
        <f t="shared" si="134"/>
        <v>no. 1 (1981)</v>
      </c>
    </row>
    <row r="1021" spans="1:9" x14ac:dyDescent="0.25">
      <c r="A1021" t="str">
        <f>"038427338"</f>
        <v>038427338</v>
      </c>
      <c r="B1021" t="str">
        <f t="shared" si="127"/>
        <v>060882303</v>
      </c>
      <c r="C1021" t="str">
        <f t="shared" si="128"/>
        <v>NICE-Museum Hist.Naturelle</v>
      </c>
      <c r="D1021" t="str">
        <f t="shared" si="129"/>
        <v>43.7017477</v>
      </c>
      <c r="E1021" t="str">
        <f t="shared" si="130"/>
        <v>7.279483399999999</v>
      </c>
      <c r="F1021" t="str">
        <f t="shared" si="131"/>
        <v>Quaderni del Museo di paleontologia e scienze naturali di Voghera  [Texte imprimé]</v>
      </c>
      <c r="G1021" t="str">
        <f t="shared" si="132"/>
        <v>Quaderni del Museo di paleontologia e scienze naturali di Voghera</v>
      </c>
      <c r="H1021" t="e">
        <f t="shared" si="133"/>
        <v>#VALUE!</v>
      </c>
      <c r="I1021" t="str">
        <f t="shared" si="134"/>
        <v>no. 1 (1978) - (1982)</v>
      </c>
    </row>
    <row r="1022" spans="1:9" x14ac:dyDescent="0.25">
      <c r="A1022" t="str">
        <f>"039096394"</f>
        <v>039096394</v>
      </c>
      <c r="B1022" t="str">
        <f t="shared" si="127"/>
        <v>831376201</v>
      </c>
      <c r="C1022" t="str">
        <f t="shared" si="128"/>
        <v>TOULON-BM</v>
      </c>
      <c r="D1022" t="str">
        <f t="shared" si="129"/>
        <v>43.0823215</v>
      </c>
      <c r="E1022" t="str">
        <f t="shared" si="130"/>
        <v>5.920052699999999</v>
      </c>
      <c r="F1022" t="str">
        <f t="shared" si="131"/>
        <v>Almanach de la ville de Toulon et de son arrondissement  [Texte imprimé]</v>
      </c>
      <c r="G1022" t="str">
        <f t="shared" si="132"/>
        <v>Almanach de la ville de Toulon et de son arrondissement</v>
      </c>
      <c r="H1022" t="str">
        <f t="shared" si="133"/>
        <v>2015-6464</v>
      </c>
      <c r="I1022">
        <f t="shared" si="134"/>
        <v>-1813</v>
      </c>
    </row>
    <row r="1023" spans="1:9" x14ac:dyDescent="0.25">
      <c r="A1023" t="str">
        <f>"039096416"</f>
        <v>039096416</v>
      </c>
      <c r="B1023" t="str">
        <f t="shared" si="127"/>
        <v>831376201</v>
      </c>
      <c r="C1023" t="str">
        <f t="shared" si="128"/>
        <v>TOULON-BM</v>
      </c>
      <c r="D1023" t="str">
        <f t="shared" si="129"/>
        <v>43.0823215</v>
      </c>
      <c r="E1023" t="str">
        <f t="shared" si="130"/>
        <v>5.920052699999999</v>
      </c>
      <c r="F1023" t="str">
        <f t="shared" si="131"/>
        <v>L'Argus toulonnais  [Texte imprimé]</v>
      </c>
      <c r="G1023" t="str">
        <f t="shared" si="132"/>
        <v>L'Argus toulonnais</v>
      </c>
      <c r="H1023" t="str">
        <f t="shared" si="133"/>
        <v>2015-9935</v>
      </c>
      <c r="I1023" t="str">
        <f t="shared" si="134"/>
        <v>no. 1 (jul-1908) - (oct-1908)</v>
      </c>
    </row>
    <row r="1024" spans="1:9" x14ac:dyDescent="0.25">
      <c r="A1024" t="str">
        <f>"140656138"</f>
        <v>140656138</v>
      </c>
      <c r="B1024" t="str">
        <f t="shared" si="127"/>
        <v>060885105</v>
      </c>
      <c r="C1024" t="str">
        <f t="shared" si="128"/>
        <v>NICE-Bibl.Chevalier de Cessole</v>
      </c>
      <c r="D1024" t="str">
        <f t="shared" si="129"/>
        <v>43.6956246</v>
      </c>
      <c r="E1024" t="str">
        <f t="shared" si="130"/>
        <v>7.259380900000001</v>
      </c>
      <c r="F1024" t="str">
        <f t="shared" si="131"/>
        <v>Le Républicain niçois  [Texte imprimé]</v>
      </c>
      <c r="G1024" t="str">
        <f t="shared" si="132"/>
        <v>Le Républicain niçois</v>
      </c>
      <c r="H1024" t="str">
        <f t="shared" si="133"/>
        <v>2136-4621</v>
      </c>
      <c r="I1024" t="str">
        <f t="shared" si="134"/>
        <v>no. 1 (18-sep-1889) - no. 6  (23-sep-1889)</v>
      </c>
    </row>
    <row r="1025" spans="1:9" x14ac:dyDescent="0.25">
      <c r="A1025" t="str">
        <f>"039096041"</f>
        <v>039096041</v>
      </c>
      <c r="B1025" t="str">
        <f t="shared" si="127"/>
        <v>831376201</v>
      </c>
      <c r="C1025" t="str">
        <f t="shared" si="128"/>
        <v>TOULON-BM</v>
      </c>
      <c r="D1025" t="str">
        <f t="shared" si="129"/>
        <v>43.0823215</v>
      </c>
      <c r="E1025" t="str">
        <f t="shared" si="130"/>
        <v>5.920052699999999</v>
      </c>
      <c r="F1025" t="str">
        <f t="shared" si="131"/>
        <v>Le Contentieux administratif  [Texte imprimé]</v>
      </c>
      <c r="G1025" t="str">
        <f t="shared" si="132"/>
        <v>Le Contentieux administratif</v>
      </c>
      <c r="H1025" t="str">
        <f t="shared" si="133"/>
        <v>2016-7849</v>
      </c>
      <c r="I1025" t="str">
        <f t="shared" si="134"/>
        <v>no. 1 (1866) - no. 36  (1869)</v>
      </c>
    </row>
    <row r="1026" spans="1:9" x14ac:dyDescent="0.25">
      <c r="A1026" t="str">
        <f>"039113469"</f>
        <v>039113469</v>
      </c>
      <c r="B1026" t="str">
        <f t="shared" si="127"/>
        <v>831376201</v>
      </c>
      <c r="C1026" t="str">
        <f t="shared" si="128"/>
        <v>TOULON-BM</v>
      </c>
      <c r="D1026" t="str">
        <f t="shared" si="129"/>
        <v>43.0823215</v>
      </c>
      <c r="E1026" t="str">
        <f t="shared" si="130"/>
        <v>5.920052699999999</v>
      </c>
      <c r="F1026" t="str">
        <f t="shared" si="131"/>
        <v>Les Soirées de la Société de Saint-François-Xavier  [Texte imprimé]</v>
      </c>
      <c r="G1026" t="str">
        <f t="shared" si="132"/>
        <v>Les Soirées de la Société de Saint-François-Xavier</v>
      </c>
      <c r="H1026" t="str">
        <f t="shared" si="133"/>
        <v>2018-5227</v>
      </c>
      <c r="I1026" t="str">
        <f t="shared" si="134"/>
        <v>(1860) - (1861) [lac. n°1,2,4,5,7,9-11 (1860);n°3,4,6-8,10-12(1861)]</v>
      </c>
    </row>
    <row r="1027" spans="1:9" x14ac:dyDescent="0.25">
      <c r="A1027" t="str">
        <f>"039141292"</f>
        <v>039141292</v>
      </c>
      <c r="B1027" t="str">
        <f t="shared" ref="B1027:B1090" si="135">TEXT(_xlfn.FILTERXML(_xlfn.WEBSERVICE("http://www.sudoc.fr/services/multiwhere/"&amp;A1027),"//query/result/library/rcr"),"000000000")</f>
        <v>831375101</v>
      </c>
      <c r="C1027" t="str">
        <f t="shared" si="128"/>
        <v>TOULON-Serv.Historique Marine</v>
      </c>
      <c r="D1027" t="str">
        <f t="shared" si="129"/>
        <v>43.124228</v>
      </c>
      <c r="E1027" t="str">
        <f t="shared" si="130"/>
        <v>5.928</v>
      </c>
      <c r="F1027" t="str">
        <f t="shared" si="131"/>
        <v>Annuaire des conservateurs d'archives  [Texte imprimé]</v>
      </c>
      <c r="G1027" t="str">
        <f t="shared" si="132"/>
        <v>Annuaire des conservateurs d'archives</v>
      </c>
      <c r="H1027" t="e">
        <f t="shared" si="133"/>
        <v>#VALUE!</v>
      </c>
      <c r="I1027">
        <f t="shared" si="134"/>
        <v>-1988</v>
      </c>
    </row>
    <row r="1028" spans="1:9" x14ac:dyDescent="0.25">
      <c r="A1028" t="str">
        <f>"037388479"</f>
        <v>037388479</v>
      </c>
      <c r="B1028" t="str">
        <f t="shared" si="135"/>
        <v>991385301</v>
      </c>
      <c r="C1028" t="str">
        <f t="shared" si="128"/>
        <v>MONACO-Musée Océanographique</v>
      </c>
      <c r="D1028" t="str">
        <f t="shared" si="129"/>
        <v>43.7310033</v>
      </c>
      <c r="E1028" t="str">
        <f t="shared" si="130"/>
        <v>7.425491600000001</v>
      </c>
      <c r="F1028" t="str">
        <f t="shared" si="131"/>
        <v>Acquisitions List  [Texte imprimé]  / RSMAS Library</v>
      </c>
      <c r="G1028" t="str">
        <f t="shared" si="132"/>
        <v>Acquisitions List</v>
      </c>
      <c r="H1028" t="e">
        <f t="shared" si="133"/>
        <v>#VALUE!</v>
      </c>
      <c r="I1028" t="str">
        <f t="shared" si="134"/>
        <v>(1983)-....</v>
      </c>
    </row>
    <row r="1029" spans="1:9" x14ac:dyDescent="0.25">
      <c r="A1029" t="str">
        <f>"04504709X"</f>
        <v>04504709X</v>
      </c>
      <c r="B1029" t="str">
        <f t="shared" si="135"/>
        <v>991385201</v>
      </c>
      <c r="C1029" t="str">
        <f t="shared" si="128"/>
        <v>MONACO-Jardin exotique</v>
      </c>
      <c r="D1029" t="str">
        <f t="shared" si="129"/>
        <v>43.7310908</v>
      </c>
      <c r="E1029" t="str">
        <f t="shared" si="130"/>
        <v>7.410747499999999</v>
      </c>
      <c r="F1029" t="str">
        <f t="shared" si="131"/>
        <v>Amateurs' digest  [Texte imprimé]</v>
      </c>
      <c r="G1029" t="str">
        <f t="shared" si="132"/>
        <v>Amateurs' digest</v>
      </c>
      <c r="H1029" t="str">
        <f t="shared" si="133"/>
        <v>1199-0791</v>
      </c>
      <c r="I1029" t="str">
        <f t="shared" si="134"/>
        <v>vol. 4 no. 5 (1993) - vol. 20  no. 3  (2008)</v>
      </c>
    </row>
    <row r="1030" spans="1:9" x14ac:dyDescent="0.25">
      <c r="A1030" t="str">
        <f>"037202332"</f>
        <v>037202332</v>
      </c>
      <c r="B1030" t="str">
        <f t="shared" si="135"/>
        <v>991385202</v>
      </c>
      <c r="C1030" t="str">
        <f t="shared" si="128"/>
        <v>MONACO-Musée Anthropol.Préhi</v>
      </c>
      <c r="D1030" t="str">
        <f t="shared" si="129"/>
        <v>43.73338</v>
      </c>
      <c r="E1030" t="str">
        <f t="shared" si="130"/>
        <v>7.413762599999999</v>
      </c>
      <c r="F1030" t="str">
        <f t="shared" si="131"/>
        <v>Serie arqueológica  [Texte imprimé]</v>
      </c>
      <c r="G1030" t="str">
        <f t="shared" si="132"/>
        <v>Serie arqueológica</v>
      </c>
      <c r="H1030" t="str">
        <f t="shared" si="133"/>
        <v>0258-6266</v>
      </c>
      <c r="I1030" t="str">
        <f t="shared" si="134"/>
        <v>no. 1 (1972) - no. 5  (1975)</v>
      </c>
    </row>
    <row r="1031" spans="1:9" x14ac:dyDescent="0.25">
      <c r="A1031" t="str">
        <f>"050926454"</f>
        <v>050926454</v>
      </c>
      <c r="B1031" t="str">
        <f t="shared" si="135"/>
        <v>831375101</v>
      </c>
      <c r="C1031" t="str">
        <f t="shared" si="128"/>
        <v>TOULON-Serv.Historique Marine</v>
      </c>
      <c r="D1031" t="str">
        <f t="shared" si="129"/>
        <v>43.124228</v>
      </c>
      <c r="E1031" t="str">
        <f t="shared" si="130"/>
        <v>5.928</v>
      </c>
      <c r="F1031" t="str">
        <f t="shared" si="131"/>
        <v>État-major de la marine. Liste navale française  [Texte imprimé]</v>
      </c>
      <c r="G1031" t="str">
        <f t="shared" si="132"/>
        <v>État-major de la marine. Liste navale française</v>
      </c>
      <c r="H1031" t="str">
        <f t="shared" si="133"/>
        <v>2020-9797</v>
      </c>
      <c r="I1031" t="str">
        <f t="shared" si="134"/>
        <v>no. 25 (1900) - no. 31  (1902)</v>
      </c>
    </row>
    <row r="1032" spans="1:9" x14ac:dyDescent="0.25">
      <c r="A1032" t="str">
        <f>"103174192"</f>
        <v>103174192</v>
      </c>
      <c r="B1032" t="str">
        <f t="shared" si="135"/>
        <v>060884001</v>
      </c>
      <c r="C1032" t="str">
        <f t="shared" si="128"/>
        <v>NICE-Lycée hôtelier P.Augier</v>
      </c>
      <c r="D1032" t="str">
        <f t="shared" si="129"/>
        <v>43.668306</v>
      </c>
      <c r="E1032" t="str">
        <f t="shared" si="130"/>
        <v>7.21230</v>
      </c>
      <c r="F1032" t="str">
        <f t="shared" si="131"/>
        <v>Plaisirs  [Texte imprimé]</v>
      </c>
      <c r="G1032" t="str">
        <f t="shared" si="132"/>
        <v>Plaisirs</v>
      </c>
      <c r="H1032" t="e">
        <f t="shared" si="133"/>
        <v>#VALUE!</v>
      </c>
      <c r="I1032" t="str">
        <f t="shared" si="134"/>
        <v>no. 200 (1992) - no. 223  (1996) [Lacunes]</v>
      </c>
    </row>
    <row r="1033" spans="1:9" x14ac:dyDescent="0.25">
      <c r="A1033" t="str">
        <f>"136023762"</f>
        <v>136023762</v>
      </c>
      <c r="B1033" t="str">
        <f t="shared" si="135"/>
        <v>060885105</v>
      </c>
      <c r="C1033" t="str">
        <f t="shared" si="128"/>
        <v>NICE-Bibl.Chevalier de Cessole</v>
      </c>
      <c r="D1033" t="str">
        <f t="shared" si="129"/>
        <v>43.6956246</v>
      </c>
      <c r="E1033" t="str">
        <f t="shared" si="130"/>
        <v>7.259380900000001</v>
      </c>
      <c r="F1033" t="str">
        <f t="shared" si="131"/>
        <v>Le Forum des Alpes-Maritimes et de la Principauté de Monaco  [Texte imprimé]</v>
      </c>
      <c r="G1033" t="str">
        <f t="shared" si="132"/>
        <v>Le Forum des Alpes-Maritimes et de la Principauté de Monaco</v>
      </c>
      <c r="H1033" t="str">
        <f t="shared" si="133"/>
        <v>1967-9971</v>
      </c>
      <c r="I1033" t="str">
        <f t="shared" si="134"/>
        <v>no. 45 (24-sep-1903)</v>
      </c>
    </row>
    <row r="1034" spans="1:9" x14ac:dyDescent="0.25">
      <c r="A1034" t="str">
        <f>"039035093"</f>
        <v>039035093</v>
      </c>
      <c r="B1034" t="str">
        <f t="shared" si="135"/>
        <v>831376201</v>
      </c>
      <c r="C1034" t="str">
        <f t="shared" si="128"/>
        <v>TOULON-BM</v>
      </c>
      <c r="D1034" t="str">
        <f t="shared" si="129"/>
        <v>43.0823215</v>
      </c>
      <c r="E1034" t="str">
        <f t="shared" si="130"/>
        <v>5.920052699999999</v>
      </c>
      <c r="F1034" t="str">
        <f t="shared" si="131"/>
        <v>La Lorgnette toulonnaise  [Texte imprimé]</v>
      </c>
      <c r="G1034" t="str">
        <f t="shared" si="132"/>
        <v>La Lorgnette toulonnaise</v>
      </c>
      <c r="H1034" t="str">
        <f t="shared" si="133"/>
        <v>2017-4659</v>
      </c>
      <c r="I1034" t="str">
        <f t="shared" si="134"/>
        <v>no. 2 (1906)</v>
      </c>
    </row>
    <row r="1035" spans="1:9" x14ac:dyDescent="0.25">
      <c r="A1035" t="str">
        <f>"038427206"</f>
        <v>038427206</v>
      </c>
      <c r="B1035" t="str">
        <f t="shared" si="135"/>
        <v>991385201</v>
      </c>
      <c r="C1035" t="str">
        <f t="shared" si="128"/>
        <v>MONACO-Jardin exotique</v>
      </c>
      <c r="D1035" t="str">
        <f t="shared" si="129"/>
        <v>43.7310908</v>
      </c>
      <c r="E1035" t="str">
        <f t="shared" si="130"/>
        <v>7.410747499999999</v>
      </c>
      <c r="F1035" t="str">
        <f t="shared" si="131"/>
        <v>Blühende Kakteen und andere sukkulente Pflanzen  [Texte imprimé]</v>
      </c>
      <c r="G1035" t="str">
        <f t="shared" si="132"/>
        <v>Blühende Kakteen und andere sukkulente Pflanzen</v>
      </c>
      <c r="H1035" t="e">
        <f t="shared" si="133"/>
        <v>#VALUE!</v>
      </c>
      <c r="I1035" t="str">
        <f t="shared" si="134"/>
        <v>vol. 7 (1932)</v>
      </c>
    </row>
    <row r="1036" spans="1:9" x14ac:dyDescent="0.25">
      <c r="A1036" t="str">
        <f>"050923307"</f>
        <v>050923307</v>
      </c>
      <c r="B1036" t="str">
        <f t="shared" si="135"/>
        <v>831375101</v>
      </c>
      <c r="C1036" t="str">
        <f t="shared" si="128"/>
        <v>TOULON-Serv.Historique Marine</v>
      </c>
      <c r="D1036" t="str">
        <f t="shared" si="129"/>
        <v>43.124228</v>
      </c>
      <c r="E1036" t="str">
        <f t="shared" si="130"/>
        <v>5.928</v>
      </c>
      <c r="F1036" t="str">
        <f t="shared" si="131"/>
        <v>Revue bretonne et étrangère  [Texte imprimé]</v>
      </c>
      <c r="G1036" t="str">
        <f t="shared" si="132"/>
        <v>Revue bretonne et étrangère</v>
      </c>
      <c r="H1036" t="str">
        <f t="shared" si="133"/>
        <v>2020-8510</v>
      </c>
      <c r="I1036" t="str">
        <f t="shared" si="134"/>
        <v>(1845) - (1846)</v>
      </c>
    </row>
    <row r="1037" spans="1:9" x14ac:dyDescent="0.25">
      <c r="A1037" t="str">
        <f>"039066134"</f>
        <v>039066134</v>
      </c>
      <c r="B1037" t="str">
        <f t="shared" si="135"/>
        <v>831376201</v>
      </c>
      <c r="C1037" t="str">
        <f t="shared" si="128"/>
        <v>TOULON-BM</v>
      </c>
      <c r="D1037" t="str">
        <f t="shared" si="129"/>
        <v>43.0823215</v>
      </c>
      <c r="E1037" t="str">
        <f t="shared" si="130"/>
        <v>5.920052699999999</v>
      </c>
      <c r="F1037" t="str">
        <f t="shared" si="131"/>
        <v>Le Carillon  [Texte imprimé]</v>
      </c>
      <c r="G1037" t="str">
        <f t="shared" si="132"/>
        <v>Le Carillon</v>
      </c>
      <c r="H1037" t="str">
        <f t="shared" si="133"/>
        <v>2016-6206</v>
      </c>
      <c r="I1037" t="str">
        <f t="shared" si="134"/>
        <v>2eS no. 13 (1872) - no. 18  (1872)</v>
      </c>
    </row>
    <row r="1038" spans="1:9" x14ac:dyDescent="0.25">
      <c r="A1038" t="str">
        <f>"036279838"</f>
        <v>036279838</v>
      </c>
      <c r="B1038" t="str">
        <f t="shared" si="135"/>
        <v>991385301</v>
      </c>
      <c r="C1038" t="str">
        <f t="shared" si="128"/>
        <v>MONACO-Musée Océanographique</v>
      </c>
      <c r="D1038" t="str">
        <f t="shared" si="129"/>
        <v>43.7310033</v>
      </c>
      <c r="E1038" t="str">
        <f t="shared" si="130"/>
        <v>7.425491600000001</v>
      </c>
      <c r="F1038" t="str">
        <f t="shared" si="131"/>
        <v>Horace Lamb centre for oceanographical research. Research paper  [Texte imprimé]</v>
      </c>
      <c r="G1038" t="str">
        <f t="shared" si="132"/>
        <v>Horace Lamb centre for oceanographical research. Research paper</v>
      </c>
      <c r="H1038" t="e">
        <f t="shared" si="133"/>
        <v>#VALUE!</v>
      </c>
      <c r="I1038" t="str">
        <f t="shared" si="134"/>
        <v>(1970) - (1972)</v>
      </c>
    </row>
    <row r="1039" spans="1:9" x14ac:dyDescent="0.25">
      <c r="A1039" t="str">
        <f>"037778196"</f>
        <v>037778196</v>
      </c>
      <c r="B1039" t="str">
        <f t="shared" si="135"/>
        <v>991385301</v>
      </c>
      <c r="C1039" t="str">
        <f t="shared" si="128"/>
        <v>MONACO-Musée Océanographique</v>
      </c>
      <c r="D1039" t="str">
        <f t="shared" si="129"/>
        <v>43.7310033</v>
      </c>
      <c r="E1039" t="str">
        <f t="shared" si="130"/>
        <v>7.425491600000001</v>
      </c>
      <c r="F1039" t="str">
        <f t="shared" si="131"/>
        <v>Crustacean reference diet newsletter  [Texte imprimé]</v>
      </c>
      <c r="G1039" t="str">
        <f t="shared" si="132"/>
        <v>Crustacean reference diet newsletter</v>
      </c>
      <c r="H1039" t="str">
        <f t="shared" si="133"/>
        <v>0846-8664</v>
      </c>
      <c r="I1039" t="str">
        <f t="shared" si="134"/>
        <v>vol. 1 no. 2 (1985) - vol. 2  no. 1  (1985)</v>
      </c>
    </row>
    <row r="1040" spans="1:9" x14ac:dyDescent="0.25">
      <c r="A1040" t="str">
        <f>"03778398X"</f>
        <v>03778398X</v>
      </c>
      <c r="B1040" t="str">
        <f t="shared" si="135"/>
        <v>831376201</v>
      </c>
      <c r="C1040" t="str">
        <f t="shared" si="128"/>
        <v>TOULON-BM</v>
      </c>
      <c r="D1040" t="str">
        <f t="shared" si="129"/>
        <v>43.0823215</v>
      </c>
      <c r="E1040" t="str">
        <f t="shared" si="130"/>
        <v>5.920052699999999</v>
      </c>
      <c r="F1040" t="str">
        <f t="shared" si="131"/>
        <v>Bulletin mensuel  [Texte imprimé]  / Groupement français des vieux marocains</v>
      </c>
      <c r="G1040" t="str">
        <f t="shared" si="132"/>
        <v>Bulletin mensuel</v>
      </c>
      <c r="H1040" t="str">
        <f t="shared" si="133"/>
        <v>0851-3511</v>
      </c>
      <c r="I1040" t="str">
        <f t="shared" si="134"/>
        <v>no. 15 (1938) - no. 22  (1939)</v>
      </c>
    </row>
    <row r="1041" spans="1:9" x14ac:dyDescent="0.25">
      <c r="A1041" t="str">
        <f>"038378280"</f>
        <v>038378280</v>
      </c>
      <c r="B1041" t="str">
        <f t="shared" si="135"/>
        <v>991385201</v>
      </c>
      <c r="C1041" t="str">
        <f t="shared" si="128"/>
        <v>MONACO-Jardin exotique</v>
      </c>
      <c r="D1041" t="str">
        <f t="shared" si="129"/>
        <v>43.7310908</v>
      </c>
      <c r="E1041" t="str">
        <f t="shared" si="130"/>
        <v>7.410747499999999</v>
      </c>
      <c r="F1041" t="str">
        <f t="shared" si="131"/>
        <v>Pereskia  [Texte imprimé]</v>
      </c>
      <c r="G1041" t="str">
        <f t="shared" si="132"/>
        <v>Pereskia</v>
      </c>
      <c r="H1041" t="str">
        <f t="shared" si="133"/>
        <v>0774-6342</v>
      </c>
      <c r="I1041" t="str">
        <f t="shared" si="134"/>
        <v>no. 6 (1947) - no. 14  (1949/1950)</v>
      </c>
    </row>
    <row r="1042" spans="1:9" x14ac:dyDescent="0.25">
      <c r="A1042" t="str">
        <f>"036360171"</f>
        <v>036360171</v>
      </c>
      <c r="B1042" t="str">
        <f t="shared" si="135"/>
        <v>991385301</v>
      </c>
      <c r="C1042" t="str">
        <f t="shared" si="128"/>
        <v>MONACO-Musée Océanographique</v>
      </c>
      <c r="D1042" t="str">
        <f t="shared" si="129"/>
        <v>43.7310033</v>
      </c>
      <c r="E1042" t="str">
        <f t="shared" si="130"/>
        <v>7.425491600000001</v>
      </c>
      <c r="F1042" t="str">
        <f t="shared" si="131"/>
        <v>Nihon shinshu kenkyūsho hōkoku shu.</v>
      </c>
      <c r="G1042" t="str">
        <f t="shared" si="132"/>
        <v>Nihon shinshu kenkyūsho hōkoku shu.</v>
      </c>
      <c r="H1042" t="e">
        <f t="shared" si="133"/>
        <v>#VALUE!</v>
      </c>
      <c r="I1042" t="e">
        <f t="shared" si="134"/>
        <v>#VALUE!</v>
      </c>
    </row>
    <row r="1043" spans="1:9" x14ac:dyDescent="0.25">
      <c r="A1043" t="str">
        <f>"036245798"</f>
        <v>036245798</v>
      </c>
      <c r="B1043" t="str">
        <f t="shared" si="135"/>
        <v>991385301</v>
      </c>
      <c r="C1043" t="str">
        <f t="shared" si="128"/>
        <v>MONACO-Musée Océanographique</v>
      </c>
      <c r="D1043" t="str">
        <f t="shared" si="129"/>
        <v>43.7310033</v>
      </c>
      <c r="E1043" t="str">
        <f t="shared" si="130"/>
        <v>7.425491600000001</v>
      </c>
      <c r="F1043" t="str">
        <f t="shared" si="131"/>
        <v>Edward Percival marine laboratory  : Collected marine reprints.</v>
      </c>
      <c r="G1043" t="str">
        <f t="shared" si="132"/>
        <v>Edward Percival marine laboratory</v>
      </c>
      <c r="H1043" t="e">
        <f t="shared" si="133"/>
        <v>#VALUE!</v>
      </c>
      <c r="I1043" t="str">
        <f t="shared" si="134"/>
        <v>(1965)-....</v>
      </c>
    </row>
    <row r="1044" spans="1:9" x14ac:dyDescent="0.25">
      <c r="A1044" t="str">
        <f>"039034674"</f>
        <v>039034674</v>
      </c>
      <c r="B1044" t="str">
        <f t="shared" si="135"/>
        <v>831376201</v>
      </c>
      <c r="C1044" t="str">
        <f t="shared" si="128"/>
        <v>TOULON-BM</v>
      </c>
      <c r="D1044" t="str">
        <f t="shared" si="129"/>
        <v>43.0823215</v>
      </c>
      <c r="E1044" t="str">
        <f t="shared" si="130"/>
        <v>5.920052699999999</v>
      </c>
      <c r="F1044" t="str">
        <f t="shared" si="131"/>
        <v>Le Jardin du Roi  [Texte imprimé]</v>
      </c>
      <c r="G1044" t="str">
        <f t="shared" si="132"/>
        <v>Le Jardin du Roi</v>
      </c>
      <c r="H1044" t="str">
        <f t="shared" si="133"/>
        <v>2017-0165</v>
      </c>
      <c r="I1044" t="str">
        <f t="shared" si="134"/>
        <v>(1895) - (1922)</v>
      </c>
    </row>
    <row r="1045" spans="1:9" x14ac:dyDescent="0.25">
      <c r="A1045" t="str">
        <f>"039268950"</f>
        <v>039268950</v>
      </c>
      <c r="B1045" t="str">
        <f t="shared" si="135"/>
        <v>060882306</v>
      </c>
      <c r="C1045" t="str">
        <f t="shared" si="128"/>
        <v>NICE-CEPAM</v>
      </c>
      <c r="D1045" t="str">
        <f t="shared" si="129"/>
        <v>43.7090597</v>
      </c>
      <c r="E1045" t="str">
        <f t="shared" si="130"/>
        <v>7.288295</v>
      </c>
      <c r="F1045" t="e">
        <f t="shared" si="131"/>
        <v>#VALUE!</v>
      </c>
      <c r="G1045" t="str">
        <f t="shared" si="132"/>
        <v>Images du Musée d'art et d'histoire de Genève</v>
      </c>
      <c r="H1045" t="str">
        <f t="shared" si="133"/>
        <v>0254-5810</v>
      </c>
      <c r="I1045" t="str">
        <f t="shared" si="134"/>
        <v>(1975) - (1986)</v>
      </c>
    </row>
    <row r="1046" spans="1:9" x14ac:dyDescent="0.25">
      <c r="A1046" t="str">
        <f>"050926403"</f>
        <v>050926403</v>
      </c>
      <c r="B1046" t="str">
        <f t="shared" si="135"/>
        <v>831375101</v>
      </c>
      <c r="C1046" t="str">
        <f t="shared" si="128"/>
        <v>TOULON-Serv.Historique Marine</v>
      </c>
      <c r="D1046" t="str">
        <f t="shared" si="129"/>
        <v>43.124228</v>
      </c>
      <c r="E1046" t="str">
        <f t="shared" si="130"/>
        <v>5.928</v>
      </c>
      <c r="F1046" t="str">
        <f t="shared" si="131"/>
        <v>List of merchant vessels of the United States...  [Texte imprimé]</v>
      </c>
      <c r="G1046" t="str">
        <f t="shared" si="132"/>
        <v>List of merchant vessels of the United States...</v>
      </c>
      <c r="H1046" t="e">
        <f t="shared" si="133"/>
        <v>#VALUE!</v>
      </c>
      <c r="I1046" t="str">
        <f t="shared" si="134"/>
        <v>(1884) - (1885)</v>
      </c>
    </row>
    <row r="1047" spans="1:9" x14ac:dyDescent="0.25">
      <c r="A1047" t="str">
        <f>"039051552"</f>
        <v>039051552</v>
      </c>
      <c r="B1047" t="str">
        <f t="shared" si="135"/>
        <v>831376201</v>
      </c>
      <c r="C1047" t="str">
        <f t="shared" si="128"/>
        <v>TOULON-BM</v>
      </c>
      <c r="D1047" t="str">
        <f t="shared" si="129"/>
        <v>43.0823215</v>
      </c>
      <c r="E1047" t="str">
        <f t="shared" si="130"/>
        <v>5.920052699999999</v>
      </c>
      <c r="F1047" t="str">
        <f t="shared" si="131"/>
        <v>Quinzaine gastronomique toulonnaise et journée du tourisme  [Texte imprimé]</v>
      </c>
      <c r="G1047" t="str">
        <f t="shared" si="132"/>
        <v>Quinzaine gastronomique toulonnaise et journée du tourisme</v>
      </c>
      <c r="H1047" t="e">
        <f t="shared" si="133"/>
        <v>#VALUE!</v>
      </c>
      <c r="I1047" t="str">
        <f t="shared" si="134"/>
        <v>(9-mai-1926) - (24-mai-1926)</v>
      </c>
    </row>
    <row r="1048" spans="1:9" x14ac:dyDescent="0.25">
      <c r="A1048" t="str">
        <f>"048886815"</f>
        <v>048886815</v>
      </c>
      <c r="B1048" t="str">
        <f t="shared" si="135"/>
        <v>831375101</v>
      </c>
      <c r="C1048" t="str">
        <f t="shared" si="128"/>
        <v>TOULON-Serv.Historique Marine</v>
      </c>
      <c r="D1048" t="str">
        <f t="shared" si="129"/>
        <v>43.124228</v>
      </c>
      <c r="E1048" t="str">
        <f t="shared" si="130"/>
        <v>5.928</v>
      </c>
      <c r="F1048" t="str">
        <f t="shared" si="131"/>
        <v>Comité social  [Texte imprimé]  / Région maritime Méditerranée. Direction locale de l'action sociale des armées</v>
      </c>
      <c r="G1048" t="str">
        <f t="shared" si="132"/>
        <v>Comité social</v>
      </c>
      <c r="H1048" t="str">
        <f t="shared" si="133"/>
        <v>1621-0301</v>
      </c>
      <c r="I1048" t="str">
        <f t="shared" si="134"/>
        <v>(1997)-....</v>
      </c>
    </row>
    <row r="1049" spans="1:9" x14ac:dyDescent="0.25">
      <c r="A1049" t="str">
        <f>"140311955"</f>
        <v>140311955</v>
      </c>
      <c r="B1049" t="str">
        <f t="shared" si="135"/>
        <v>060885105</v>
      </c>
      <c r="C1049" t="str">
        <f t="shared" ref="C1049:C1112" si="136">_xlfn.FILTERXML(_xlfn.WEBSERVICE("http://www.sudoc.fr/services/multiwhere/"&amp;A1049),"//query/result/library/shortname")</f>
        <v>NICE-Bibl.Chevalier de Cessole</v>
      </c>
      <c r="D1049" t="str">
        <f t="shared" ref="D1049:D1112" si="137">_xlfn.FILTERXML(_xlfn.WEBSERVICE("http://www.sudoc.fr/services/multiwhere/"&amp;A1049),"//query/result/library/latitude")</f>
        <v>43.6956246</v>
      </c>
      <c r="E1049" t="str">
        <f t="shared" ref="E1049:E1112" si="138">_xlfn.FILTERXML(_xlfn.WEBSERVICE("http://www.sudoc.fr/services/multiwhere/"&amp;A1049),"//query/result/library/longitude")</f>
        <v>7.259380900000001</v>
      </c>
      <c r="F1049" t="str">
        <f t="shared" ref="F1049:F1112" si="139">_xlfn.FILTERXML(_xlfn.WEBSERVICE("http://www.sudoc.fr/"&amp;A1049&amp;".rdf"),"//bibo:Periodical/dc:title")</f>
        <v>La Semaine de Jan  [Texte imprimé]</v>
      </c>
      <c r="G1049" t="str">
        <f t="shared" ref="G1049:G1112" si="140">_xlfn.FILTERXML(_xlfn.WEBSERVICE("http://www.sudoc.fr/"&amp;A1049&amp;".abes"),"//datafield[@tag='200']/subfield[@code='a']")</f>
        <v>La Semaine de Jan</v>
      </c>
      <c r="H1049" t="str">
        <f t="shared" ref="H1049:H1112" si="141">_xlfn.FILTERXML(_xlfn.WEBSERVICE("http://www.sudoc.fr/"&amp;A1049&amp;".abes"),"//datafield[@tag='011']/subfield[@code='a']")</f>
        <v>2137-936X</v>
      </c>
      <c r="I1049" t="str">
        <f t="shared" ref="I1049:I1112" si="142">_xlfn.FILTERXML(_xlfn.WEBSERVICE("http://www.sudoc.fr/"&amp;A1049&amp;".abes"),"//datafield[@tag='955']/subfield[@code='r']")</f>
        <v>no. 38 (19-mar-1931)</v>
      </c>
    </row>
    <row r="1050" spans="1:9" x14ac:dyDescent="0.25">
      <c r="A1050" t="str">
        <f>"036353698"</f>
        <v>036353698</v>
      </c>
      <c r="B1050" t="str">
        <f t="shared" si="135"/>
        <v>991385301</v>
      </c>
      <c r="C1050" t="str">
        <f t="shared" si="136"/>
        <v>MONACO-Musée Océanographique</v>
      </c>
      <c r="D1050" t="str">
        <f t="shared" si="137"/>
        <v>43.7310033</v>
      </c>
      <c r="E1050" t="str">
        <f t="shared" si="138"/>
        <v>7.425491600000001</v>
      </c>
      <c r="F1050" t="str">
        <f t="shared" si="139"/>
        <v>National oceanographic instrumentation center. Instrument fact sheet</v>
      </c>
      <c r="G1050" t="str">
        <f t="shared" si="140"/>
        <v>National oceanographic instrumentation center. Instrument fact sheet</v>
      </c>
      <c r="H1050" t="e">
        <f t="shared" si="141"/>
        <v>#VALUE!</v>
      </c>
      <c r="I1050" t="e">
        <f t="shared" si="142"/>
        <v>#VALUE!</v>
      </c>
    </row>
    <row r="1051" spans="1:9" x14ac:dyDescent="0.25">
      <c r="A1051" t="str">
        <f>"039065634"</f>
        <v>039065634</v>
      </c>
      <c r="B1051" t="str">
        <f t="shared" si="135"/>
        <v>060046201</v>
      </c>
      <c r="C1051" t="str">
        <f t="shared" si="136"/>
        <v>ANTIBES-Mediath.A.Camus</v>
      </c>
      <c r="D1051" t="str">
        <f t="shared" si="137"/>
        <v>43.58041799999999</v>
      </c>
      <c r="E1051" t="str">
        <f t="shared" si="138"/>
        <v>7.125102</v>
      </c>
      <c r="F1051" t="str">
        <f t="shared" si="139"/>
        <v>L'Antibois  [Texte imprimé]</v>
      </c>
      <c r="G1051" t="str">
        <f t="shared" si="140"/>
        <v>L'Antibois</v>
      </c>
      <c r="H1051" t="str">
        <f t="shared" si="141"/>
        <v>1956-9432</v>
      </c>
      <c r="I1051" t="str">
        <f t="shared" si="142"/>
        <v>(1912) - (1914) [lac.]</v>
      </c>
    </row>
    <row r="1052" spans="1:9" x14ac:dyDescent="0.25">
      <c r="A1052" t="str">
        <f>"140581812"</f>
        <v>140581812</v>
      </c>
      <c r="B1052" t="str">
        <f t="shared" si="135"/>
        <v>060885105</v>
      </c>
      <c r="C1052" t="str">
        <f t="shared" si="136"/>
        <v>NICE-Bibl.Chevalier de Cessole</v>
      </c>
      <c r="D1052" t="str">
        <f t="shared" si="137"/>
        <v>43.6956246</v>
      </c>
      <c r="E1052" t="str">
        <f t="shared" si="138"/>
        <v>7.259380900000001</v>
      </c>
      <c r="F1052" t="str">
        <f t="shared" si="139"/>
        <v>Lu Tirignon  [Texte imprimé]</v>
      </c>
      <c r="G1052" t="str">
        <f t="shared" si="140"/>
        <v>Lu Tirignon</v>
      </c>
      <c r="H1052" t="str">
        <f t="shared" si="141"/>
        <v>2138-6439</v>
      </c>
      <c r="I1052" t="str">
        <f t="shared" si="142"/>
        <v>no. 4 (10-avr-1890) - no. 13  (12-jan-1890)</v>
      </c>
    </row>
    <row r="1053" spans="1:9" x14ac:dyDescent="0.25">
      <c r="A1053" t="str">
        <f>"036345482"</f>
        <v>036345482</v>
      </c>
      <c r="B1053" t="str">
        <f t="shared" si="135"/>
        <v>991385301</v>
      </c>
      <c r="C1053" t="str">
        <f t="shared" si="136"/>
        <v>MONACO-Musée Océanographique</v>
      </c>
      <c r="D1053" t="str">
        <f t="shared" si="137"/>
        <v>43.7310033</v>
      </c>
      <c r="E1053" t="str">
        <f t="shared" si="138"/>
        <v>7.425491600000001</v>
      </c>
      <c r="F1053" t="str">
        <f t="shared" si="139"/>
        <v>Mote marine laboratory. Newsletter</v>
      </c>
      <c r="G1053" t="str">
        <f t="shared" si="140"/>
        <v>Mote marine laboratory. Newsletter</v>
      </c>
      <c r="H1053" t="e">
        <f t="shared" si="141"/>
        <v>#VALUE!</v>
      </c>
      <c r="I1053" t="str">
        <f t="shared" si="142"/>
        <v>(1969)-....</v>
      </c>
    </row>
    <row r="1054" spans="1:9" x14ac:dyDescent="0.25">
      <c r="A1054" t="str">
        <f>"050926799"</f>
        <v>050926799</v>
      </c>
      <c r="B1054" t="str">
        <f t="shared" si="135"/>
        <v>831375101</v>
      </c>
      <c r="C1054" t="str">
        <f t="shared" si="136"/>
        <v>TOULON-Serv.Historique Marine</v>
      </c>
      <c r="D1054" t="str">
        <f t="shared" si="137"/>
        <v>43.124228</v>
      </c>
      <c r="E1054" t="str">
        <f t="shared" si="138"/>
        <v>5.928</v>
      </c>
      <c r="F1054" t="str">
        <f t="shared" si="139"/>
        <v>Petite revue maritime  [Texte imprimé]</v>
      </c>
      <c r="G1054" t="str">
        <f t="shared" si="140"/>
        <v>Petite revue maritime</v>
      </c>
      <c r="H1054" t="str">
        <f t="shared" si="141"/>
        <v>2020-9894</v>
      </c>
      <c r="I1054" t="str">
        <f t="shared" si="142"/>
        <v>no. 655 (1896) - no. 759  (1897) [Lacunes : n°1 à 654 ; 755.]</v>
      </c>
    </row>
    <row r="1055" spans="1:9" x14ac:dyDescent="0.25">
      <c r="A1055" t="str">
        <f>"036158240"</f>
        <v>036158240</v>
      </c>
      <c r="B1055" t="str">
        <f t="shared" si="135"/>
        <v>060886101</v>
      </c>
      <c r="C1055" t="str">
        <f t="shared" si="136"/>
        <v>NICE- BMVR Louis Nucéra</v>
      </c>
      <c r="D1055" t="str">
        <f t="shared" si="137"/>
        <v>43.7015650</v>
      </c>
      <c r="E1055" t="str">
        <f t="shared" si="138"/>
        <v>7.2786247</v>
      </c>
      <c r="F1055" t="str">
        <f t="shared" si="139"/>
        <v>Almanacco letterario Bompiani  [Texte imprimé]</v>
      </c>
      <c r="G1055" t="str">
        <f t="shared" si="140"/>
        <v>Almanacco letterario Bompiani</v>
      </c>
      <c r="H1055" t="str">
        <f t="shared" si="141"/>
        <v>1971-5129</v>
      </c>
      <c r="I1055" t="str">
        <f t="shared" si="142"/>
        <v>(1926) = (1927)</v>
      </c>
    </row>
    <row r="1056" spans="1:9" x14ac:dyDescent="0.25">
      <c r="A1056" t="str">
        <f>"036385522"</f>
        <v>036385522</v>
      </c>
      <c r="B1056" t="str">
        <f t="shared" si="135"/>
        <v>991385301</v>
      </c>
      <c r="C1056" t="str">
        <f t="shared" si="136"/>
        <v>MONACO-Musée Océanographique</v>
      </c>
      <c r="D1056" t="str">
        <f t="shared" si="137"/>
        <v>43.7310033</v>
      </c>
      <c r="E1056" t="str">
        <f t="shared" si="138"/>
        <v>7.425491600000001</v>
      </c>
      <c r="F1056" t="str">
        <f t="shared" si="139"/>
        <v>Proceedings of the Society for underwater technology  [Texte imprimé]</v>
      </c>
      <c r="G1056" t="str">
        <f t="shared" si="140"/>
        <v>Proceedings of the Society for underwater technology</v>
      </c>
      <c r="H1056" t="e">
        <f t="shared" si="141"/>
        <v>#VALUE!</v>
      </c>
      <c r="I1056" t="str">
        <f t="shared" si="142"/>
        <v>(1972) - (1974)</v>
      </c>
    </row>
    <row r="1057" spans="1:9" x14ac:dyDescent="0.25">
      <c r="A1057" t="str">
        <f>"038902672"</f>
        <v>038902672</v>
      </c>
      <c r="B1057" t="str">
        <f t="shared" si="135"/>
        <v>991385301</v>
      </c>
      <c r="C1057" t="str">
        <f t="shared" si="136"/>
        <v>MONACO-Musée Océanographique</v>
      </c>
      <c r="D1057" t="str">
        <f t="shared" si="137"/>
        <v>43.7310033</v>
      </c>
      <c r="E1057" t="str">
        <f t="shared" si="138"/>
        <v>7.425491600000001</v>
      </c>
      <c r="F1057" t="e">
        <f t="shared" si="139"/>
        <v>#VALUE!</v>
      </c>
      <c r="G1057" t="str">
        <f t="shared" si="140"/>
        <v>Cetology</v>
      </c>
      <c r="H1057" t="str">
        <f t="shared" si="141"/>
        <v>0097-031X</v>
      </c>
      <c r="I1057" t="str">
        <f t="shared" si="142"/>
        <v>no. 1 (1971) - no. 53  (1987)</v>
      </c>
    </row>
    <row r="1058" spans="1:9" x14ac:dyDescent="0.25">
      <c r="A1058" t="str">
        <f>"039035077"</f>
        <v>039035077</v>
      </c>
      <c r="B1058" t="str">
        <f t="shared" si="135"/>
        <v>831376201</v>
      </c>
      <c r="C1058" t="str">
        <f t="shared" si="136"/>
        <v>TOULON-BM</v>
      </c>
      <c r="D1058" t="str">
        <f t="shared" si="137"/>
        <v>43.0823215</v>
      </c>
      <c r="E1058" t="str">
        <f t="shared" si="138"/>
        <v>5.920052699999999</v>
      </c>
      <c r="F1058" t="str">
        <f t="shared" si="139"/>
        <v>Littoral sténographe  [Texte imprimé]</v>
      </c>
      <c r="G1058" t="str">
        <f t="shared" si="140"/>
        <v>Littoral sténographe</v>
      </c>
      <c r="H1058" t="str">
        <f t="shared" si="141"/>
        <v>2017-456X</v>
      </c>
      <c r="I1058" t="str">
        <f t="shared" si="142"/>
        <v>no. 1 (1903)</v>
      </c>
    </row>
    <row r="1059" spans="1:9" x14ac:dyDescent="0.25">
      <c r="A1059" t="str">
        <f>"140298428"</f>
        <v>140298428</v>
      </c>
      <c r="B1059" t="str">
        <f t="shared" si="135"/>
        <v>060885105</v>
      </c>
      <c r="C1059" t="str">
        <f t="shared" si="136"/>
        <v>NICE-Bibl.Chevalier de Cessole</v>
      </c>
      <c r="D1059" t="str">
        <f t="shared" si="137"/>
        <v>43.6956246</v>
      </c>
      <c r="E1059" t="str">
        <f t="shared" si="138"/>
        <v>7.259380900000001</v>
      </c>
      <c r="F1059" t="str">
        <f t="shared" si="139"/>
        <v>La Vie élégante  [Texte imprimé]</v>
      </c>
      <c r="G1059" t="str">
        <f t="shared" si="140"/>
        <v>La Vie élégante</v>
      </c>
      <c r="H1059" t="str">
        <f t="shared" si="141"/>
        <v>2139-9395</v>
      </c>
      <c r="I1059" t="str">
        <f t="shared" si="142"/>
        <v>no. 50 (02-mar-1878)</v>
      </c>
    </row>
    <row r="1060" spans="1:9" x14ac:dyDescent="0.25">
      <c r="A1060" t="str">
        <f>"036419338"</f>
        <v>036419338</v>
      </c>
      <c r="B1060" t="str">
        <f t="shared" si="135"/>
        <v>991385301</v>
      </c>
      <c r="C1060" t="str">
        <f t="shared" si="136"/>
        <v>MONACO-Musée Océanographique</v>
      </c>
      <c r="D1060" t="str">
        <f t="shared" si="137"/>
        <v>43.7310033</v>
      </c>
      <c r="E1060" t="str">
        <f t="shared" si="138"/>
        <v>7.425491600000001</v>
      </c>
      <c r="F1060" t="str">
        <f t="shared" si="139"/>
        <v>Sea grant special bulletin  [Texte imprimé]</v>
      </c>
      <c r="G1060" t="str">
        <f t="shared" si="140"/>
        <v>Sea grant special bulletin</v>
      </c>
      <c r="H1060" t="e">
        <f t="shared" si="141"/>
        <v>#VALUE!</v>
      </c>
      <c r="I1060" t="str">
        <f t="shared" si="142"/>
        <v>(1971)-....</v>
      </c>
    </row>
    <row r="1061" spans="1:9" x14ac:dyDescent="0.25">
      <c r="A1061" t="str">
        <f>"03909619X"</f>
        <v>03909619X</v>
      </c>
      <c r="B1061" t="str">
        <f t="shared" si="135"/>
        <v>831376201</v>
      </c>
      <c r="C1061" t="str">
        <f t="shared" si="136"/>
        <v>TOULON-BM</v>
      </c>
      <c r="D1061" t="str">
        <f t="shared" si="137"/>
        <v>43.0823215</v>
      </c>
      <c r="E1061" t="str">
        <f t="shared" si="138"/>
        <v>5.920052699999999</v>
      </c>
      <c r="F1061" t="str">
        <f t="shared" si="139"/>
        <v>Bulletin des communes  [Texte imprimé]</v>
      </c>
      <c r="G1061" t="str">
        <f t="shared" si="140"/>
        <v>Bulletin des communes</v>
      </c>
      <c r="H1061" t="str">
        <f t="shared" si="141"/>
        <v>2016-0364</v>
      </c>
      <c r="I1061" t="str">
        <f t="shared" si="142"/>
        <v>(7-aou-1914) - no. 210  (jan-1915)</v>
      </c>
    </row>
    <row r="1062" spans="1:9" x14ac:dyDescent="0.25">
      <c r="A1062" t="str">
        <f>"040198553"</f>
        <v>040198553</v>
      </c>
      <c r="B1062" t="str">
        <f t="shared" si="135"/>
        <v>060845301</v>
      </c>
      <c r="C1062" t="str">
        <f t="shared" si="136"/>
        <v>MOUANS SARTOUX-CRD Occitane</v>
      </c>
      <c r="D1062" t="str">
        <f t="shared" si="137"/>
        <v>43.6188186</v>
      </c>
      <c r="E1062" t="str">
        <f t="shared" si="138"/>
        <v>6.972011600000001</v>
      </c>
      <c r="F1062" t="str">
        <f t="shared" si="139"/>
        <v>Mentan ù pai͏̈s ch'es ù men  [Texte imprimé]</v>
      </c>
      <c r="G1062" t="str">
        <f t="shared" si="140"/>
        <v>Mentan ù pai͏̈s ch'es ù men</v>
      </c>
      <c r="H1062" t="str">
        <f t="shared" si="141"/>
        <v>1250-7377</v>
      </c>
      <c r="I1062" t="str">
        <f t="shared" si="142"/>
        <v>no. 0 (1984)</v>
      </c>
    </row>
    <row r="1063" spans="1:9" x14ac:dyDescent="0.25">
      <c r="A1063" t="str">
        <f>"118155997"</f>
        <v>118155997</v>
      </c>
      <c r="B1063" t="str">
        <f t="shared" si="135"/>
        <v>830505302</v>
      </c>
      <c r="C1063" t="str">
        <f t="shared" si="136"/>
        <v>DRAGUIGNAN-SESA</v>
      </c>
      <c r="D1063" t="str">
        <f t="shared" si="137"/>
        <v>43.5366856</v>
      </c>
      <c r="E1063" t="str">
        <f t="shared" si="138"/>
        <v>6.461841499999999</v>
      </c>
      <c r="F1063" t="str">
        <f t="shared" si="139"/>
        <v>Area domeniu  [Texte imprimé]</v>
      </c>
      <c r="G1063" t="str">
        <f t="shared" si="140"/>
        <v>Area domeniu</v>
      </c>
      <c r="H1063" t="str">
        <f t="shared" si="141"/>
        <v>1645-6947</v>
      </c>
      <c r="I1063" t="str">
        <f t="shared" si="142"/>
        <v>(2002)-....</v>
      </c>
    </row>
    <row r="1064" spans="1:9" x14ac:dyDescent="0.25">
      <c r="A1064" t="str">
        <f>"037207598"</f>
        <v>037207598</v>
      </c>
      <c r="B1064" t="str">
        <f t="shared" si="135"/>
        <v>991386201</v>
      </c>
      <c r="C1064" t="str">
        <f t="shared" si="136"/>
        <v>MONACO-Bibl.Louis Notari</v>
      </c>
      <c r="D1064" t="str">
        <f t="shared" si="137"/>
        <v>43.7351319</v>
      </c>
      <c r="E1064" t="str">
        <f t="shared" si="138"/>
        <v>7.420563100000001</v>
      </c>
      <c r="F1064" t="str">
        <f t="shared" si="139"/>
        <v>Bulletin de l'Association amicale des anciens élèves des frères des écoles chrétiennes, Monaco  [Texte imprimé]</v>
      </c>
      <c r="G1064" t="str">
        <f t="shared" si="140"/>
        <v>Bulletin de l'Association amicale des anciens élèves des frères des écoles chrétiennes, Monaco</v>
      </c>
      <c r="H1064" t="str">
        <f t="shared" si="141"/>
        <v>0259-8779</v>
      </c>
      <c r="I1064" t="str">
        <f t="shared" si="142"/>
        <v>(1898) - (1950) [lac]</v>
      </c>
    </row>
    <row r="1065" spans="1:9" x14ac:dyDescent="0.25">
      <c r="A1065" t="str">
        <f>"128371153"</f>
        <v>128371153</v>
      </c>
      <c r="B1065" t="str">
        <f t="shared" si="135"/>
        <v>060885105</v>
      </c>
      <c r="C1065" t="str">
        <f t="shared" si="136"/>
        <v>NICE-Bibl.Chevalier de Cessole</v>
      </c>
      <c r="D1065" t="str">
        <f t="shared" si="137"/>
        <v>43.6956246</v>
      </c>
      <c r="E1065" t="str">
        <f t="shared" si="138"/>
        <v>7.259380900000001</v>
      </c>
      <c r="F1065" t="str">
        <f t="shared" si="139"/>
        <v>Lou Fica-nas  [Texte imprimé]</v>
      </c>
      <c r="G1065" t="str">
        <f t="shared" si="140"/>
        <v>Lou Fica-nas</v>
      </c>
      <c r="H1065" t="str">
        <f t="shared" si="141"/>
        <v>1963-8655</v>
      </c>
      <c r="I1065" t="str">
        <f t="shared" si="142"/>
        <v>no. 1 (9-oct-1870)</v>
      </c>
    </row>
    <row r="1066" spans="1:9" x14ac:dyDescent="0.25">
      <c r="A1066" t="str">
        <f>"055793274"</f>
        <v>055793274</v>
      </c>
      <c r="B1066" t="str">
        <f t="shared" si="135"/>
        <v>831375101</v>
      </c>
      <c r="C1066" t="str">
        <f t="shared" si="136"/>
        <v>TOULON-Serv.Historique Marine</v>
      </c>
      <c r="D1066" t="str">
        <f t="shared" si="137"/>
        <v>43.124228</v>
      </c>
      <c r="E1066" t="str">
        <f t="shared" si="138"/>
        <v>5.928</v>
      </c>
      <c r="F1066" t="str">
        <f t="shared" si="139"/>
        <v>USAMagazine  [Texte imprimé]</v>
      </c>
      <c r="G1066" t="str">
        <f t="shared" si="140"/>
        <v>USAMagazine</v>
      </c>
      <c r="H1066" t="str">
        <f t="shared" si="141"/>
        <v>1629-0054</v>
      </c>
      <c r="I1066" t="str">
        <f t="shared" si="142"/>
        <v>no. 2 (1966) - no. 61  (1979) [lac.]</v>
      </c>
    </row>
    <row r="1067" spans="1:9" x14ac:dyDescent="0.25">
      <c r="A1067" t="str">
        <f>"037979779"</f>
        <v>037979779</v>
      </c>
      <c r="B1067" t="str">
        <f t="shared" si="135"/>
        <v>991386201</v>
      </c>
      <c r="C1067" t="str">
        <f t="shared" si="136"/>
        <v>MONACO-Bibl.Louis Notari</v>
      </c>
      <c r="D1067" t="str">
        <f t="shared" si="137"/>
        <v>43.7351319</v>
      </c>
      <c r="E1067" t="str">
        <f t="shared" si="138"/>
        <v>7.420563100000001</v>
      </c>
      <c r="F1067" t="str">
        <f t="shared" si="139"/>
        <v>Le Socialiste  [Texte imprimé]</v>
      </c>
      <c r="G1067" t="str">
        <f t="shared" si="140"/>
        <v>Le Socialiste</v>
      </c>
      <c r="H1067" t="str">
        <f t="shared" si="141"/>
        <v>1018-9955</v>
      </c>
      <c r="I1067" t="str">
        <f t="shared" si="142"/>
        <v>(mar-1945) - (avr-1946)</v>
      </c>
    </row>
    <row r="1068" spans="1:9" x14ac:dyDescent="0.25">
      <c r="A1068" t="str">
        <f>"03636519X"</f>
        <v>03636519X</v>
      </c>
      <c r="B1068" t="str">
        <f t="shared" si="135"/>
        <v>991385301</v>
      </c>
      <c r="C1068" t="str">
        <f t="shared" si="136"/>
        <v>MONACO-Musée Océanographique</v>
      </c>
      <c r="D1068" t="str">
        <f t="shared" si="137"/>
        <v>43.7310033</v>
      </c>
      <c r="E1068" t="str">
        <f t="shared" si="138"/>
        <v>7.425491600000001</v>
      </c>
      <c r="F1068" t="str">
        <f t="shared" si="139"/>
        <v>Oceanographic data report of C.S.K.  [Texte imprimé]</v>
      </c>
      <c r="G1068" t="str">
        <f t="shared" si="140"/>
        <v>Oceanographic data report of C.S.K.</v>
      </c>
      <c r="H1068" t="e">
        <f t="shared" si="141"/>
        <v>#VALUE!</v>
      </c>
      <c r="I1068" t="e">
        <f t="shared" si="142"/>
        <v>#VALUE!</v>
      </c>
    </row>
    <row r="1069" spans="1:9" x14ac:dyDescent="0.25">
      <c r="A1069" t="str">
        <f>"040030709"</f>
        <v>040030709</v>
      </c>
      <c r="B1069" t="str">
        <f t="shared" si="135"/>
        <v>991385201</v>
      </c>
      <c r="C1069" t="str">
        <f t="shared" si="136"/>
        <v>MONACO-Jardin exotique</v>
      </c>
      <c r="D1069" t="str">
        <f t="shared" si="137"/>
        <v>43.7310908</v>
      </c>
      <c r="E1069" t="str">
        <f t="shared" si="138"/>
        <v>7.410747499999999</v>
      </c>
      <c r="F1069" t="str">
        <f t="shared" si="139"/>
        <v>Hoya nieuwsbrief  [Texte imprimé]</v>
      </c>
      <c r="G1069" t="str">
        <f t="shared" si="140"/>
        <v>Hoya nieuwsbrief</v>
      </c>
      <c r="H1069" t="str">
        <f t="shared" si="141"/>
        <v>0920-606X</v>
      </c>
      <c r="I1069" t="str">
        <f t="shared" si="142"/>
        <v>no. 1 (1984) - no. 8  (1990)</v>
      </c>
    </row>
    <row r="1070" spans="1:9" x14ac:dyDescent="0.25">
      <c r="A1070" t="str">
        <f>"040614239"</f>
        <v>040614239</v>
      </c>
      <c r="B1070" t="str">
        <f t="shared" si="135"/>
        <v>830505201</v>
      </c>
      <c r="C1070" t="str">
        <f t="shared" si="136"/>
        <v>DRAGUIGNAN-Ecole Artillerie</v>
      </c>
      <c r="D1070" t="str">
        <f t="shared" si="137"/>
        <v>43.5377269</v>
      </c>
      <c r="E1070" t="str">
        <f t="shared" si="138"/>
        <v>6.464993</v>
      </c>
      <c r="F1070" t="str">
        <f t="shared" si="139"/>
        <v>Bulletin de documentation  [Texte imprimé]  / Centre d'enseignement supérieur aérien</v>
      </c>
      <c r="G1070" t="str">
        <f t="shared" si="140"/>
        <v>Bulletin de documentation</v>
      </c>
      <c r="H1070" t="e">
        <f t="shared" si="141"/>
        <v>#VALUE!</v>
      </c>
      <c r="I1070" t="str">
        <f t="shared" si="142"/>
        <v>no. 147 (1961) - no. 151  (1961) ; no. 157 (1962) - no. 167  (1962) ; no. 223 (1968) - no. 233  (1968) ; (1968) - (1970) ; no. 256 (1971) - no. 266  (1971) ; no. 267 (1972) - no. 275  (1972) ; no. 277 (1973) - no. 285  (1973) ; no. 295 (1974) ; no. 305 (1975) - no. 309  (1975) ; no. 310 (1976) - no. 317  (1976) ; no. 318 (1977) - no. 328  (1977) ; (1978) - (1983) ; no. 381 (1984) - no. 389  (1984) ; no. 391 (1985) - no. 400  (1985) ; no. 402 (1986) - no. 405  (1986) ; no. 408 (1986) - no. 411  (1986) ; (1987) ; no. 423 (1988) - no. 432  (1988) ; no. 433 (1989) - no. 442  (1989) ; no. 444 (1990) - no. 452  (1990) ; no. 453 (1991) - no. 462  (1991) ; no. 463 (1993) - no. 481  (1993) ; (1994) - (1995) [Lacunes : n°150 (1961), 229 (1968), 259, 262, 263, 265 (1971), 284 (1973), 311, 313 (1976), 320, 321, 327 (1977), 424, 428 (1988), 436 (1989), 460 (1989), 475 (1993)]</v>
      </c>
    </row>
    <row r="1071" spans="1:9" x14ac:dyDescent="0.25">
      <c r="A1071" t="str">
        <f>"038597675"</f>
        <v>038597675</v>
      </c>
      <c r="B1071" t="str">
        <f t="shared" si="135"/>
        <v>831376201</v>
      </c>
      <c r="C1071" t="str">
        <f t="shared" si="136"/>
        <v>TOULON-BM</v>
      </c>
      <c r="D1071" t="str">
        <f t="shared" si="137"/>
        <v>43.0823215</v>
      </c>
      <c r="E1071" t="str">
        <f t="shared" si="138"/>
        <v>5.920052699999999</v>
      </c>
      <c r="F1071" t="str">
        <f t="shared" si="139"/>
        <v>La Dépêche  [Texte imprimé]</v>
      </c>
      <c r="G1071" t="str">
        <f t="shared" si="140"/>
        <v>La Dépêche</v>
      </c>
      <c r="H1071" t="str">
        <f t="shared" si="141"/>
        <v>1155-0201</v>
      </c>
      <c r="I1071" t="str">
        <f t="shared" si="142"/>
        <v>(oct-1973) - (mar-1974)</v>
      </c>
    </row>
    <row r="1072" spans="1:9" x14ac:dyDescent="0.25">
      <c r="A1072" t="str">
        <f>"039583112"</f>
        <v>039583112</v>
      </c>
      <c r="B1072" t="str">
        <f t="shared" si="135"/>
        <v>060886101</v>
      </c>
      <c r="C1072" t="str">
        <f t="shared" si="136"/>
        <v>NICE- BMVR Louis Nucéra</v>
      </c>
      <c r="D1072" t="str">
        <f t="shared" si="137"/>
        <v>43.7015650</v>
      </c>
      <c r="E1072" t="str">
        <f t="shared" si="138"/>
        <v>7.2786247</v>
      </c>
      <c r="F1072" t="str">
        <f t="shared" si="139"/>
        <v>Nuova rivista europea  [Texte imprimé]</v>
      </c>
      <c r="G1072" t="str">
        <f t="shared" si="140"/>
        <v>Nuova rivista europea</v>
      </c>
      <c r="H1072" t="str">
        <f t="shared" si="141"/>
        <v>0391-2604</v>
      </c>
      <c r="I1072" t="str">
        <f t="shared" si="142"/>
        <v>no. 1 (1977) - no. 13  (1979) ; no. 15 (1979) - no. 16  (1979) ; no. 18 (1980) - no. 27  (1982)</v>
      </c>
    </row>
    <row r="1073" spans="1:9" x14ac:dyDescent="0.25">
      <c r="A1073" t="str">
        <f>"039066312"</f>
        <v>039066312</v>
      </c>
      <c r="B1073" t="str">
        <f t="shared" si="135"/>
        <v>831376201</v>
      </c>
      <c r="C1073" t="str">
        <f t="shared" si="136"/>
        <v>TOULON-BM</v>
      </c>
      <c r="D1073" t="str">
        <f t="shared" si="137"/>
        <v>43.0823215</v>
      </c>
      <c r="E1073" t="str">
        <f t="shared" si="138"/>
        <v>5.920052699999999</v>
      </c>
      <c r="F1073" t="str">
        <f t="shared" si="139"/>
        <v>Annuaire administratif du département du Var  [Texte imprimé]</v>
      </c>
      <c r="G1073" t="str">
        <f t="shared" si="140"/>
        <v>Annuaire administratif du département du Var</v>
      </c>
      <c r="H1073" t="str">
        <f t="shared" si="141"/>
        <v>2023-6220</v>
      </c>
      <c r="I1073" t="str">
        <f t="shared" si="142"/>
        <v>(1855) - (1917)</v>
      </c>
    </row>
    <row r="1074" spans="1:9" x14ac:dyDescent="0.25">
      <c r="A1074" t="str">
        <f>"039412296"</f>
        <v>039412296</v>
      </c>
      <c r="B1074" t="str">
        <f t="shared" si="135"/>
        <v>060882306</v>
      </c>
      <c r="C1074" t="str">
        <f t="shared" si="136"/>
        <v>NICE-CEPAM</v>
      </c>
      <c r="D1074" t="str">
        <f t="shared" si="137"/>
        <v>43.7090597</v>
      </c>
      <c r="E1074" t="str">
        <f t="shared" si="138"/>
        <v>7.288295</v>
      </c>
      <c r="F1074" t="e">
        <f t="shared" si="139"/>
        <v>#VALUE!</v>
      </c>
      <c r="G1074" t="str">
        <f t="shared" si="140"/>
        <v>Publications de l'URA 28</v>
      </c>
      <c r="H1074" t="str">
        <f t="shared" si="141"/>
        <v>0249-0781</v>
      </c>
      <c r="I1074" t="str">
        <f t="shared" si="142"/>
        <v>vol. 1 (1980) - vol. 2  (1983)</v>
      </c>
    </row>
    <row r="1075" spans="1:9" x14ac:dyDescent="0.25">
      <c r="A1075" t="str">
        <f>"04044547X"</f>
        <v>04044547X</v>
      </c>
      <c r="B1075" t="str">
        <f t="shared" si="135"/>
        <v>060885101</v>
      </c>
      <c r="C1075" t="str">
        <f t="shared" si="136"/>
        <v>NICE-Archives Municipales</v>
      </c>
      <c r="D1075" t="str">
        <f t="shared" si="137"/>
        <v>43.68774699999999</v>
      </c>
      <c r="E1075" t="str">
        <f t="shared" si="138"/>
        <v>7.235200000000001</v>
      </c>
      <c r="F1075" t="str">
        <f t="shared" si="139"/>
        <v>Nice entreprendre  [Texte imprimé]</v>
      </c>
      <c r="G1075" t="str">
        <f t="shared" si="140"/>
        <v>Nice entreprendre</v>
      </c>
      <c r="H1075" t="str">
        <f t="shared" si="141"/>
        <v>1265-8111</v>
      </c>
      <c r="I1075" t="str">
        <f t="shared" si="142"/>
        <v>no. 1 (1992) - no. 8  (1995)</v>
      </c>
    </row>
    <row r="1076" spans="1:9" x14ac:dyDescent="0.25">
      <c r="A1076" t="str">
        <f>"156131994"</f>
        <v>156131994</v>
      </c>
      <c r="B1076" t="str">
        <f t="shared" si="135"/>
        <v>060885105</v>
      </c>
      <c r="C1076" t="str">
        <f t="shared" si="136"/>
        <v>NICE-Bibl.Chevalier de Cessole</v>
      </c>
      <c r="D1076" t="str">
        <f t="shared" si="137"/>
        <v>43.6956246</v>
      </c>
      <c r="E1076" t="str">
        <f t="shared" si="138"/>
        <v>7.259380900000001</v>
      </c>
      <c r="F1076" t="str">
        <f t="shared" si="139"/>
        <v>Le Niçois  [Texte imprimé]</v>
      </c>
      <c r="G1076" t="str">
        <f t="shared" si="140"/>
        <v>Le Niçois</v>
      </c>
      <c r="H1076" t="str">
        <f t="shared" si="141"/>
        <v>2132-8498</v>
      </c>
      <c r="I1076" t="str">
        <f t="shared" si="142"/>
        <v>no. 2 (20-mai-1899) - no. 4  (3-jun-1899)</v>
      </c>
    </row>
    <row r="1077" spans="1:9" x14ac:dyDescent="0.25">
      <c r="A1077" t="str">
        <f>"037889966"</f>
        <v>037889966</v>
      </c>
      <c r="B1077" t="str">
        <f t="shared" si="135"/>
        <v>991385201</v>
      </c>
      <c r="C1077" t="str">
        <f t="shared" si="136"/>
        <v>MONACO-Jardin exotique</v>
      </c>
      <c r="D1077" t="str">
        <f t="shared" si="137"/>
        <v>43.7310908</v>
      </c>
      <c r="E1077" t="str">
        <f t="shared" si="138"/>
        <v>7.410747499999999</v>
      </c>
      <c r="F1077" t="str">
        <f t="shared" si="139"/>
        <v>Stachelpost  [Texte imprimé]</v>
      </c>
      <c r="G1077" t="str">
        <f t="shared" si="140"/>
        <v>Stachelpost</v>
      </c>
      <c r="H1077" t="str">
        <f t="shared" si="141"/>
        <v>0931-7074</v>
      </c>
      <c r="I1077" t="str">
        <f t="shared" si="142"/>
        <v>no. 1 (1964) - no. 4  (1965) ; vol. 4 no. 15 (1968) - vol. 10  no. 51  (1974) [lac.17%]</v>
      </c>
    </row>
    <row r="1078" spans="1:9" x14ac:dyDescent="0.25">
      <c r="A1078" t="str">
        <f>"038758954"</f>
        <v>038758954</v>
      </c>
      <c r="B1078" t="str">
        <f t="shared" si="135"/>
        <v>061525404</v>
      </c>
      <c r="C1078" t="str">
        <f t="shared" si="136"/>
        <v>SOPHIA/ANT.-Thales Und. Systems</v>
      </c>
      <c r="D1078" t="e">
        <f t="shared" si="137"/>
        <v>#VALUE!</v>
      </c>
      <c r="E1078" t="e">
        <f t="shared" si="138"/>
        <v>#VALUE!</v>
      </c>
      <c r="F1078" t="str">
        <f t="shared" si="139"/>
        <v>Naval record  [Texte imprimé]</v>
      </c>
      <c r="G1078" t="str">
        <f t="shared" si="140"/>
        <v>Naval record</v>
      </c>
      <c r="H1078" t="str">
        <f t="shared" si="141"/>
        <v>0028-1433</v>
      </c>
      <c r="I1078" t="str">
        <f t="shared" si="142"/>
        <v>(1978) - (1979)</v>
      </c>
    </row>
    <row r="1079" spans="1:9" x14ac:dyDescent="0.25">
      <c r="A1079" t="str">
        <f>"039933555"</f>
        <v>039933555</v>
      </c>
      <c r="B1079" t="str">
        <f t="shared" si="135"/>
        <v>060885101</v>
      </c>
      <c r="C1079" t="str">
        <f t="shared" si="136"/>
        <v>NICE-Archives Municipales</v>
      </c>
      <c r="D1079" t="str">
        <f t="shared" si="137"/>
        <v>43.68774699999999</v>
      </c>
      <c r="E1079" t="str">
        <f t="shared" si="138"/>
        <v>7.235200000000001</v>
      </c>
      <c r="F1079" t="str">
        <f t="shared" si="139"/>
        <v>BIP. Bulletin d'information pour le personnel  [Texte imprimé]</v>
      </c>
      <c r="G1079" t="str">
        <f t="shared" si="140"/>
        <v>BIP. Bulletin d'information pour le personnel</v>
      </c>
      <c r="H1079" t="str">
        <f t="shared" si="141"/>
        <v>1157-7045</v>
      </c>
      <c r="I1079" t="str">
        <f t="shared" si="142"/>
        <v>no. 1 (1982) - (1992) [lac20%]</v>
      </c>
    </row>
    <row r="1080" spans="1:9" x14ac:dyDescent="0.25">
      <c r="A1080" t="str">
        <f>"058184937"</f>
        <v>058184937</v>
      </c>
      <c r="B1080" t="str">
        <f t="shared" si="135"/>
        <v>991385201</v>
      </c>
      <c r="C1080" t="str">
        <f t="shared" si="136"/>
        <v>MONACO-Jardin exotique</v>
      </c>
      <c r="D1080" t="str">
        <f t="shared" si="137"/>
        <v>43.7310908</v>
      </c>
      <c r="E1080" t="str">
        <f t="shared" si="138"/>
        <v>7.410747499999999</v>
      </c>
      <c r="F1080" t="str">
        <f t="shared" si="139"/>
        <v>Cactussen en vetplanten  [Texte imprimé]</v>
      </c>
      <c r="G1080" t="str">
        <f t="shared" si="140"/>
        <v>Cactussen en vetplanten</v>
      </c>
      <c r="H1080" t="str">
        <f t="shared" si="141"/>
        <v>1373-5500</v>
      </c>
      <c r="I1080" t="str">
        <f t="shared" si="142"/>
        <v>vol. 15 no. 1 (1998)-....</v>
      </c>
    </row>
    <row r="1081" spans="1:9" x14ac:dyDescent="0.25">
      <c r="A1081" t="str">
        <f>"167963791"</f>
        <v>167963791</v>
      </c>
      <c r="B1081" t="str">
        <f t="shared" si="135"/>
        <v>060885211</v>
      </c>
      <c r="C1081" t="str">
        <f t="shared" si="136"/>
        <v>NICE-Musée Terra Amata</v>
      </c>
      <c r="D1081" t="str">
        <f t="shared" si="137"/>
        <v>43.697557</v>
      </c>
      <c r="E1081" t="str">
        <f t="shared" si="138"/>
        <v>7.289042</v>
      </c>
      <c r="F1081" t="str">
        <f t="shared" si="139"/>
        <v>Racines  [Texte imprimé]</v>
      </c>
      <c r="G1081" t="str">
        <f t="shared" si="140"/>
        <v>Racines</v>
      </c>
      <c r="H1081" t="str">
        <f t="shared" si="141"/>
        <v>2170-0451</v>
      </c>
      <c r="I1081" t="str">
        <f t="shared" si="142"/>
        <v>no. 1 (2009) - no. 1  (2009)</v>
      </c>
    </row>
    <row r="1082" spans="1:9" x14ac:dyDescent="0.25">
      <c r="A1082" t="str">
        <f>"036484628"</f>
        <v>036484628</v>
      </c>
      <c r="B1082" t="str">
        <f t="shared" si="135"/>
        <v>991385301</v>
      </c>
      <c r="C1082" t="str">
        <f t="shared" si="136"/>
        <v>MONACO-Musée Océanographique</v>
      </c>
      <c r="D1082" t="str">
        <f t="shared" si="137"/>
        <v>43.7310033</v>
      </c>
      <c r="E1082" t="str">
        <f t="shared" si="138"/>
        <v>7.425491600000001</v>
      </c>
      <c r="F1082" t="str">
        <f t="shared" si="139"/>
        <v>Woods Hole oceanographic institution. Document library. Accession list</v>
      </c>
      <c r="G1082" t="str">
        <f t="shared" si="140"/>
        <v>Woods Hole oceanographic institution. Document library. Accession list</v>
      </c>
      <c r="H1082" t="e">
        <f t="shared" si="141"/>
        <v>#VALUE!</v>
      </c>
      <c r="I1082" t="str">
        <f t="shared" si="142"/>
        <v>(1972)-....</v>
      </c>
    </row>
    <row r="1083" spans="1:9" x14ac:dyDescent="0.25">
      <c r="A1083" t="str">
        <f>"03795279X"</f>
        <v>03795279X</v>
      </c>
      <c r="B1083" t="str">
        <f t="shared" si="135"/>
        <v>991386201</v>
      </c>
      <c r="C1083" t="str">
        <f t="shared" si="136"/>
        <v>MONACO-Bibl.Louis Notari</v>
      </c>
      <c r="D1083" t="str">
        <f t="shared" si="137"/>
        <v>43.7351319</v>
      </c>
      <c r="E1083" t="str">
        <f t="shared" si="138"/>
        <v>7.420563100000001</v>
      </c>
      <c r="F1083" t="str">
        <f t="shared" si="139"/>
        <v>Notre cité  [Texte imprimé]</v>
      </c>
      <c r="G1083" t="str">
        <f t="shared" si="140"/>
        <v>Notre cité</v>
      </c>
      <c r="H1083" t="str">
        <f t="shared" si="141"/>
        <v>1011-7458</v>
      </c>
      <c r="I1083" t="str">
        <f t="shared" si="142"/>
        <v>no. 1 (1945) - no. 14  (1946)</v>
      </c>
    </row>
    <row r="1084" spans="1:9" x14ac:dyDescent="0.25">
      <c r="A1084" t="str">
        <f>"039387305"</f>
        <v>039387305</v>
      </c>
      <c r="B1084" t="str">
        <f t="shared" si="135"/>
        <v>060882306</v>
      </c>
      <c r="C1084" t="str">
        <f t="shared" si="136"/>
        <v>NICE-CEPAM</v>
      </c>
      <c r="D1084" t="str">
        <f t="shared" si="137"/>
        <v>43.7090597</v>
      </c>
      <c r="E1084" t="str">
        <f t="shared" si="138"/>
        <v>7.288295</v>
      </c>
      <c r="F1084" t="e">
        <f t="shared" si="139"/>
        <v>#VALUE!</v>
      </c>
      <c r="G1084" t="str">
        <f t="shared" si="140"/>
        <v>Publication de l'U.R.A. n. 10. Mémoire.</v>
      </c>
      <c r="H1084" t="str">
        <f t="shared" si="141"/>
        <v>0245-3681</v>
      </c>
      <c r="I1084" t="str">
        <f t="shared" si="142"/>
        <v>no. 1 (1978) - no. 3  (1979)</v>
      </c>
    </row>
    <row r="1085" spans="1:9" x14ac:dyDescent="0.25">
      <c r="A1085" t="str">
        <f>"075970627"</f>
        <v>075970627</v>
      </c>
      <c r="B1085" t="str">
        <f t="shared" si="135"/>
        <v>991385201</v>
      </c>
      <c r="C1085" t="str">
        <f t="shared" si="136"/>
        <v>MONACO-Jardin exotique</v>
      </c>
      <c r="D1085" t="str">
        <f t="shared" si="137"/>
        <v>43.7310908</v>
      </c>
      <c r="E1085" t="str">
        <f t="shared" si="138"/>
        <v>7.410747499999999</v>
      </c>
      <c r="F1085" t="str">
        <f t="shared" si="139"/>
        <v>Cactus &amp; exotica  [Texte imprimé]</v>
      </c>
      <c r="G1085" t="str">
        <f t="shared" si="140"/>
        <v>Cactus &amp; exotica</v>
      </c>
      <c r="H1085" t="str">
        <f t="shared" si="141"/>
        <v>1780-4523</v>
      </c>
      <c r="I1085" t="str">
        <f t="shared" si="142"/>
        <v>vol. 1 no. 1 (2000) - vol. 2  no. 19  (2001) ; vol. 3 no. 23 (2002) - vol. 5  no. 48  (2004) ; vol. 5 no. 50 (2004) - vol. 8  no. 67  (2007)</v>
      </c>
    </row>
    <row r="1086" spans="1:9" x14ac:dyDescent="0.25">
      <c r="A1086" t="str">
        <f>"137908393"</f>
        <v>137908393</v>
      </c>
      <c r="B1086" t="str">
        <f t="shared" si="135"/>
        <v>060885105</v>
      </c>
      <c r="C1086" t="str">
        <f t="shared" si="136"/>
        <v>NICE-Bibl.Chevalier de Cessole</v>
      </c>
      <c r="D1086" t="str">
        <f t="shared" si="137"/>
        <v>43.6956246</v>
      </c>
      <c r="E1086" t="str">
        <f t="shared" si="138"/>
        <v>7.259380900000001</v>
      </c>
      <c r="F1086" t="str">
        <f t="shared" si="139"/>
        <v>Nice-journal  [Texte imprimé]</v>
      </c>
      <c r="G1086" t="str">
        <f t="shared" si="140"/>
        <v>Nice-journal</v>
      </c>
      <c r="H1086" t="str">
        <f t="shared" si="141"/>
        <v>2132-8285</v>
      </c>
      <c r="I1086" t="str">
        <f t="shared" si="142"/>
        <v>no. 9 (15-nov-1933) - no. 8  (28-mar-1935)</v>
      </c>
    </row>
    <row r="1087" spans="1:9" x14ac:dyDescent="0.25">
      <c r="A1087" t="str">
        <f>"137908113"</f>
        <v>137908113</v>
      </c>
      <c r="B1087" t="str">
        <f t="shared" si="135"/>
        <v>060885105</v>
      </c>
      <c r="C1087" t="str">
        <f t="shared" si="136"/>
        <v>NICE-Bibl.Chevalier de Cessole</v>
      </c>
      <c r="D1087" t="str">
        <f t="shared" si="137"/>
        <v>43.6956246</v>
      </c>
      <c r="E1087" t="str">
        <f t="shared" si="138"/>
        <v>7.259380900000001</v>
      </c>
      <c r="F1087" t="str">
        <f t="shared" si="139"/>
        <v>Nice littéraire  [Texte imprimé]</v>
      </c>
      <c r="G1087" t="str">
        <f t="shared" si="140"/>
        <v>Nice littéraire</v>
      </c>
      <c r="H1087" t="str">
        <f t="shared" si="141"/>
        <v>2132-8013</v>
      </c>
      <c r="I1087" t="str">
        <f t="shared" si="142"/>
        <v>no. 240 (25-jan-1906) - no. 241  (1-fev-1906)</v>
      </c>
    </row>
    <row r="1088" spans="1:9" x14ac:dyDescent="0.25">
      <c r="A1088" t="str">
        <f>"037349988"</f>
        <v>037349988</v>
      </c>
      <c r="B1088" t="str">
        <f t="shared" si="135"/>
        <v>991385201</v>
      </c>
      <c r="C1088" t="str">
        <f t="shared" si="136"/>
        <v>MONACO-Jardin exotique</v>
      </c>
      <c r="D1088" t="str">
        <f t="shared" si="137"/>
        <v>43.7310908</v>
      </c>
      <c r="E1088" t="str">
        <f t="shared" si="138"/>
        <v>7.410747499999999</v>
      </c>
      <c r="F1088" t="str">
        <f t="shared" si="139"/>
        <v>Vjesnik  [Texte imprimé]  / Društvo prijatelja cvijeća i zelenila Zagreb</v>
      </c>
      <c r="G1088" t="str">
        <f t="shared" si="140"/>
        <v>Vjesnik</v>
      </c>
      <c r="H1088" t="str">
        <f t="shared" si="141"/>
        <v>0353-0345</v>
      </c>
      <c r="I1088" t="str">
        <f t="shared" si="142"/>
        <v>vol. 2 no. 1 (1983) - vol. 3  no. 1  (1984)</v>
      </c>
    </row>
    <row r="1089" spans="1:9" x14ac:dyDescent="0.25">
      <c r="A1089" t="str">
        <f>"037931903"</f>
        <v>037931903</v>
      </c>
      <c r="B1089" t="str">
        <f t="shared" si="135"/>
        <v>991385301</v>
      </c>
      <c r="C1089" t="str">
        <f t="shared" si="136"/>
        <v>MONACO-Musée Océanographique</v>
      </c>
      <c r="D1089" t="str">
        <f t="shared" si="137"/>
        <v>43.7310033</v>
      </c>
      <c r="E1089" t="str">
        <f t="shared" si="138"/>
        <v>7.425491600000001</v>
      </c>
      <c r="F1089" t="e">
        <f t="shared" si="139"/>
        <v>#VALUE!</v>
      </c>
      <c r="G1089" t="str">
        <f t="shared" si="140"/>
        <v>N.I.O. cruise report</v>
      </c>
      <c r="H1089" t="str">
        <f t="shared" si="141"/>
        <v>0960-5495</v>
      </c>
      <c r="I1089" t="str">
        <f t="shared" si="142"/>
        <v>(1971)-....</v>
      </c>
    </row>
    <row r="1090" spans="1:9" x14ac:dyDescent="0.25">
      <c r="A1090" t="str">
        <f>"03848806X"</f>
        <v>03848806X</v>
      </c>
      <c r="B1090" t="str">
        <f t="shared" si="135"/>
        <v>991385301</v>
      </c>
      <c r="C1090" t="str">
        <f t="shared" si="136"/>
        <v>MONACO-Musée Océanographique</v>
      </c>
      <c r="D1090" t="str">
        <f t="shared" si="137"/>
        <v>43.7310033</v>
      </c>
      <c r="E1090" t="str">
        <f t="shared" si="138"/>
        <v>7.425491600000001</v>
      </c>
      <c r="F1090" t="str">
        <f t="shared" si="139"/>
        <v>Nouvelles acquisitions de la bibliothèque  [Texte imprimé]</v>
      </c>
      <c r="G1090" t="str">
        <f t="shared" si="140"/>
        <v>Nouvelles acquisitions de la bibliothèque</v>
      </c>
      <c r="H1090" t="str">
        <f t="shared" si="141"/>
        <v>1142-5539</v>
      </c>
      <c r="I1090">
        <f t="shared" si="142"/>
        <v>-1984</v>
      </c>
    </row>
    <row r="1091" spans="1:9" x14ac:dyDescent="0.25">
      <c r="A1091" t="str">
        <f>"03973658X"</f>
        <v>03973658X</v>
      </c>
      <c r="B1091" t="str">
        <f t="shared" ref="B1091:B1148" si="143">TEXT(_xlfn.FILTERXML(_xlfn.WEBSERVICE("http://www.sudoc.fr/services/multiwhere/"&amp;A1091),"//query/result/library/rcr"),"000000000")</f>
        <v>060042304</v>
      </c>
      <c r="C1091" t="str">
        <f t="shared" si="136"/>
        <v>ANTIBES-INRA-IPMSV</v>
      </c>
      <c r="D1091" t="str">
        <f t="shared" si="137"/>
        <v>43.5654347</v>
      </c>
      <c r="E1091" t="str">
        <f t="shared" si="138"/>
        <v>7.124600999999999</v>
      </c>
      <c r="F1091" t="str">
        <f t="shared" si="139"/>
        <v>Recorder  [Texte imprimé]</v>
      </c>
      <c r="G1091" t="str">
        <f t="shared" si="140"/>
        <v>Recorder</v>
      </c>
      <c r="H1091" t="str">
        <f t="shared" si="141"/>
        <v>0776-3093</v>
      </c>
      <c r="I1091" t="str">
        <f t="shared" si="142"/>
        <v>(1990) - (1994)</v>
      </c>
    </row>
    <row r="1092" spans="1:9" x14ac:dyDescent="0.25">
      <c r="A1092" t="str">
        <f>"036883360"</f>
        <v>036883360</v>
      </c>
      <c r="B1092" t="str">
        <f t="shared" si="143"/>
        <v>061525404</v>
      </c>
      <c r="C1092" t="str">
        <f t="shared" si="136"/>
        <v>SOPHIA/ANT.-Thales Und. Systems</v>
      </c>
      <c r="D1092" t="e">
        <f t="shared" si="137"/>
        <v>#VALUE!</v>
      </c>
      <c r="E1092" t="e">
        <f t="shared" si="138"/>
        <v>#VALUE!</v>
      </c>
      <c r="F1092" t="str">
        <f t="shared" si="139"/>
        <v>Data book - Diode  [Texte imprimé]</v>
      </c>
      <c r="G1092" t="str">
        <f t="shared" si="140"/>
        <v>Data book - Diode</v>
      </c>
      <c r="H1092" t="e">
        <f t="shared" si="141"/>
        <v>#VALUE!</v>
      </c>
      <c r="I1092" t="str">
        <f t="shared" si="142"/>
        <v>(1982) - (1990)</v>
      </c>
    </row>
    <row r="1093" spans="1:9" x14ac:dyDescent="0.25">
      <c r="A1093" t="str">
        <f>"156154404"</f>
        <v>156154404</v>
      </c>
      <c r="B1093" t="str">
        <f t="shared" si="143"/>
        <v>060885105</v>
      </c>
      <c r="C1093" t="str">
        <f t="shared" si="136"/>
        <v>NICE-Bibl.Chevalier de Cessole</v>
      </c>
      <c r="D1093" t="str">
        <f t="shared" si="137"/>
        <v>43.6956246</v>
      </c>
      <c r="E1093" t="str">
        <f t="shared" si="138"/>
        <v>7.259380900000001</v>
      </c>
      <c r="F1093" t="str">
        <f t="shared" si="139"/>
        <v>Le Progrès des Alpes-Maritimes et des Basses-Alpes  [Texte imprimé]</v>
      </c>
      <c r="G1093" t="str">
        <f t="shared" si="140"/>
        <v>Le Progrès des Alpes-Maritimes et des Basses-Alpes</v>
      </c>
      <c r="H1093" t="str">
        <f t="shared" si="141"/>
        <v>2135-4359</v>
      </c>
      <c r="I1093" t="str">
        <f t="shared" si="142"/>
        <v>no. 17 (16-jun-1907)</v>
      </c>
    </row>
    <row r="1094" spans="1:9" x14ac:dyDescent="0.25">
      <c r="A1094" t="str">
        <f>"037955527"</f>
        <v>037955527</v>
      </c>
      <c r="B1094" t="str">
        <f t="shared" si="143"/>
        <v>991385301</v>
      </c>
      <c r="C1094" t="str">
        <f t="shared" si="136"/>
        <v>MONACO-Musée Océanographique</v>
      </c>
      <c r="D1094" t="str">
        <f t="shared" si="137"/>
        <v>43.7310033</v>
      </c>
      <c r="E1094" t="str">
        <f t="shared" si="138"/>
        <v>7.425491600000001</v>
      </c>
      <c r="F1094" t="str">
        <f t="shared" si="139"/>
        <v>Bulletin de l'A.E.S.T.M.  [Texte imprimé]</v>
      </c>
      <c r="G1094" t="str">
        <f t="shared" si="140"/>
        <v>Bulletin de l'A.E.S.T.M.</v>
      </c>
      <c r="H1094" t="str">
        <f t="shared" si="141"/>
        <v>1012-1579</v>
      </c>
      <c r="I1094" t="str">
        <f t="shared" si="142"/>
        <v>no. 1 (1986)</v>
      </c>
    </row>
    <row r="1095" spans="1:9" x14ac:dyDescent="0.25">
      <c r="A1095" t="str">
        <f>"039609855"</f>
        <v>039609855</v>
      </c>
      <c r="B1095" t="str">
        <f t="shared" si="143"/>
        <v>991385301</v>
      </c>
      <c r="C1095" t="str">
        <f t="shared" si="136"/>
        <v>MONACO-Musée Océanographique</v>
      </c>
      <c r="D1095" t="str">
        <f t="shared" si="137"/>
        <v>43.7310033</v>
      </c>
      <c r="E1095" t="str">
        <f t="shared" si="138"/>
        <v>7.425491600000001</v>
      </c>
      <c r="F1095" t="e">
        <f t="shared" si="139"/>
        <v>#VALUE!</v>
      </c>
      <c r="G1095" t="str">
        <f t="shared" si="140"/>
        <v>Admiralty marine science publication</v>
      </c>
      <c r="H1095" t="str">
        <f t="shared" si="141"/>
        <v>0436-4309</v>
      </c>
      <c r="I1095" t="str">
        <f t="shared" si="142"/>
        <v>(1963) - (1972) ; (1974) - (1978)</v>
      </c>
    </row>
    <row r="1096" spans="1:9" x14ac:dyDescent="0.25">
      <c r="A1096" t="str">
        <f>"038739976"</f>
        <v>038739976</v>
      </c>
      <c r="B1096" t="str">
        <f t="shared" si="143"/>
        <v>060692301</v>
      </c>
      <c r="C1096" t="str">
        <f t="shared" si="136"/>
        <v>GRASSE-Musée Art/Hist Provence</v>
      </c>
      <c r="D1096" t="str">
        <f t="shared" si="137"/>
        <v>43.65761759999999</v>
      </c>
      <c r="E1096" t="str">
        <f t="shared" si="138"/>
        <v>6.9224541</v>
      </c>
      <c r="F1096" t="str">
        <f t="shared" si="139"/>
        <v>Bulletin municipal  [Texte imprimé]  / Cannes</v>
      </c>
      <c r="G1096" t="str">
        <f t="shared" si="140"/>
        <v>Bulletin municipal</v>
      </c>
      <c r="H1096" t="str">
        <f t="shared" si="141"/>
        <v>1244-7552</v>
      </c>
      <c r="I1096" t="str">
        <f t="shared" si="142"/>
        <v>vol. 1 (1985) - (1989)</v>
      </c>
    </row>
    <row r="1097" spans="1:9" x14ac:dyDescent="0.25">
      <c r="A1097" t="str">
        <f>"137875436"</f>
        <v>137875436</v>
      </c>
      <c r="B1097" t="str">
        <f t="shared" si="143"/>
        <v>060885105</v>
      </c>
      <c r="C1097" t="str">
        <f t="shared" si="136"/>
        <v>NICE-Bibl.Chevalier de Cessole</v>
      </c>
      <c r="D1097" t="str">
        <f t="shared" si="137"/>
        <v>43.6956246</v>
      </c>
      <c r="E1097" t="str">
        <f t="shared" si="138"/>
        <v>7.259380900000001</v>
      </c>
      <c r="F1097" t="str">
        <f t="shared" si="139"/>
        <v>L'Indépendant de Nice et des Alpes-Maritimes  [Texte imprimé]</v>
      </c>
      <c r="G1097" t="str">
        <f t="shared" si="140"/>
        <v>L'Indépendant de Nice et des Alpes-Maritimes</v>
      </c>
      <c r="H1097" t="str">
        <f t="shared" si="141"/>
        <v>2129-5654</v>
      </c>
      <c r="I1097" t="str">
        <f t="shared" si="142"/>
        <v>no. 12 (6-jun-1897)</v>
      </c>
    </row>
    <row r="1098" spans="1:9" x14ac:dyDescent="0.25">
      <c r="A1098" t="str">
        <f>"039206912"</f>
        <v>039206912</v>
      </c>
      <c r="B1098" t="str">
        <f t="shared" si="143"/>
        <v>991385301</v>
      </c>
      <c r="C1098" t="str">
        <f t="shared" si="136"/>
        <v>MONACO-Musée Océanographique</v>
      </c>
      <c r="D1098" t="str">
        <f t="shared" si="137"/>
        <v>43.7310033</v>
      </c>
      <c r="E1098" t="str">
        <f t="shared" si="138"/>
        <v>7.425491600000001</v>
      </c>
      <c r="F1098" t="str">
        <f t="shared" si="139"/>
        <v>Oseana  [Texte imprimé]</v>
      </c>
      <c r="G1098" t="str">
        <f t="shared" si="140"/>
        <v>Oseana</v>
      </c>
      <c r="H1098" t="str">
        <f t="shared" si="141"/>
        <v>0216-1877</v>
      </c>
      <c r="I1098" t="str">
        <f t="shared" si="142"/>
        <v>vol. 15 no. 1 (1990)-....</v>
      </c>
    </row>
    <row r="1099" spans="1:9" x14ac:dyDescent="0.25">
      <c r="A1099" t="str">
        <f>"037271296"</f>
        <v>037271296</v>
      </c>
      <c r="B1099" t="str">
        <f t="shared" si="143"/>
        <v>060886101</v>
      </c>
      <c r="C1099" t="str">
        <f t="shared" si="136"/>
        <v>NICE- BMVR Louis Nucéra</v>
      </c>
      <c r="D1099" t="str">
        <f t="shared" si="137"/>
        <v>43.7015650</v>
      </c>
      <c r="E1099" t="str">
        <f t="shared" si="138"/>
        <v>7.2786247</v>
      </c>
      <c r="F1099" t="str">
        <f t="shared" si="139"/>
        <v>BBC modern English  [Texte imprimé]</v>
      </c>
      <c r="G1099" t="str">
        <f t="shared" si="140"/>
        <v>BBC modern English</v>
      </c>
      <c r="H1099" t="str">
        <f t="shared" si="141"/>
        <v>0306-9346</v>
      </c>
      <c r="I1099" t="str">
        <f t="shared" si="142"/>
        <v>vol. 1 no. 1 (1975) - vol. 8  no. 4  (1981)</v>
      </c>
    </row>
    <row r="1100" spans="1:9" x14ac:dyDescent="0.25">
      <c r="A1100" t="str">
        <f>"038378302"</f>
        <v>038378302</v>
      </c>
      <c r="B1100" t="str">
        <f t="shared" si="143"/>
        <v>991385201</v>
      </c>
      <c r="C1100" t="str">
        <f t="shared" si="136"/>
        <v>MONACO-Jardin exotique</v>
      </c>
      <c r="D1100" t="str">
        <f t="shared" si="137"/>
        <v>43.7310908</v>
      </c>
      <c r="E1100" t="str">
        <f t="shared" si="138"/>
        <v>7.410747499999999</v>
      </c>
      <c r="F1100" t="str">
        <f t="shared" si="139"/>
        <v>Shaboten  [Texte imprimé]</v>
      </c>
      <c r="G1100" t="str">
        <f t="shared" si="140"/>
        <v>Shaboten</v>
      </c>
      <c r="H1100" t="e">
        <f t="shared" si="141"/>
        <v>#VALUE!</v>
      </c>
      <c r="I1100" t="str">
        <f t="shared" si="142"/>
        <v>no. 42 (1963) - no. 49  (1964) ; no. 51 (1964) - no. 53  (1965)</v>
      </c>
    </row>
    <row r="1101" spans="1:9" x14ac:dyDescent="0.25">
      <c r="A1101" t="str">
        <f>"036974595"</f>
        <v>036974595</v>
      </c>
      <c r="B1101" t="str">
        <f t="shared" si="143"/>
        <v>830612301</v>
      </c>
      <c r="C1101" t="str">
        <f t="shared" si="136"/>
        <v>ST AYGULF-Station amélior.plan</v>
      </c>
      <c r="D1101" t="e">
        <f t="shared" si="137"/>
        <v>#VALUE!</v>
      </c>
      <c r="E1101" t="e">
        <f t="shared" si="138"/>
        <v>#VALUE!</v>
      </c>
      <c r="F1101" t="str">
        <f t="shared" si="139"/>
        <v>Gartenbauliche Versuchsberichte ... der Versuchsanstalten Obst- und Gemüsebau Auweiler, Garten- und Landschaftsbau und Friedhofsgärtnerei Essen, Zierpflanzenbau, Baumschulen und Floristik Friesdorf, Pilzanbau Krefeld, Gemüse- und Zierpflanzenbau Straelen  [Texte imprimé]</v>
      </c>
      <c r="G1101" t="str">
        <f t="shared" si="140"/>
        <v>Gartenbauliche Versuchsberichte ... der Versuchsanstalten Obst- und Gemüsebau Auweiler, Garten- und Landschaftsbau und Friedhofsgärtnerei Essen, Zierpflanzenbau, Baumschulen und Floristik Friesdorf, Pilzanbau Krefeld, Gemüse- und Zierpflanzenbau Straelen</v>
      </c>
      <c r="H1101" t="str">
        <f t="shared" si="141"/>
        <v>0175-4580</v>
      </c>
      <c r="I1101" t="str">
        <f t="shared" si="142"/>
        <v>(1983) - (1985)</v>
      </c>
    </row>
    <row r="1102" spans="1:9" x14ac:dyDescent="0.25">
      <c r="A1102" t="str">
        <f>"039286932"</f>
        <v>039286932</v>
      </c>
      <c r="B1102" t="str">
        <f t="shared" si="143"/>
        <v>991386201</v>
      </c>
      <c r="C1102" t="str">
        <f t="shared" si="136"/>
        <v>MONACO-Bibl.Louis Notari</v>
      </c>
      <c r="D1102" t="str">
        <f t="shared" si="137"/>
        <v>43.7351319</v>
      </c>
      <c r="E1102" t="str">
        <f t="shared" si="138"/>
        <v>7.420563100000001</v>
      </c>
      <c r="F1102" t="str">
        <f t="shared" si="139"/>
        <v>Annuaire  [Texte imprimé]  / Fédération monégasque de lawn tennis</v>
      </c>
      <c r="G1102" t="str">
        <f t="shared" si="140"/>
        <v>Annuaire</v>
      </c>
      <c r="H1102" t="str">
        <f t="shared" si="141"/>
        <v>0256-9434</v>
      </c>
      <c r="I1102" t="str">
        <f t="shared" si="142"/>
        <v>no. 1 (1977) - (1985)</v>
      </c>
    </row>
    <row r="1103" spans="1:9" x14ac:dyDescent="0.25">
      <c r="A1103" t="str">
        <f>"036266566"</f>
        <v>036266566</v>
      </c>
      <c r="B1103" t="str">
        <f t="shared" si="143"/>
        <v>061525404</v>
      </c>
      <c r="C1103" t="str">
        <f t="shared" si="136"/>
        <v>SOPHIA/ANT.-Thales Und. Systems</v>
      </c>
      <c r="D1103" t="e">
        <f t="shared" si="137"/>
        <v>#VALUE!</v>
      </c>
      <c r="E1103" t="e">
        <f t="shared" si="138"/>
        <v>#VALUE!</v>
      </c>
      <c r="F1103" t="str">
        <f t="shared" si="139"/>
        <v>Electronic progress  [Texte imprimé]</v>
      </c>
      <c r="G1103" t="str">
        <f t="shared" si="140"/>
        <v>Electronic progress</v>
      </c>
      <c r="H1103" t="str">
        <f t="shared" si="141"/>
        <v>0013-4961</v>
      </c>
      <c r="I1103" t="str">
        <f t="shared" si="142"/>
        <v>(1980) - (1982)</v>
      </c>
    </row>
    <row r="1104" spans="1:9" x14ac:dyDescent="0.25">
      <c r="A1104" t="str">
        <f>"089987284"</f>
        <v>089987284</v>
      </c>
      <c r="B1104" t="str">
        <f t="shared" si="143"/>
        <v>060882303</v>
      </c>
      <c r="C1104" t="str">
        <f t="shared" si="136"/>
        <v>NICE-Museum Hist.Naturelle</v>
      </c>
      <c r="D1104" t="str">
        <f t="shared" si="137"/>
        <v>43.7017477</v>
      </c>
      <c r="E1104" t="str">
        <f t="shared" si="138"/>
        <v>7.279483399999999</v>
      </c>
      <c r="F1104" t="str">
        <f t="shared" si="139"/>
        <v>Athene  [Texte imprimé]</v>
      </c>
      <c r="G1104" t="str">
        <f t="shared" si="140"/>
        <v>Athene</v>
      </c>
      <c r="H1104" t="str">
        <f t="shared" si="141"/>
        <v>1698-5656</v>
      </c>
      <c r="I1104" t="str">
        <f t="shared" si="142"/>
        <v>no. 17 (nov-2007) ; no. 19 (nov-2009)</v>
      </c>
    </row>
    <row r="1105" spans="1:9" x14ac:dyDescent="0.25">
      <c r="A1105" t="str">
        <f>"136595286"</f>
        <v>136595286</v>
      </c>
      <c r="B1105" t="str">
        <f t="shared" si="143"/>
        <v>060885105</v>
      </c>
      <c r="C1105" t="str">
        <f t="shared" si="136"/>
        <v>NICE-Bibl.Chevalier de Cessole</v>
      </c>
      <c r="D1105" t="str">
        <f t="shared" si="137"/>
        <v>43.6956246</v>
      </c>
      <c r="E1105" t="str">
        <f t="shared" si="138"/>
        <v>7.259380900000001</v>
      </c>
      <c r="F1105" t="str">
        <f t="shared" si="139"/>
        <v>Côte d'Azur-hygiène  [Texte imprimé]</v>
      </c>
      <c r="G1105" t="str">
        <f t="shared" si="140"/>
        <v>Côte d'Azur-hygiène</v>
      </c>
      <c r="H1105" t="str">
        <f t="shared" si="141"/>
        <v>2124-5703</v>
      </c>
      <c r="I1105" t="str">
        <f t="shared" si="142"/>
        <v>no. 18 (1-avr-1934)</v>
      </c>
    </row>
    <row r="1106" spans="1:9" x14ac:dyDescent="0.25">
      <c r="A1106" t="str">
        <f>"036402451"</f>
        <v>036402451</v>
      </c>
      <c r="B1106" t="str">
        <f t="shared" si="143"/>
        <v>991385301</v>
      </c>
      <c r="C1106" t="str">
        <f t="shared" si="136"/>
        <v>MONACO-Musée Océanographique</v>
      </c>
      <c r="D1106" t="str">
        <f t="shared" si="137"/>
        <v>43.7310033</v>
      </c>
      <c r="E1106" t="str">
        <f t="shared" si="138"/>
        <v>7.425491600000001</v>
      </c>
      <c r="F1106" t="str">
        <f t="shared" si="139"/>
        <v>Report of the Bureau of commercial fisheries for the calendar year...  [Texte imprimé]</v>
      </c>
      <c r="G1106" t="str">
        <f t="shared" si="140"/>
        <v>Report of the Bureau of commercial fisheries for the calendar year...</v>
      </c>
      <c r="H1106" t="e">
        <f t="shared" si="141"/>
        <v>#VALUE!</v>
      </c>
      <c r="I1106" t="e">
        <f t="shared" si="142"/>
        <v>#VALUE!</v>
      </c>
    </row>
    <row r="1107" spans="1:9" x14ac:dyDescent="0.25">
      <c r="A1107" t="str">
        <f>"040135063"</f>
        <v>040135063</v>
      </c>
      <c r="B1107" t="str">
        <f t="shared" si="143"/>
        <v>991386201</v>
      </c>
      <c r="C1107" t="str">
        <f t="shared" si="136"/>
        <v>MONACO-Bibl.Louis Notari</v>
      </c>
      <c r="D1107" t="str">
        <f t="shared" si="137"/>
        <v>43.7351319</v>
      </c>
      <c r="E1107" t="str">
        <f t="shared" si="138"/>
        <v>7.420563100000001</v>
      </c>
      <c r="F1107" t="str">
        <f t="shared" si="139"/>
        <v>Perspectives monégasques  [Texte imprimé]</v>
      </c>
      <c r="G1107" t="str">
        <f t="shared" si="140"/>
        <v>Perspectives monégasques</v>
      </c>
      <c r="H1107" t="str">
        <f t="shared" si="141"/>
        <v>1011-1433</v>
      </c>
      <c r="I1107" t="str">
        <f t="shared" si="142"/>
        <v>no. 1 (mai-1964)-....</v>
      </c>
    </row>
    <row r="1108" spans="1:9" x14ac:dyDescent="0.25">
      <c r="A1108" t="str">
        <f>"038261804"</f>
        <v>038261804</v>
      </c>
      <c r="B1108" t="str">
        <f t="shared" si="143"/>
        <v>991385201</v>
      </c>
      <c r="C1108" t="str">
        <f t="shared" si="136"/>
        <v>MONACO-Jardin exotique</v>
      </c>
      <c r="D1108" t="str">
        <f t="shared" si="137"/>
        <v>43.7310908</v>
      </c>
      <c r="E1108" t="str">
        <f t="shared" si="138"/>
        <v>7.410747499999999</v>
      </c>
      <c r="F1108" t="str">
        <f t="shared" si="139"/>
        <v>Kaktus  [Texte imprimé]</v>
      </c>
      <c r="G1108" t="str">
        <f t="shared" si="140"/>
        <v>Kaktus</v>
      </c>
      <c r="H1108" t="str">
        <f t="shared" si="141"/>
        <v>1330-3244</v>
      </c>
      <c r="I1108" t="str">
        <f t="shared" si="142"/>
        <v>vol. 3 no. 2 (1984) - vol. 4  no. 4  (1985) ; vol. 5 no. 2 (1986) - vol. 6  no. 2  (1987) ; vol. 9 no. 3 (1990) - vol. 10  no. 2  (1991)</v>
      </c>
    </row>
    <row r="1109" spans="1:9" x14ac:dyDescent="0.25">
      <c r="A1109" t="str">
        <f>"140305343"</f>
        <v>140305343</v>
      </c>
      <c r="B1109" t="str">
        <f t="shared" si="143"/>
        <v>060885109</v>
      </c>
      <c r="C1109" t="str">
        <f t="shared" si="136"/>
        <v>NICE-Théâtre Photo. et Image</v>
      </c>
      <c r="D1109" t="str">
        <f t="shared" si="137"/>
        <v>43.6958659</v>
      </c>
      <c r="E1109" t="str">
        <f t="shared" si="138"/>
        <v>7.274715499999957</v>
      </c>
      <c r="F1109" t="str">
        <f t="shared" si="139"/>
        <v>Victor  [Texte imprimé]</v>
      </c>
      <c r="G1109" t="str">
        <f t="shared" si="140"/>
        <v>Victor</v>
      </c>
      <c r="H1109" t="str">
        <f t="shared" si="141"/>
        <v>1863-4389</v>
      </c>
      <c r="I1109" t="str">
        <f t="shared" si="142"/>
        <v>no. 1 (2009)-....</v>
      </c>
    </row>
    <row r="1110" spans="1:9" x14ac:dyDescent="0.25">
      <c r="A1110" t="str">
        <f>"14011761X"</f>
        <v>14011761X</v>
      </c>
      <c r="B1110" t="str">
        <f t="shared" si="143"/>
        <v>830616201</v>
      </c>
      <c r="C1110" t="str">
        <f t="shared" si="136"/>
        <v>FREJUS-Médiathèque Villa-Mar</v>
      </c>
      <c r="D1110" t="e">
        <f t="shared" si="137"/>
        <v>#VALUE!</v>
      </c>
      <c r="E1110" t="e">
        <f t="shared" si="138"/>
        <v>#VALUE!</v>
      </c>
      <c r="F1110" t="str">
        <f t="shared" si="139"/>
        <v>Joypad  [Texte imprimé]</v>
      </c>
      <c r="G1110" t="str">
        <f t="shared" si="140"/>
        <v>Joypad</v>
      </c>
      <c r="H1110" t="str">
        <f t="shared" si="141"/>
        <v>1966-9984</v>
      </c>
      <c r="I1110" t="str">
        <f t="shared" si="142"/>
        <v>no. 8 (2008)</v>
      </c>
    </row>
    <row r="1111" spans="1:9" x14ac:dyDescent="0.25">
      <c r="A1111" t="str">
        <f>"036285684"</f>
        <v>036285684</v>
      </c>
      <c r="B1111" t="str">
        <f t="shared" si="143"/>
        <v>991385301</v>
      </c>
      <c r="C1111" t="str">
        <f t="shared" si="136"/>
        <v>MONACO-Musée Océanographique</v>
      </c>
      <c r="D1111" t="str">
        <f t="shared" si="137"/>
        <v>43.7310033</v>
      </c>
      <c r="E1111" t="str">
        <f t="shared" si="138"/>
        <v>7.425491600000001</v>
      </c>
      <c r="F1111" t="str">
        <f t="shared" si="139"/>
        <v>Food fish situation &amp; outlook  [Texte imprimé]</v>
      </c>
      <c r="G1111" t="str">
        <f t="shared" si="140"/>
        <v>Food fish situation &amp; outlook</v>
      </c>
      <c r="H1111" t="str">
        <f t="shared" si="141"/>
        <v>0015-640X</v>
      </c>
      <c r="I1111" t="str">
        <f t="shared" si="142"/>
        <v>(1967) - (1972)</v>
      </c>
    </row>
    <row r="1112" spans="1:9" x14ac:dyDescent="0.25">
      <c r="A1112" t="str">
        <f>"036293679"</f>
        <v>036293679</v>
      </c>
      <c r="B1112" t="str">
        <f t="shared" si="143"/>
        <v>991385301</v>
      </c>
      <c r="C1112" t="str">
        <f t="shared" si="136"/>
        <v>MONACO-Musée Océanographique</v>
      </c>
      <c r="D1112" t="str">
        <f t="shared" si="137"/>
        <v>43.7310033</v>
      </c>
      <c r="E1112" t="str">
        <f t="shared" si="138"/>
        <v>7.425491600000001</v>
      </c>
      <c r="F1112" t="str">
        <f t="shared" si="139"/>
        <v>International decade of ocean exploration. Progress report.</v>
      </c>
      <c r="G1112" t="str">
        <f t="shared" si="140"/>
        <v>International decade of ocean exploration. Progress report.</v>
      </c>
      <c r="H1112" t="e">
        <f t="shared" si="141"/>
        <v>#VALUE!</v>
      </c>
      <c r="I1112" t="str">
        <f t="shared" si="142"/>
        <v>(1973) - (1981)</v>
      </c>
    </row>
    <row r="1113" spans="1:9" x14ac:dyDescent="0.25">
      <c r="A1113" t="str">
        <f>"040090515"</f>
        <v>040090515</v>
      </c>
      <c r="B1113" t="str">
        <f t="shared" si="143"/>
        <v>991385301</v>
      </c>
      <c r="C1113" t="str">
        <f t="shared" ref="C1113:C1148" si="144">_xlfn.FILTERXML(_xlfn.WEBSERVICE("http://www.sudoc.fr/services/multiwhere/"&amp;A1113),"//query/result/library/shortname")</f>
        <v>MONACO-Musée Océanographique</v>
      </c>
      <c r="D1113" t="str">
        <f t="shared" ref="D1113:D1148" si="145">_xlfn.FILTERXML(_xlfn.WEBSERVICE("http://www.sudoc.fr/services/multiwhere/"&amp;A1113),"//query/result/library/latitude")</f>
        <v>43.7310033</v>
      </c>
      <c r="E1113" t="str">
        <f t="shared" ref="E1113:E1148" si="146">_xlfn.FILTERXML(_xlfn.WEBSERVICE("http://www.sudoc.fr/services/multiwhere/"&amp;A1113),"//query/result/library/longitude")</f>
        <v>7.425491600000001</v>
      </c>
      <c r="F1113" t="str">
        <f t="shared" ref="F1113:F1148" si="147">_xlfn.FILTERXML(_xlfn.WEBSERVICE("http://www.sudoc.fr/"&amp;A1113&amp;".rdf"),"//bibo:Periodical/dc:title")</f>
        <v>Nouvelles acquisitions  [Texte imprimé]  / Service historique de la marine à Brest, Bibliothèque</v>
      </c>
      <c r="G1113" t="str">
        <f t="shared" ref="G1113:G1148" si="148">_xlfn.FILTERXML(_xlfn.WEBSERVICE("http://www.sudoc.fr/"&amp;A1113&amp;".abes"),"//datafield[@tag='200']/subfield[@code='a']")</f>
        <v>Nouvelles acquisitions</v>
      </c>
      <c r="H1113" t="str">
        <f t="shared" ref="H1113:H1148" si="149">_xlfn.FILTERXML(_xlfn.WEBSERVICE("http://www.sudoc.fr/"&amp;A1113&amp;".abes"),"//datafield[@tag='011']/subfield[@code='a']")</f>
        <v>1243-3780</v>
      </c>
      <c r="I1113" t="str">
        <f t="shared" ref="I1113:I1148" si="150">_xlfn.FILTERXML(_xlfn.WEBSERVICE("http://www.sudoc.fr/"&amp;A1113&amp;".abes"),"//datafield[@tag='955']/subfield[@code='r']")</f>
        <v>(1985)-....</v>
      </c>
    </row>
    <row r="1114" spans="1:9" x14ac:dyDescent="0.25">
      <c r="A1114" t="str">
        <f>"037222066"</f>
        <v>037222066</v>
      </c>
      <c r="B1114" t="str">
        <f t="shared" si="143"/>
        <v>991386201</v>
      </c>
      <c r="C1114" t="str">
        <f t="shared" si="144"/>
        <v>MONACO-Bibl.Louis Notari</v>
      </c>
      <c r="D1114" t="str">
        <f t="shared" si="145"/>
        <v>43.7351319</v>
      </c>
      <c r="E1114" t="str">
        <f t="shared" si="146"/>
        <v>7.420563100000001</v>
      </c>
      <c r="F1114" t="str">
        <f t="shared" si="147"/>
        <v>Pauline  [Texte imprimé]</v>
      </c>
      <c r="G1114" t="str">
        <f t="shared" si="148"/>
        <v>Pauline</v>
      </c>
      <c r="H1114" t="str">
        <f t="shared" si="149"/>
        <v>0269-3151</v>
      </c>
      <c r="I1114" t="str">
        <f t="shared" si="150"/>
        <v>vol. 7 no. 32 (1888) - vol. 16  no. 100  (1898)</v>
      </c>
    </row>
    <row r="1115" spans="1:9" x14ac:dyDescent="0.25">
      <c r="A1115" t="str">
        <f>"037790315"</f>
        <v>037790315</v>
      </c>
      <c r="B1115" t="str">
        <f t="shared" si="143"/>
        <v>991385201</v>
      </c>
      <c r="C1115" t="str">
        <f t="shared" si="144"/>
        <v>MONACO-Jardin exotique</v>
      </c>
      <c r="D1115" t="str">
        <f t="shared" si="145"/>
        <v>43.7310908</v>
      </c>
      <c r="E1115" t="str">
        <f t="shared" si="146"/>
        <v>7.410747499999999</v>
      </c>
      <c r="F1115" t="str">
        <f t="shared" si="147"/>
        <v>Kaktusářské listy  [Texte imprimé]</v>
      </c>
      <c r="G1115" t="str">
        <f t="shared" si="148"/>
        <v>Kaktusářské listy</v>
      </c>
      <c r="H1115" t="str">
        <f t="shared" si="149"/>
        <v>0862-0679</v>
      </c>
      <c r="I1115" t="str">
        <f t="shared" si="150"/>
        <v>vol. 11 no. 1 (1937) - vol. 13  no. 5  (1939) [lac.n°8(1937)]</v>
      </c>
    </row>
    <row r="1116" spans="1:9" x14ac:dyDescent="0.25">
      <c r="A1116" t="str">
        <f>"039066436"</f>
        <v>039066436</v>
      </c>
      <c r="B1116" t="str">
        <f t="shared" si="143"/>
        <v>831376201</v>
      </c>
      <c r="C1116" t="str">
        <f t="shared" si="144"/>
        <v>TOULON-BM</v>
      </c>
      <c r="D1116" t="str">
        <f t="shared" si="145"/>
        <v>43.0823215</v>
      </c>
      <c r="E1116" t="str">
        <f t="shared" si="146"/>
        <v>5.920052699999999</v>
      </c>
      <c r="F1116" t="str">
        <f t="shared" si="147"/>
        <v>Le Spectateur  [Texte imprimé]  : Journal des théâtres de Toulon  : Satirique, littéraire et mondain</v>
      </c>
      <c r="G1116" t="str">
        <f t="shared" si="148"/>
        <v>Le Spectateur</v>
      </c>
      <c r="H1116" t="str">
        <f t="shared" si="149"/>
        <v>2018-3917</v>
      </c>
      <c r="I1116" t="str">
        <f t="shared" si="150"/>
        <v>no. 1 (1892) - no. 21  (1897)</v>
      </c>
    </row>
    <row r="1117" spans="1:9" x14ac:dyDescent="0.25">
      <c r="A1117" t="str">
        <f>"054445426"</f>
        <v>054445426</v>
      </c>
      <c r="B1117" t="str">
        <f t="shared" si="143"/>
        <v>060885101</v>
      </c>
      <c r="C1117" t="str">
        <f t="shared" si="144"/>
        <v>NICE-Archives Municipales</v>
      </c>
      <c r="D1117" t="str">
        <f t="shared" si="145"/>
        <v>43.68774699999999</v>
      </c>
      <c r="E1117" t="str">
        <f t="shared" si="146"/>
        <v>7.235200000000001</v>
      </c>
      <c r="F1117" t="str">
        <f t="shared" si="147"/>
        <v>Gazzetta ufficiale del Regno  [Texte imprimé]</v>
      </c>
      <c r="G1117" t="str">
        <f t="shared" si="148"/>
        <v>Gazzetta ufficiale del Regno</v>
      </c>
      <c r="H1117" t="str">
        <f t="shared" si="149"/>
        <v>1124-0652</v>
      </c>
      <c r="I1117" t="str">
        <f t="shared" si="150"/>
        <v>no. 1 (1860) - no. 2  (1860)</v>
      </c>
    </row>
    <row r="1118" spans="1:9" x14ac:dyDescent="0.25">
      <c r="A1118" t="str">
        <f>"03846019X"</f>
        <v>03846019X</v>
      </c>
      <c r="B1118" t="str">
        <f t="shared" si="143"/>
        <v>060696201</v>
      </c>
      <c r="C1118" t="str">
        <f t="shared" si="144"/>
        <v>GRASSE-Villa St Hilaire</v>
      </c>
      <c r="D1118" t="str">
        <f t="shared" si="145"/>
        <v>43.65711599999999</v>
      </c>
      <c r="E1118" t="str">
        <f t="shared" si="146"/>
        <v>6.9183745</v>
      </c>
      <c r="F1118" t="str">
        <f t="shared" si="147"/>
        <v>Droit et clair  [Texte imprimé]</v>
      </c>
      <c r="G1118" t="str">
        <f t="shared" si="148"/>
        <v>Droit et clair</v>
      </c>
      <c r="H1118" t="str">
        <f t="shared" si="149"/>
        <v>0999-2766</v>
      </c>
      <c r="I1118" t="str">
        <f t="shared" si="150"/>
        <v>no. 3 (mar-1946) - no. 6  (avr-1956)</v>
      </c>
    </row>
    <row r="1119" spans="1:9" x14ac:dyDescent="0.25">
      <c r="A1119" t="str">
        <f>"037947435"</f>
        <v>037947435</v>
      </c>
      <c r="B1119" t="str">
        <f t="shared" si="143"/>
        <v>991386201</v>
      </c>
      <c r="C1119" t="str">
        <f t="shared" si="144"/>
        <v>MONACO-Bibl.Louis Notari</v>
      </c>
      <c r="D1119" t="str">
        <f t="shared" si="145"/>
        <v>43.7351319</v>
      </c>
      <c r="E1119" t="str">
        <f t="shared" si="146"/>
        <v>7.420563100000001</v>
      </c>
      <c r="F1119" t="str">
        <f t="shared" si="147"/>
        <v>Lettre pastorale et mandement de Monseigneur l'Evêque de Monaco  [Texte imprimé]</v>
      </c>
      <c r="G1119" t="str">
        <f t="shared" si="148"/>
        <v>Lettre pastorale et mandement de Monseigneur l'Evêque de Monaco</v>
      </c>
      <c r="H1119" t="str">
        <f t="shared" si="149"/>
        <v>1010-6375</v>
      </c>
      <c r="I1119" t="str">
        <f t="shared" si="150"/>
        <v>vol. 27 (1889) - (1962)</v>
      </c>
    </row>
    <row r="1120" spans="1:9" x14ac:dyDescent="0.25">
      <c r="A1120" t="str">
        <f>"040045366"</f>
        <v>040045366</v>
      </c>
      <c r="B1120" t="str">
        <f t="shared" si="143"/>
        <v>991385201</v>
      </c>
      <c r="C1120" t="str">
        <f t="shared" si="144"/>
        <v>MONACO-Jardin exotique</v>
      </c>
      <c r="D1120" t="str">
        <f t="shared" si="145"/>
        <v>43.7310908</v>
      </c>
      <c r="E1120" t="str">
        <f t="shared" si="146"/>
        <v>7.410747499999999</v>
      </c>
      <c r="F1120" t="str">
        <f t="shared" si="147"/>
        <v>Der Frankfurter Kakteen-Freund  [Texte imprimé]</v>
      </c>
      <c r="G1120" t="str">
        <f t="shared" si="148"/>
        <v>Der Frankfurter Kakteen-Freund</v>
      </c>
      <c r="H1120" t="str">
        <f t="shared" si="149"/>
        <v>0931-928X</v>
      </c>
      <c r="I1120" t="str">
        <f t="shared" si="150"/>
        <v>vol. 9 no. 1 (1982) - no. 4  (1994)</v>
      </c>
    </row>
    <row r="1121" spans="1:9" x14ac:dyDescent="0.25">
      <c r="A1121" t="str">
        <f>"037601709"</f>
        <v>037601709</v>
      </c>
      <c r="B1121" t="str">
        <f t="shared" si="143"/>
        <v>831376201</v>
      </c>
      <c r="C1121" t="str">
        <f t="shared" si="144"/>
        <v>TOULON-BM</v>
      </c>
      <c r="D1121" t="str">
        <f t="shared" si="145"/>
        <v>43.0823215</v>
      </c>
      <c r="E1121" t="str">
        <f t="shared" si="146"/>
        <v>5.920052699999999</v>
      </c>
      <c r="F1121" t="str">
        <f t="shared" si="147"/>
        <v>Son hi-fi magazine  [Texte imprimé]</v>
      </c>
      <c r="G1121" t="str">
        <f t="shared" si="148"/>
        <v>Son hi-fi magazine</v>
      </c>
      <c r="H1121" t="str">
        <f t="shared" si="149"/>
        <v>0708-1588</v>
      </c>
      <c r="I1121" t="str">
        <f t="shared" si="150"/>
        <v>no. 12 (1981) - no. 15  (1981) ; no. 18 (1982) - no. 24  (1983) ; no. 26 (1983)</v>
      </c>
    </row>
    <row r="1122" spans="1:9" x14ac:dyDescent="0.25">
      <c r="A1122" t="str">
        <f>"036682888"</f>
        <v>036682888</v>
      </c>
      <c r="B1122" t="str">
        <f t="shared" si="143"/>
        <v>991385301</v>
      </c>
      <c r="C1122" t="str">
        <f t="shared" si="144"/>
        <v>MONACO-Musée Océanographique</v>
      </c>
      <c r="D1122" t="str">
        <f t="shared" si="145"/>
        <v>43.7310033</v>
      </c>
      <c r="E1122" t="str">
        <f t="shared" si="146"/>
        <v>7.425491600000001</v>
      </c>
      <c r="F1122" t="str">
        <f t="shared" si="147"/>
        <v>Amphipod newsletter  [Texte imprimé]</v>
      </c>
      <c r="G1122" t="str">
        <f t="shared" si="148"/>
        <v>Amphipod newsletter</v>
      </c>
      <c r="H1122" t="str">
        <f t="shared" si="149"/>
        <v>1326-5474</v>
      </c>
      <c r="I1122" t="str">
        <f t="shared" si="150"/>
        <v>vol. 1 (1971)-....</v>
      </c>
    </row>
    <row r="1123" spans="1:9" x14ac:dyDescent="0.25">
      <c r="A1123" t="str">
        <f>"036266558"</f>
        <v>036266558</v>
      </c>
      <c r="B1123" t="str">
        <f t="shared" si="143"/>
        <v>061525404</v>
      </c>
      <c r="C1123" t="str">
        <f t="shared" si="144"/>
        <v>SOPHIA/ANT.-Thales Und. Systems</v>
      </c>
      <c r="D1123" t="e">
        <f t="shared" si="145"/>
        <v>#VALUE!</v>
      </c>
      <c r="E1123" t="e">
        <f t="shared" si="146"/>
        <v>#VALUE!</v>
      </c>
      <c r="F1123" t="str">
        <f t="shared" si="147"/>
        <v>Electronic news  [Texte imprimé]</v>
      </c>
      <c r="G1123" t="str">
        <f t="shared" si="148"/>
        <v>Electronic news</v>
      </c>
      <c r="H1123" t="str">
        <f t="shared" si="149"/>
        <v>0013-4937</v>
      </c>
      <c r="I1123" t="str">
        <f t="shared" si="150"/>
        <v>(1989)-....</v>
      </c>
    </row>
    <row r="1124" spans="1:9" x14ac:dyDescent="0.25">
      <c r="A1124" t="str">
        <f>"045043396"</f>
        <v>045043396</v>
      </c>
      <c r="B1124" t="str">
        <f t="shared" si="143"/>
        <v>060886101</v>
      </c>
      <c r="C1124" t="str">
        <f t="shared" si="144"/>
        <v>NICE- BMVR Louis Nucéra</v>
      </c>
      <c r="D1124" t="str">
        <f t="shared" si="145"/>
        <v>43.7015650</v>
      </c>
      <c r="E1124" t="str">
        <f t="shared" si="146"/>
        <v>7.2786247</v>
      </c>
      <c r="F1124" t="str">
        <f t="shared" si="147"/>
        <v>Life  [Texte imprimé]</v>
      </c>
      <c r="G1124" t="str">
        <f t="shared" si="148"/>
        <v>Life</v>
      </c>
      <c r="H1124" t="e">
        <f t="shared" si="149"/>
        <v>#VALUE!</v>
      </c>
      <c r="I1124" t="str">
        <f t="shared" si="150"/>
        <v>(avr-1994)-....</v>
      </c>
    </row>
    <row r="1125" spans="1:9" x14ac:dyDescent="0.25">
      <c r="A1125" t="str">
        <f>"038665980"</f>
        <v>038665980</v>
      </c>
      <c r="B1125" t="str">
        <f t="shared" si="143"/>
        <v>060185201</v>
      </c>
      <c r="C1125" t="str">
        <f t="shared" si="144"/>
        <v>SOPHIA ANTIPOLIS-ANSES</v>
      </c>
      <c r="D1125" t="str">
        <f t="shared" si="145"/>
        <v>46.0007702</v>
      </c>
      <c r="E1125" t="str">
        <f t="shared" si="146"/>
        <v>6.2518531</v>
      </c>
      <c r="F1125" t="str">
        <f t="shared" si="147"/>
        <v>L'Apicoltore d'Italia  [Texte imprimé]</v>
      </c>
      <c r="G1125" t="str">
        <f t="shared" si="148"/>
        <v>L'Apicoltore d'Italia</v>
      </c>
      <c r="H1125" t="str">
        <f t="shared" si="149"/>
        <v>0003-6463</v>
      </c>
      <c r="I1125" t="str">
        <f t="shared" si="150"/>
        <v>(1949) - (1973)</v>
      </c>
    </row>
    <row r="1126" spans="1:9" x14ac:dyDescent="0.25">
      <c r="A1126" t="str">
        <f>"03727418X"</f>
        <v>03727418X</v>
      </c>
      <c r="B1126" t="str">
        <f t="shared" si="143"/>
        <v>991385201</v>
      </c>
      <c r="C1126" t="str">
        <f t="shared" si="144"/>
        <v>MONACO-Jardin exotique</v>
      </c>
      <c r="D1126" t="str">
        <f t="shared" si="145"/>
        <v>43.7310908</v>
      </c>
      <c r="E1126" t="str">
        <f t="shared" si="146"/>
        <v>7.410747499999999</v>
      </c>
      <c r="F1126" t="str">
        <f t="shared" si="147"/>
        <v>Succulent Plant Institute newsletter  [Texte imprimé]</v>
      </c>
      <c r="G1126" t="str">
        <f t="shared" si="148"/>
        <v>Succulent Plant Institute newsletter</v>
      </c>
      <c r="H1126" t="str">
        <f t="shared" si="149"/>
        <v>0308-7492</v>
      </c>
      <c r="I1126" t="str">
        <f t="shared" si="150"/>
        <v>no. 4 (1964) ; no. 7 (1965) - no. 44  (1977) [lac.10%]</v>
      </c>
    </row>
    <row r="1127" spans="1:9" x14ac:dyDescent="0.25">
      <c r="A1127" t="str">
        <f>"037970321"</f>
        <v>037970321</v>
      </c>
      <c r="B1127" t="str">
        <f t="shared" si="143"/>
        <v>991385301</v>
      </c>
      <c r="C1127" t="str">
        <f t="shared" si="144"/>
        <v>MONACO-Musée Océanographique</v>
      </c>
      <c r="D1127" t="str">
        <f t="shared" si="145"/>
        <v>43.7310033</v>
      </c>
      <c r="E1127" t="str">
        <f t="shared" si="146"/>
        <v>7.425491600000001</v>
      </c>
      <c r="F1127" t="str">
        <f t="shared" si="147"/>
        <v>Newsletter  [Texte imprimé]  / International Tsunami Information Center</v>
      </c>
      <c r="G1127" t="str">
        <f t="shared" si="148"/>
        <v>Newsletter</v>
      </c>
      <c r="H1127" t="str">
        <f t="shared" si="149"/>
        <v>1016-2755</v>
      </c>
      <c r="I1127" t="str">
        <f t="shared" si="150"/>
        <v>vol. 8 no. 4 (1975) - vol. 11  no. 1  (1978)</v>
      </c>
    </row>
    <row r="1128" spans="1:9" x14ac:dyDescent="0.25">
      <c r="A1128" t="str">
        <f>"039478602"</f>
        <v>039478602</v>
      </c>
      <c r="B1128" t="str">
        <f t="shared" si="143"/>
        <v>991385301</v>
      </c>
      <c r="C1128" t="str">
        <f t="shared" si="144"/>
        <v>MONACO-Musée Océanographique</v>
      </c>
      <c r="D1128" t="str">
        <f t="shared" si="145"/>
        <v>43.7310033</v>
      </c>
      <c r="E1128" t="str">
        <f t="shared" si="146"/>
        <v>7.425491600000001</v>
      </c>
      <c r="F1128" t="e">
        <f t="shared" si="147"/>
        <v>#VALUE!</v>
      </c>
      <c r="G1128" t="str">
        <f t="shared" si="148"/>
        <v>Studier ov͏̈er sydlan͏̈ens kustvatten</v>
      </c>
      <c r="H1128" t="str">
        <f t="shared" si="149"/>
        <v>0348-470X</v>
      </c>
      <c r="I1128" t="str">
        <f t="shared" si="150"/>
        <v>(1971)-....</v>
      </c>
    </row>
    <row r="1129" spans="1:9" x14ac:dyDescent="0.25">
      <c r="A1129" t="str">
        <f>"039574598"</f>
        <v>039574598</v>
      </c>
      <c r="B1129" t="str">
        <f t="shared" si="143"/>
        <v>991385301</v>
      </c>
      <c r="C1129" t="str">
        <f t="shared" si="144"/>
        <v>MONACO-Musée Océanographique</v>
      </c>
      <c r="D1129" t="str">
        <f t="shared" si="145"/>
        <v>43.7310033</v>
      </c>
      <c r="E1129" t="str">
        <f t="shared" si="146"/>
        <v>7.425491600000001</v>
      </c>
      <c r="F1129" t="str">
        <f t="shared" si="147"/>
        <v>Kaiyō Kagaku Gijutsu Sentā shiken kenkyū hōkoku  [Texte imprimé]</v>
      </c>
      <c r="G1129" t="str">
        <f t="shared" si="148"/>
        <v>Kaiyō Kagaku Gijutsu Sentā shiken kenkyū hōkoku</v>
      </c>
      <c r="H1129" t="str">
        <f t="shared" si="149"/>
        <v>0387-382X</v>
      </c>
      <c r="I1129" t="str">
        <f t="shared" si="150"/>
        <v>no. 2 (1978)-....</v>
      </c>
    </row>
    <row r="1130" spans="1:9" x14ac:dyDescent="0.25">
      <c r="A1130" t="str">
        <f>"036935336"</f>
        <v>036935336</v>
      </c>
      <c r="B1130" t="str">
        <f t="shared" si="143"/>
        <v>991385301</v>
      </c>
      <c r="C1130" t="str">
        <f t="shared" si="144"/>
        <v>MONACO-Musée Océanographique</v>
      </c>
      <c r="D1130" t="str">
        <f t="shared" si="145"/>
        <v>43.7310033</v>
      </c>
      <c r="E1130" t="str">
        <f t="shared" si="146"/>
        <v>7.425491600000001</v>
      </c>
      <c r="F1130" t="e">
        <f t="shared" si="147"/>
        <v>#VALUE!</v>
      </c>
      <c r="G1130" t="str">
        <f t="shared" si="148"/>
        <v>Professional papers series</v>
      </c>
      <c r="H1130" t="str">
        <f t="shared" si="149"/>
        <v>0160-4465</v>
      </c>
      <c r="I1130" t="str">
        <f t="shared" si="150"/>
        <v>(1969) - (1973)</v>
      </c>
    </row>
    <row r="1131" spans="1:9" x14ac:dyDescent="0.25">
      <c r="A1131" t="str">
        <f>"039786846"</f>
        <v>039786846</v>
      </c>
      <c r="B1131" t="str">
        <f t="shared" si="143"/>
        <v>991385301</v>
      </c>
      <c r="C1131" t="str">
        <f t="shared" si="144"/>
        <v>MONACO-Musée Océanographique</v>
      </c>
      <c r="D1131" t="str">
        <f t="shared" si="145"/>
        <v>43.7310033</v>
      </c>
      <c r="E1131" t="str">
        <f t="shared" si="146"/>
        <v>7.425491600000001</v>
      </c>
      <c r="F1131" t="str">
        <f t="shared" si="147"/>
        <v>Reef current awareness bulletin.  [Texte imprimé]</v>
      </c>
      <c r="G1131" t="str">
        <f t="shared" si="148"/>
        <v>Reef current awareness bulletin.</v>
      </c>
      <c r="H1131" t="str">
        <f t="shared" si="149"/>
        <v>0810-8080</v>
      </c>
      <c r="I1131" t="str">
        <f t="shared" si="150"/>
        <v>(avr-1984)-....</v>
      </c>
    </row>
    <row r="1132" spans="1:9" x14ac:dyDescent="0.25">
      <c r="A1132" t="str">
        <f>"075839490"</f>
        <v>075839490</v>
      </c>
      <c r="B1132" t="str">
        <f t="shared" si="143"/>
        <v>060185201</v>
      </c>
      <c r="C1132" t="str">
        <f t="shared" si="144"/>
        <v>SOPHIA ANTIPOLIS-ANSES</v>
      </c>
      <c r="D1132" t="str">
        <f t="shared" si="145"/>
        <v>46.0007702</v>
      </c>
      <c r="E1132" t="str">
        <f t="shared" si="146"/>
        <v>6.2518531</v>
      </c>
      <c r="F1132" t="str">
        <f t="shared" si="147"/>
        <v>Bees for Development Journal  [Texte imprimé]</v>
      </c>
      <c r="G1132" t="str">
        <f t="shared" si="148"/>
        <v>Bees for Development Journal</v>
      </c>
      <c r="H1132" t="str">
        <f t="shared" si="149"/>
        <v>1477-6588</v>
      </c>
      <c r="I1132" t="str">
        <f t="shared" si="150"/>
        <v>(2003)-....</v>
      </c>
    </row>
    <row r="1133" spans="1:9" x14ac:dyDescent="0.25">
      <c r="A1133" t="str">
        <f>"037571761"</f>
        <v>037571761</v>
      </c>
      <c r="B1133" t="str">
        <f t="shared" si="143"/>
        <v>831375101</v>
      </c>
      <c r="C1133" t="str">
        <f t="shared" si="144"/>
        <v>TOULON-Serv.Historique Marine</v>
      </c>
      <c r="D1133" t="str">
        <f t="shared" si="145"/>
        <v>43.124228</v>
      </c>
      <c r="E1133" t="str">
        <f t="shared" si="146"/>
        <v>5.928</v>
      </c>
      <c r="F1133" t="str">
        <f t="shared" si="147"/>
        <v>Approach  [Texte imprimé]</v>
      </c>
      <c r="G1133" t="str">
        <f t="shared" si="148"/>
        <v>Approach</v>
      </c>
      <c r="H1133" t="str">
        <f t="shared" si="149"/>
        <v>0570-4979</v>
      </c>
      <c r="I1133" t="str">
        <f t="shared" si="150"/>
        <v>no. 7 (1981) - no. 6  (1985) [lac.]</v>
      </c>
    </row>
    <row r="1134" spans="1:9" x14ac:dyDescent="0.25">
      <c r="A1134" t="str">
        <f>"038041359"</f>
        <v>038041359</v>
      </c>
      <c r="B1134" t="str">
        <f t="shared" si="143"/>
        <v>991385301</v>
      </c>
      <c r="C1134" t="str">
        <f t="shared" si="144"/>
        <v>MONACO-Musée Océanographique</v>
      </c>
      <c r="D1134" t="str">
        <f t="shared" si="145"/>
        <v>43.7310033</v>
      </c>
      <c r="E1134" t="str">
        <f t="shared" si="146"/>
        <v>7.425491600000001</v>
      </c>
      <c r="F1134" t="str">
        <f t="shared" si="147"/>
        <v>Reports on research  [Texte imprimé]  / Woods Hole Oceanographic Institution</v>
      </c>
      <c r="G1134" t="str">
        <f t="shared" si="148"/>
        <v>Reports on research</v>
      </c>
      <c r="H1134" t="str">
        <f t="shared" si="149"/>
        <v>1062-2160</v>
      </c>
      <c r="I1134" t="str">
        <f t="shared" si="150"/>
        <v>vol. 1 no. 1 (1991)-....</v>
      </c>
    </row>
    <row r="1135" spans="1:9" x14ac:dyDescent="0.25">
      <c r="A1135" t="str">
        <f>"036942332"</f>
        <v>036942332</v>
      </c>
      <c r="B1135" t="str">
        <f t="shared" si="143"/>
        <v>060882305</v>
      </c>
      <c r="C1135" t="str">
        <f t="shared" si="144"/>
        <v>NICE-Institut européen</v>
      </c>
      <c r="D1135" t="str">
        <f t="shared" si="145"/>
        <v>43.697776</v>
      </c>
      <c r="E1135" t="str">
        <f t="shared" si="146"/>
        <v>7.254210999999999</v>
      </c>
      <c r="F1135" t="e">
        <f t="shared" si="147"/>
        <v>#VALUE!</v>
      </c>
      <c r="G1135" t="str">
        <f t="shared" si="148"/>
        <v>TKI working papers on European integration and regime formation</v>
      </c>
      <c r="H1135" t="str">
        <f t="shared" si="149"/>
        <v>1396-7118</v>
      </c>
      <c r="I1135" t="str">
        <f t="shared" si="150"/>
        <v>no. 3 (1997) - no. 43  (1998)</v>
      </c>
    </row>
    <row r="1136" spans="1:9" x14ac:dyDescent="0.25">
      <c r="A1136" t="str">
        <f>"040156818"</f>
        <v>040156818</v>
      </c>
      <c r="B1136" t="str">
        <f t="shared" si="143"/>
        <v>061522306</v>
      </c>
      <c r="C1136" t="str">
        <f t="shared" si="144"/>
        <v>VALBONNE-Inst.Pharmacol.Mol.</v>
      </c>
      <c r="D1136" t="e">
        <f t="shared" si="145"/>
        <v>#VALUE!</v>
      </c>
      <c r="E1136" t="e">
        <f t="shared" si="146"/>
        <v>#VALUE!</v>
      </c>
      <c r="F1136" t="str">
        <f t="shared" si="147"/>
        <v>Cardioscience  [Texte imprimé]</v>
      </c>
      <c r="G1136" t="str">
        <f t="shared" si="148"/>
        <v>Cardioscience</v>
      </c>
      <c r="H1136" t="str">
        <f t="shared" si="149"/>
        <v>1015-5007</v>
      </c>
      <c r="I1136" t="str">
        <f t="shared" si="150"/>
        <v>vol. 1 no. 2 (1990) - vol. 6  no. 2  (1995)</v>
      </c>
    </row>
    <row r="1137" spans="1:9" x14ac:dyDescent="0.25">
      <c r="A1137" t="str">
        <f>"036783250"</f>
        <v>036783250</v>
      </c>
      <c r="B1137" t="str">
        <f t="shared" si="143"/>
        <v>991386201</v>
      </c>
      <c r="C1137" t="str">
        <f t="shared" si="144"/>
        <v>MONACO-Bibl.Louis Notari</v>
      </c>
      <c r="D1137" t="str">
        <f t="shared" si="145"/>
        <v>43.7351319</v>
      </c>
      <c r="E1137" t="str">
        <f t="shared" si="146"/>
        <v>7.420563100000001</v>
      </c>
      <c r="F1137" t="str">
        <f t="shared" si="147"/>
        <v>M.H.Monuments historiques  [Texte imprimé]  / Caisse nationale des monuments historiques et des sites</v>
      </c>
      <c r="G1137" t="str">
        <f t="shared" si="148"/>
        <v>M.H.Monuments historiques</v>
      </c>
      <c r="H1137" t="e">
        <f t="shared" si="149"/>
        <v>#VALUE!</v>
      </c>
      <c r="I1137" t="str">
        <f t="shared" si="150"/>
        <v>no. 107 (1980) - no. 112  (1980)</v>
      </c>
    </row>
    <row r="1138" spans="1:9" x14ac:dyDescent="0.25">
      <c r="A1138" t="str">
        <f>"037277596"</f>
        <v>037277596</v>
      </c>
      <c r="B1138" t="str">
        <f t="shared" si="143"/>
        <v>061525404</v>
      </c>
      <c r="C1138" t="str">
        <f t="shared" si="144"/>
        <v>SOPHIA/ANT.-Thales Und. Systems</v>
      </c>
      <c r="D1138" t="e">
        <f t="shared" si="145"/>
        <v>#VALUE!</v>
      </c>
      <c r="E1138" t="e">
        <f t="shared" si="146"/>
        <v>#VALUE!</v>
      </c>
      <c r="F1138" t="str">
        <f t="shared" si="147"/>
        <v>Pacific defence reporter  [Texte imprimé]</v>
      </c>
      <c r="G1138" t="str">
        <f t="shared" si="148"/>
        <v>Pacific defence reporter</v>
      </c>
      <c r="H1138" t="str">
        <f t="shared" si="149"/>
        <v>0311-385X</v>
      </c>
      <c r="I1138" t="str">
        <f t="shared" si="150"/>
        <v>(1990)-....</v>
      </c>
    </row>
    <row r="1139" spans="1:9" x14ac:dyDescent="0.25">
      <c r="A1139" t="str">
        <f>"037444050"</f>
        <v>037444050</v>
      </c>
      <c r="B1139" t="str">
        <f t="shared" si="143"/>
        <v>991385301</v>
      </c>
      <c r="C1139" t="str">
        <f t="shared" si="144"/>
        <v>MONACO-Musée Océanographique</v>
      </c>
      <c r="D1139" t="str">
        <f t="shared" si="145"/>
        <v>43.7310033</v>
      </c>
      <c r="E1139" t="str">
        <f t="shared" si="146"/>
        <v>7.425491600000001</v>
      </c>
      <c r="F1139" t="str">
        <f t="shared" si="147"/>
        <v>Bulletin  [Texte imprimé]  / South African National Committee for Oceanographic Research, Marine Geology Programme</v>
      </c>
      <c r="G1139" t="str">
        <f t="shared" si="148"/>
        <v>Bulletin</v>
      </c>
      <c r="H1139" t="str">
        <f t="shared" si="149"/>
        <v>0375-7692</v>
      </c>
      <c r="I1139" t="str">
        <f t="shared" si="150"/>
        <v>(1971)-....</v>
      </c>
    </row>
    <row r="1140" spans="1:9" x14ac:dyDescent="0.25">
      <c r="A1140" t="str">
        <f>"038767449"</f>
        <v>038767449</v>
      </c>
      <c r="B1140" t="str">
        <f t="shared" si="143"/>
        <v>060885101</v>
      </c>
      <c r="C1140" t="str">
        <f t="shared" si="144"/>
        <v>NICE-Archives Municipales</v>
      </c>
      <c r="D1140" t="str">
        <f t="shared" si="145"/>
        <v>43.68774699999999</v>
      </c>
      <c r="E1140" t="str">
        <f t="shared" si="146"/>
        <v>7.235200000000001</v>
      </c>
      <c r="F1140" t="str">
        <f t="shared" si="147"/>
        <v>Lou Timbalié nissart  [Texte imprimé]</v>
      </c>
      <c r="G1140" t="str">
        <f t="shared" si="148"/>
        <v>Lou Timbalié nissart</v>
      </c>
      <c r="H1140" t="str">
        <f t="shared" si="149"/>
        <v>1247-6382</v>
      </c>
      <c r="I1140" t="str">
        <f t="shared" si="150"/>
        <v>vol. 1 no. 1 (1880)</v>
      </c>
    </row>
    <row r="1141" spans="1:9" x14ac:dyDescent="0.25">
      <c r="A1141" t="str">
        <f>"124278612"</f>
        <v>124278612</v>
      </c>
      <c r="B1141" t="str">
        <f t="shared" si="143"/>
        <v>060885105</v>
      </c>
      <c r="C1141" t="str">
        <f t="shared" si="144"/>
        <v>NICE-Bibl.Chevalier de Cessole</v>
      </c>
      <c r="D1141" t="str">
        <f t="shared" si="145"/>
        <v>43.6956246</v>
      </c>
      <c r="E1141" t="str">
        <f t="shared" si="146"/>
        <v>7.259380900000001</v>
      </c>
      <c r="F1141" t="str">
        <f t="shared" si="147"/>
        <v>Le Niçois  [Texte imprimé]</v>
      </c>
      <c r="G1141" t="str">
        <f t="shared" si="148"/>
        <v>Le Niçois</v>
      </c>
      <c r="H1141" t="str">
        <f t="shared" si="149"/>
        <v>1963-8817</v>
      </c>
      <c r="I1141" t="str">
        <f t="shared" si="150"/>
        <v>no. 1 (19-fev-1871) - no. 11  (3-mar-1871) [lacunes]</v>
      </c>
    </row>
    <row r="1142" spans="1:9" x14ac:dyDescent="0.25">
      <c r="A1142" t="str">
        <f>"013538039"</f>
        <v>013538039</v>
      </c>
      <c r="B1142" t="str">
        <f t="shared" si="143"/>
        <v>060692301</v>
      </c>
      <c r="C1142" t="str">
        <f t="shared" si="144"/>
        <v>GRASSE-Musée Art/Hist Provence</v>
      </c>
      <c r="D1142" t="str">
        <f t="shared" si="145"/>
        <v>43.65761759999999</v>
      </c>
      <c r="E1142" t="str">
        <f t="shared" si="146"/>
        <v>6.9224541</v>
      </c>
      <c r="F1142" t="str">
        <f t="shared" si="147"/>
        <v>La Longue-vue  [Texte imprimé]</v>
      </c>
      <c r="G1142" t="str">
        <f t="shared" si="148"/>
        <v>La Longue-vue</v>
      </c>
      <c r="H1142" t="str">
        <f t="shared" si="149"/>
        <v>1255-2526</v>
      </c>
      <c r="I1142" t="str">
        <f t="shared" si="150"/>
        <v>no. 1 (1977) - no. 60  (1983)</v>
      </c>
    </row>
    <row r="1143" spans="1:9" x14ac:dyDescent="0.25">
      <c r="A1143" t="str">
        <f>"039034569"</f>
        <v>039034569</v>
      </c>
      <c r="B1143" t="str">
        <f t="shared" si="143"/>
        <v>831376201</v>
      </c>
      <c r="C1143" t="str">
        <f t="shared" si="144"/>
        <v>TOULON-BM</v>
      </c>
      <c r="D1143" t="str">
        <f t="shared" si="145"/>
        <v>43.0823215</v>
      </c>
      <c r="E1143" t="str">
        <f t="shared" si="146"/>
        <v>5.920052699999999</v>
      </c>
      <c r="F1143" t="str">
        <f t="shared" si="147"/>
        <v>Gazette judiciaire commerciale-industrielle de Toulon et du Var  [Texte imprimé]</v>
      </c>
      <c r="G1143" t="str">
        <f t="shared" si="148"/>
        <v>Gazette judiciaire commerciale-industrielle de Toulon et du Var</v>
      </c>
      <c r="H1143" t="str">
        <f t="shared" si="149"/>
        <v>2017-0106</v>
      </c>
      <c r="I1143" t="str">
        <f t="shared" si="150"/>
        <v>no. 1 (1928) ; no. 26 (1928) ; no. 31 (1928) ; no. 480 (1937)</v>
      </c>
    </row>
    <row r="1144" spans="1:9" x14ac:dyDescent="0.25">
      <c r="A1144" t="str">
        <f>"039354237"</f>
        <v>039354237</v>
      </c>
      <c r="B1144" t="str">
        <f t="shared" si="143"/>
        <v>991385301</v>
      </c>
      <c r="C1144" t="str">
        <f t="shared" si="144"/>
        <v>MONACO-Musée Océanographique</v>
      </c>
      <c r="D1144" t="str">
        <f t="shared" si="145"/>
        <v>43.7310033</v>
      </c>
      <c r="E1144" t="str">
        <f t="shared" si="146"/>
        <v>7.425491600000001</v>
      </c>
      <c r="F1144" t="str">
        <f t="shared" si="147"/>
        <v>Dōbutsu to dōbutsuen  [Texte imprimé]</v>
      </c>
      <c r="G1144" t="str">
        <f t="shared" si="148"/>
        <v>Dōbutsu to dōbutsuen</v>
      </c>
      <c r="H1144" t="str">
        <f t="shared" si="149"/>
        <v>0288-4887</v>
      </c>
      <c r="I1144" t="str">
        <f t="shared" si="150"/>
        <v>vol. 44 no. 1 (1992)-....</v>
      </c>
    </row>
    <row r="1145" spans="1:9" x14ac:dyDescent="0.25">
      <c r="A1145" t="str">
        <f>"040096386"</f>
        <v>040096386</v>
      </c>
      <c r="B1145" t="str">
        <f t="shared" si="143"/>
        <v>991385201</v>
      </c>
      <c r="C1145" t="str">
        <f t="shared" si="144"/>
        <v>MONACO-Jardin exotique</v>
      </c>
      <c r="D1145" t="str">
        <f t="shared" si="145"/>
        <v>43.7310908</v>
      </c>
      <c r="E1145" t="str">
        <f t="shared" si="146"/>
        <v>7.410747499999999</v>
      </c>
      <c r="F1145" t="str">
        <f t="shared" si="147"/>
        <v>The Cactus file  [Texte imprimé]</v>
      </c>
      <c r="G1145" t="str">
        <f t="shared" si="148"/>
        <v>The Cactus file</v>
      </c>
      <c r="H1145" t="str">
        <f t="shared" si="149"/>
        <v>0962-0303</v>
      </c>
      <c r="I1145" t="str">
        <f t="shared" si="150"/>
        <v>vol. 1 no. 1 (1991) - vol. 2  no. 12  (1997)</v>
      </c>
    </row>
    <row r="1146" spans="1:9" x14ac:dyDescent="0.25">
      <c r="A1146" t="str">
        <f>"124278698"</f>
        <v>124278698</v>
      </c>
      <c r="B1146" t="str">
        <f t="shared" si="143"/>
        <v>060885105</v>
      </c>
      <c r="C1146" t="str">
        <f t="shared" si="144"/>
        <v>NICE-Bibl.Chevalier de Cessole</v>
      </c>
      <c r="D1146" t="str">
        <f t="shared" si="145"/>
        <v>43.6956246</v>
      </c>
      <c r="E1146" t="str">
        <f t="shared" si="146"/>
        <v>7.259380900000001</v>
      </c>
      <c r="F1146" t="str">
        <f t="shared" si="147"/>
        <v>Le Rapide  [Texte imprimé]</v>
      </c>
      <c r="G1146" t="str">
        <f t="shared" si="148"/>
        <v>Le Rapide</v>
      </c>
      <c r="H1146" t="str">
        <f t="shared" si="149"/>
        <v>1963-8884</v>
      </c>
      <c r="I1146" t="str">
        <f t="shared" si="150"/>
        <v>no. 1 (25-jul-1886)</v>
      </c>
    </row>
    <row r="1147" spans="1:9" x14ac:dyDescent="0.25">
      <c r="A1147" t="str">
        <f>"037952781"</f>
        <v>037952781</v>
      </c>
      <c r="B1147" t="str">
        <f t="shared" si="143"/>
        <v>991386201</v>
      </c>
      <c r="C1147" t="str">
        <f t="shared" si="144"/>
        <v>MONACO-Bibl.Louis Notari</v>
      </c>
      <c r="D1147" t="str">
        <f t="shared" si="145"/>
        <v>43.7351319</v>
      </c>
      <c r="E1147" t="str">
        <f t="shared" si="146"/>
        <v>7.420563100000001</v>
      </c>
      <c r="F1147" t="str">
        <f t="shared" si="147"/>
        <v>Monte-Carlo ... Tout va ...  [Texte imprimé]</v>
      </c>
      <c r="G1147" t="str">
        <f t="shared" si="148"/>
        <v>Monte-Carlo ... Tout va ...</v>
      </c>
      <c r="H1147" t="str">
        <f t="shared" si="149"/>
        <v>1011-744X</v>
      </c>
      <c r="I1147" t="str">
        <f t="shared" si="150"/>
        <v>(oct-1925) - (dec-1926)</v>
      </c>
    </row>
    <row r="1148" spans="1:9" x14ac:dyDescent="0.25">
      <c r="A1148" t="str">
        <f>"039035522"</f>
        <v>039035522</v>
      </c>
      <c r="B1148" t="str">
        <f t="shared" si="143"/>
        <v>831376201</v>
      </c>
      <c r="C1148" t="str">
        <f t="shared" si="144"/>
        <v>TOULON-BM</v>
      </c>
      <c r="D1148" t="str">
        <f t="shared" si="145"/>
        <v>43.0823215</v>
      </c>
      <c r="E1148" t="str">
        <f t="shared" si="146"/>
        <v>5.920052699999999</v>
      </c>
      <c r="F1148" t="str">
        <f t="shared" si="147"/>
        <v>Le Patriote de l'Ardèche  [Texte imprimé]</v>
      </c>
      <c r="G1148" t="str">
        <f t="shared" si="148"/>
        <v>Le Patriote de l'Ardèche</v>
      </c>
      <c r="H1148" t="str">
        <f t="shared" si="149"/>
        <v>2017-8662</v>
      </c>
      <c r="I1148" t="str">
        <f t="shared" si="150"/>
        <v>(14-avr-1883)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48"/>
  <sheetViews>
    <sheetView tabSelected="1" workbookViewId="0">
      <selection activeCell="M12" sqref="M1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</row>
    <row r="2" spans="1:6" x14ac:dyDescent="0.25">
      <c r="A2" t="s">
        <v>9</v>
      </c>
      <c r="B2" t="s">
        <v>10</v>
      </c>
      <c r="C2" t="s">
        <v>11</v>
      </c>
      <c r="D2" t="e">
        <v>#VALUE!</v>
      </c>
      <c r="E2" t="e">
        <v>#VALUE!</v>
      </c>
      <c r="F2" t="s">
        <v>12</v>
      </c>
    </row>
    <row r="3" spans="1:6" x14ac:dyDescent="0.25">
      <c r="A3" t="s">
        <v>13</v>
      </c>
      <c r="B3" t="s">
        <v>14</v>
      </c>
      <c r="C3" t="s">
        <v>15</v>
      </c>
      <c r="D3" t="s">
        <v>16</v>
      </c>
      <c r="E3" t="s">
        <v>17</v>
      </c>
      <c r="F3" t="s">
        <v>18</v>
      </c>
    </row>
    <row r="4" spans="1:6" x14ac:dyDescent="0.25">
      <c r="A4" t="s">
        <v>19</v>
      </c>
      <c r="B4" t="s">
        <v>20</v>
      </c>
      <c r="C4" t="s">
        <v>21</v>
      </c>
      <c r="D4" t="s">
        <v>22</v>
      </c>
      <c r="E4" t="s">
        <v>23</v>
      </c>
      <c r="F4" t="e">
        <v>#VALUE!</v>
      </c>
    </row>
    <row r="5" spans="1:6" x14ac:dyDescent="0.25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</row>
    <row r="6" spans="1:6" x14ac:dyDescent="0.25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s">
        <v>35</v>
      </c>
    </row>
    <row r="7" spans="1:6" x14ac:dyDescent="0.25">
      <c r="A7" t="s">
        <v>36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</row>
    <row r="8" spans="1:6" x14ac:dyDescent="0.25">
      <c r="A8" t="s">
        <v>42</v>
      </c>
      <c r="B8" t="s">
        <v>20</v>
      </c>
      <c r="C8" t="s">
        <v>21</v>
      </c>
      <c r="D8" t="s">
        <v>22</v>
      </c>
      <c r="E8" t="s">
        <v>23</v>
      </c>
      <c r="F8" t="s">
        <v>43</v>
      </c>
    </row>
    <row r="9" spans="1:6" x14ac:dyDescent="0.25">
      <c r="A9" t="s">
        <v>44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</row>
    <row r="10" spans="1:6" x14ac:dyDescent="0.25">
      <c r="A10" t="s">
        <v>50</v>
      </c>
      <c r="B10" t="s">
        <v>20</v>
      </c>
      <c r="C10" t="s">
        <v>21</v>
      </c>
      <c r="D10" t="s">
        <v>22</v>
      </c>
      <c r="E10" t="s">
        <v>23</v>
      </c>
      <c r="F10" t="s">
        <v>51</v>
      </c>
    </row>
    <row r="11" spans="1:6" x14ac:dyDescent="0.25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57</v>
      </c>
    </row>
    <row r="12" spans="1:6" x14ac:dyDescent="0.25">
      <c r="A12" t="s">
        <v>58</v>
      </c>
      <c r="B12" t="s">
        <v>53</v>
      </c>
      <c r="C12" t="s">
        <v>54</v>
      </c>
      <c r="D12" t="s">
        <v>55</v>
      </c>
      <c r="E12" t="s">
        <v>56</v>
      </c>
      <c r="F12" t="s">
        <v>59</v>
      </c>
    </row>
    <row r="13" spans="1:6" x14ac:dyDescent="0.25">
      <c r="A13" t="s">
        <v>60</v>
      </c>
      <c r="B13" t="s">
        <v>53</v>
      </c>
      <c r="C13" t="s">
        <v>54</v>
      </c>
      <c r="D13" t="s">
        <v>55</v>
      </c>
      <c r="E13" t="s">
        <v>56</v>
      </c>
      <c r="F13" t="s">
        <v>61</v>
      </c>
    </row>
    <row r="14" spans="1:6" x14ac:dyDescent="0.25">
      <c r="A14" t="s">
        <v>62</v>
      </c>
      <c r="B14" t="s">
        <v>53</v>
      </c>
      <c r="C14" t="s">
        <v>54</v>
      </c>
      <c r="D14" t="s">
        <v>55</v>
      </c>
      <c r="E14" t="s">
        <v>56</v>
      </c>
      <c r="F14" t="s">
        <v>63</v>
      </c>
    </row>
    <row r="15" spans="1:6" x14ac:dyDescent="0.25">
      <c r="A15" t="s">
        <v>64</v>
      </c>
      <c r="B15" t="s">
        <v>65</v>
      </c>
      <c r="C15" t="s">
        <v>66</v>
      </c>
      <c r="D15" t="s">
        <v>67</v>
      </c>
      <c r="E15" t="s">
        <v>68</v>
      </c>
      <c r="F15" t="s">
        <v>69</v>
      </c>
    </row>
    <row r="16" spans="1:6" x14ac:dyDescent="0.25">
      <c r="A16" t="s">
        <v>70</v>
      </c>
      <c r="B16" t="s">
        <v>71</v>
      </c>
      <c r="C16" t="s">
        <v>72</v>
      </c>
      <c r="D16" t="s">
        <v>73</v>
      </c>
      <c r="E16" t="s">
        <v>74</v>
      </c>
      <c r="F16" t="s">
        <v>75</v>
      </c>
    </row>
    <row r="17" spans="1:6" x14ac:dyDescent="0.25">
      <c r="A17" t="s">
        <v>76</v>
      </c>
      <c r="B17" t="s">
        <v>53</v>
      </c>
      <c r="C17" t="s">
        <v>54</v>
      </c>
      <c r="D17" t="s">
        <v>55</v>
      </c>
      <c r="E17" t="s">
        <v>56</v>
      </c>
      <c r="F17" t="s">
        <v>77</v>
      </c>
    </row>
    <row r="18" spans="1:6" x14ac:dyDescent="0.25">
      <c r="A18" t="s">
        <v>78</v>
      </c>
      <c r="B18" t="s">
        <v>53</v>
      </c>
      <c r="C18" t="s">
        <v>54</v>
      </c>
      <c r="D18" t="s">
        <v>55</v>
      </c>
      <c r="E18" t="s">
        <v>56</v>
      </c>
      <c r="F18" t="s">
        <v>79</v>
      </c>
    </row>
    <row r="19" spans="1:6" x14ac:dyDescent="0.25">
      <c r="A19" t="s">
        <v>80</v>
      </c>
      <c r="B19" t="s">
        <v>81</v>
      </c>
      <c r="C19" t="s">
        <v>82</v>
      </c>
      <c r="D19" t="s">
        <v>83</v>
      </c>
      <c r="E19" t="s">
        <v>84</v>
      </c>
      <c r="F19" t="s">
        <v>85</v>
      </c>
    </row>
    <row r="20" spans="1:6" x14ac:dyDescent="0.25">
      <c r="A20" t="s">
        <v>86</v>
      </c>
      <c r="B20" t="s">
        <v>53</v>
      </c>
      <c r="C20" t="s">
        <v>54</v>
      </c>
      <c r="D20" t="s">
        <v>55</v>
      </c>
      <c r="E20" t="s">
        <v>56</v>
      </c>
      <c r="F20" t="s">
        <v>87</v>
      </c>
    </row>
    <row r="21" spans="1:6" x14ac:dyDescent="0.25">
      <c r="A21" t="s">
        <v>88</v>
      </c>
      <c r="B21" t="s">
        <v>53</v>
      </c>
      <c r="C21" t="s">
        <v>54</v>
      </c>
      <c r="D21" t="s">
        <v>55</v>
      </c>
      <c r="E21" t="s">
        <v>56</v>
      </c>
      <c r="F21" t="s">
        <v>89</v>
      </c>
    </row>
    <row r="22" spans="1:6" x14ac:dyDescent="0.25">
      <c r="A22" t="s">
        <v>90</v>
      </c>
      <c r="B22" t="s">
        <v>53</v>
      </c>
      <c r="C22" t="s">
        <v>54</v>
      </c>
      <c r="D22" t="s">
        <v>55</v>
      </c>
      <c r="E22" t="s">
        <v>56</v>
      </c>
      <c r="F22" t="s">
        <v>91</v>
      </c>
    </row>
    <row r="23" spans="1:6" x14ac:dyDescent="0.25">
      <c r="A23" t="s">
        <v>92</v>
      </c>
      <c r="B23" t="s">
        <v>93</v>
      </c>
      <c r="C23" t="s">
        <v>94</v>
      </c>
      <c r="D23" t="s">
        <v>95</v>
      </c>
      <c r="E23" t="s">
        <v>96</v>
      </c>
      <c r="F23" t="s">
        <v>97</v>
      </c>
    </row>
    <row r="24" spans="1:6" x14ac:dyDescent="0.25">
      <c r="A24" t="s">
        <v>98</v>
      </c>
      <c r="B24" t="s">
        <v>65</v>
      </c>
      <c r="C24" t="s">
        <v>66</v>
      </c>
      <c r="D24" t="s">
        <v>67</v>
      </c>
      <c r="E24" t="s">
        <v>68</v>
      </c>
      <c r="F24" t="s">
        <v>99</v>
      </c>
    </row>
    <row r="25" spans="1:6" x14ac:dyDescent="0.25">
      <c r="A25" t="s">
        <v>100</v>
      </c>
      <c r="B25" t="s">
        <v>93</v>
      </c>
      <c r="C25" t="s">
        <v>94</v>
      </c>
      <c r="D25" t="s">
        <v>95</v>
      </c>
      <c r="E25" t="s">
        <v>96</v>
      </c>
      <c r="F25" t="s">
        <v>101</v>
      </c>
    </row>
    <row r="26" spans="1:6" x14ac:dyDescent="0.25">
      <c r="A26" t="s">
        <v>102</v>
      </c>
      <c r="B26" t="s">
        <v>93</v>
      </c>
      <c r="C26" t="s">
        <v>94</v>
      </c>
      <c r="D26" t="s">
        <v>95</v>
      </c>
      <c r="E26" t="s">
        <v>96</v>
      </c>
      <c r="F26" t="s">
        <v>103</v>
      </c>
    </row>
    <row r="27" spans="1:6" x14ac:dyDescent="0.25">
      <c r="A27" t="s">
        <v>104</v>
      </c>
      <c r="B27" t="s">
        <v>45</v>
      </c>
      <c r="C27" t="s">
        <v>46</v>
      </c>
      <c r="D27" t="s">
        <v>47</v>
      </c>
      <c r="E27" t="s">
        <v>48</v>
      </c>
      <c r="F27" t="s">
        <v>105</v>
      </c>
    </row>
    <row r="28" spans="1:6" x14ac:dyDescent="0.25">
      <c r="A28" t="s">
        <v>106</v>
      </c>
      <c r="B28" t="s">
        <v>107</v>
      </c>
      <c r="C28" t="s">
        <v>108</v>
      </c>
      <c r="D28" t="s">
        <v>109</v>
      </c>
      <c r="E28" t="s">
        <v>110</v>
      </c>
      <c r="F28" t="s">
        <v>111</v>
      </c>
    </row>
    <row r="29" spans="1:6" x14ac:dyDescent="0.25">
      <c r="A29" t="s">
        <v>112</v>
      </c>
      <c r="B29" t="s">
        <v>65</v>
      </c>
      <c r="C29" t="s">
        <v>66</v>
      </c>
      <c r="D29" t="s">
        <v>67</v>
      </c>
      <c r="E29" t="s">
        <v>68</v>
      </c>
      <c r="F29" t="s">
        <v>113</v>
      </c>
    </row>
    <row r="30" spans="1:6" x14ac:dyDescent="0.25">
      <c r="A30" t="s">
        <v>114</v>
      </c>
      <c r="B30" t="s">
        <v>10</v>
      </c>
      <c r="C30" t="s">
        <v>11</v>
      </c>
      <c r="D30" t="e">
        <v>#VALUE!</v>
      </c>
      <c r="E30" t="e">
        <v>#VALUE!</v>
      </c>
      <c r="F30" t="s">
        <v>115</v>
      </c>
    </row>
    <row r="31" spans="1:6" x14ac:dyDescent="0.25">
      <c r="A31" t="s">
        <v>116</v>
      </c>
      <c r="B31" t="s">
        <v>65</v>
      </c>
      <c r="C31" t="s">
        <v>66</v>
      </c>
      <c r="D31" t="s">
        <v>67</v>
      </c>
      <c r="E31" t="s">
        <v>68</v>
      </c>
      <c r="F31" t="s">
        <v>117</v>
      </c>
    </row>
    <row r="32" spans="1:6" x14ac:dyDescent="0.25">
      <c r="A32" t="s">
        <v>118</v>
      </c>
      <c r="B32" t="s">
        <v>93</v>
      </c>
      <c r="C32" t="s">
        <v>94</v>
      </c>
      <c r="D32" t="s">
        <v>95</v>
      </c>
      <c r="E32" t="s">
        <v>96</v>
      </c>
      <c r="F32" t="s">
        <v>119</v>
      </c>
    </row>
    <row r="33" spans="1:6" x14ac:dyDescent="0.25">
      <c r="A33" t="s">
        <v>120</v>
      </c>
      <c r="B33" t="s">
        <v>121</v>
      </c>
      <c r="C33" t="s">
        <v>122</v>
      </c>
      <c r="D33" t="s">
        <v>123</v>
      </c>
      <c r="E33" t="s">
        <v>124</v>
      </c>
      <c r="F33" t="e">
        <v>#VALUE!</v>
      </c>
    </row>
    <row r="34" spans="1:6" x14ac:dyDescent="0.25">
      <c r="A34" t="s">
        <v>125</v>
      </c>
      <c r="B34" t="s">
        <v>10</v>
      </c>
      <c r="C34" t="s">
        <v>11</v>
      </c>
      <c r="D34" t="e">
        <v>#VALUE!</v>
      </c>
      <c r="E34" t="e">
        <v>#VALUE!</v>
      </c>
      <c r="F34" t="s">
        <v>126</v>
      </c>
    </row>
    <row r="35" spans="1:6" x14ac:dyDescent="0.25">
      <c r="A35" t="s">
        <v>127</v>
      </c>
      <c r="B35" t="s">
        <v>128</v>
      </c>
      <c r="C35" t="s">
        <v>129</v>
      </c>
      <c r="D35" t="s">
        <v>130</v>
      </c>
      <c r="E35" t="s">
        <v>131</v>
      </c>
      <c r="F35" t="s">
        <v>132</v>
      </c>
    </row>
    <row r="36" spans="1:6" x14ac:dyDescent="0.25">
      <c r="A36" t="s">
        <v>133</v>
      </c>
      <c r="B36" t="s">
        <v>134</v>
      </c>
      <c r="C36" t="s">
        <v>135</v>
      </c>
      <c r="D36" t="e">
        <v>#VALUE!</v>
      </c>
      <c r="E36" t="e">
        <v>#VALUE!</v>
      </c>
      <c r="F36" t="s">
        <v>136</v>
      </c>
    </row>
    <row r="37" spans="1:6" x14ac:dyDescent="0.25">
      <c r="A37" t="s">
        <v>137</v>
      </c>
      <c r="B37" t="s">
        <v>20</v>
      </c>
      <c r="C37" t="s">
        <v>21</v>
      </c>
      <c r="D37" t="s">
        <v>22</v>
      </c>
      <c r="E37" t="s">
        <v>23</v>
      </c>
      <c r="F37" t="s">
        <v>138</v>
      </c>
    </row>
    <row r="38" spans="1:6" x14ac:dyDescent="0.25">
      <c r="A38" t="s">
        <v>139</v>
      </c>
      <c r="B38" t="s">
        <v>53</v>
      </c>
      <c r="C38" t="s">
        <v>54</v>
      </c>
      <c r="D38" t="s">
        <v>55</v>
      </c>
      <c r="E38" t="s">
        <v>56</v>
      </c>
      <c r="F38" t="s">
        <v>140</v>
      </c>
    </row>
    <row r="39" spans="1:6" x14ac:dyDescent="0.25">
      <c r="A39" t="s">
        <v>141</v>
      </c>
      <c r="B39" t="s">
        <v>65</v>
      </c>
      <c r="C39" t="s">
        <v>66</v>
      </c>
      <c r="D39" t="s">
        <v>67</v>
      </c>
      <c r="E39" t="s">
        <v>68</v>
      </c>
      <c r="F39" t="e">
        <v>#VALUE!</v>
      </c>
    </row>
    <row r="40" spans="1:6" x14ac:dyDescent="0.25">
      <c r="A40" t="s">
        <v>142</v>
      </c>
      <c r="B40" t="s">
        <v>93</v>
      </c>
      <c r="C40" t="s">
        <v>94</v>
      </c>
      <c r="D40" t="s">
        <v>95</v>
      </c>
      <c r="E40" t="s">
        <v>96</v>
      </c>
      <c r="F40" t="s">
        <v>143</v>
      </c>
    </row>
    <row r="41" spans="1:6" x14ac:dyDescent="0.25">
      <c r="A41" t="s">
        <v>144</v>
      </c>
      <c r="B41" t="s">
        <v>65</v>
      </c>
      <c r="C41" t="s">
        <v>66</v>
      </c>
      <c r="D41" t="s">
        <v>67</v>
      </c>
      <c r="E41" t="s">
        <v>68</v>
      </c>
      <c r="F41" t="s">
        <v>145</v>
      </c>
    </row>
    <row r="42" spans="1:6" x14ac:dyDescent="0.25">
      <c r="A42" t="s">
        <v>146</v>
      </c>
      <c r="B42" t="s">
        <v>65</v>
      </c>
      <c r="C42" t="s">
        <v>66</v>
      </c>
      <c r="D42" t="s">
        <v>67</v>
      </c>
      <c r="E42" t="s">
        <v>68</v>
      </c>
      <c r="F42" t="s">
        <v>147</v>
      </c>
    </row>
    <row r="43" spans="1:6" x14ac:dyDescent="0.25">
      <c r="A43" t="s">
        <v>148</v>
      </c>
      <c r="B43" t="s">
        <v>31</v>
      </c>
      <c r="C43" t="s">
        <v>32</v>
      </c>
      <c r="D43" t="s">
        <v>33</v>
      </c>
      <c r="E43" t="s">
        <v>34</v>
      </c>
      <c r="F43" t="s">
        <v>149</v>
      </c>
    </row>
    <row r="44" spans="1:6" x14ac:dyDescent="0.25">
      <c r="A44" t="s">
        <v>150</v>
      </c>
      <c r="B44" t="s">
        <v>31</v>
      </c>
      <c r="C44" t="s">
        <v>32</v>
      </c>
      <c r="D44" t="s">
        <v>33</v>
      </c>
      <c r="E44" t="s">
        <v>34</v>
      </c>
      <c r="F44" t="s">
        <v>151</v>
      </c>
    </row>
    <row r="45" spans="1:6" x14ac:dyDescent="0.25">
      <c r="A45" t="s">
        <v>152</v>
      </c>
      <c r="B45" t="s">
        <v>37</v>
      </c>
      <c r="C45" t="s">
        <v>38</v>
      </c>
      <c r="D45" t="s">
        <v>39</v>
      </c>
      <c r="E45" t="s">
        <v>40</v>
      </c>
      <c r="F45" t="s">
        <v>153</v>
      </c>
    </row>
    <row r="46" spans="1:6" x14ac:dyDescent="0.25">
      <c r="A46" t="s">
        <v>154</v>
      </c>
      <c r="B46" t="s">
        <v>45</v>
      </c>
      <c r="C46" t="s">
        <v>46</v>
      </c>
      <c r="D46" t="s">
        <v>47</v>
      </c>
      <c r="E46" t="s">
        <v>48</v>
      </c>
      <c r="F46" t="s">
        <v>155</v>
      </c>
    </row>
    <row r="47" spans="1:6" x14ac:dyDescent="0.25">
      <c r="A47" t="s">
        <v>156</v>
      </c>
      <c r="B47" t="s">
        <v>157</v>
      </c>
      <c r="C47" t="s">
        <v>158</v>
      </c>
      <c r="D47" t="s">
        <v>159</v>
      </c>
      <c r="E47" t="s">
        <v>160</v>
      </c>
      <c r="F47" t="s">
        <v>161</v>
      </c>
    </row>
    <row r="48" spans="1:6" x14ac:dyDescent="0.25">
      <c r="A48" t="s">
        <v>162</v>
      </c>
      <c r="B48" t="s">
        <v>93</v>
      </c>
      <c r="C48" t="s">
        <v>94</v>
      </c>
      <c r="D48" t="s">
        <v>95</v>
      </c>
      <c r="E48" t="s">
        <v>96</v>
      </c>
      <c r="F48" t="s">
        <v>163</v>
      </c>
    </row>
    <row r="49" spans="1:6" x14ac:dyDescent="0.25">
      <c r="A49" t="s">
        <v>164</v>
      </c>
      <c r="B49" t="s">
        <v>65</v>
      </c>
      <c r="C49" t="s">
        <v>66</v>
      </c>
      <c r="D49" t="s">
        <v>67</v>
      </c>
      <c r="E49" t="s">
        <v>68</v>
      </c>
      <c r="F49" t="s">
        <v>165</v>
      </c>
    </row>
    <row r="50" spans="1:6" x14ac:dyDescent="0.25">
      <c r="A50" t="s">
        <v>166</v>
      </c>
      <c r="B50" t="s">
        <v>37</v>
      </c>
      <c r="C50" t="s">
        <v>38</v>
      </c>
      <c r="D50" t="s">
        <v>39</v>
      </c>
      <c r="E50" t="s">
        <v>40</v>
      </c>
      <c r="F50" t="s">
        <v>167</v>
      </c>
    </row>
    <row r="51" spans="1:6" x14ac:dyDescent="0.25">
      <c r="A51" t="s">
        <v>168</v>
      </c>
      <c r="B51" t="s">
        <v>169</v>
      </c>
      <c r="C51" t="s">
        <v>170</v>
      </c>
      <c r="D51" t="s">
        <v>171</v>
      </c>
      <c r="E51" t="s">
        <v>172</v>
      </c>
      <c r="F51" t="e">
        <v>#VALUE!</v>
      </c>
    </row>
    <row r="52" spans="1:6" x14ac:dyDescent="0.25">
      <c r="A52" t="s">
        <v>173</v>
      </c>
      <c r="B52" t="s">
        <v>107</v>
      </c>
      <c r="C52" t="s">
        <v>108</v>
      </c>
      <c r="D52" t="s">
        <v>109</v>
      </c>
      <c r="E52" t="s">
        <v>110</v>
      </c>
      <c r="F52" t="s">
        <v>174</v>
      </c>
    </row>
    <row r="53" spans="1:6" x14ac:dyDescent="0.25">
      <c r="A53" t="s">
        <v>175</v>
      </c>
      <c r="B53" t="s">
        <v>65</v>
      </c>
      <c r="C53" t="s">
        <v>66</v>
      </c>
      <c r="D53" t="s">
        <v>67</v>
      </c>
      <c r="E53" t="s">
        <v>68</v>
      </c>
      <c r="F53" t="s">
        <v>176</v>
      </c>
    </row>
    <row r="54" spans="1:6" x14ac:dyDescent="0.25">
      <c r="A54" t="s">
        <v>177</v>
      </c>
      <c r="B54" t="s">
        <v>65</v>
      </c>
      <c r="C54" t="s">
        <v>66</v>
      </c>
      <c r="D54" t="s">
        <v>67</v>
      </c>
      <c r="E54" t="s">
        <v>68</v>
      </c>
      <c r="F54" t="s">
        <v>178</v>
      </c>
    </row>
    <row r="55" spans="1:6" x14ac:dyDescent="0.25">
      <c r="A55" t="s">
        <v>179</v>
      </c>
      <c r="B55" t="s">
        <v>93</v>
      </c>
      <c r="C55" t="s">
        <v>94</v>
      </c>
      <c r="D55" t="s">
        <v>95</v>
      </c>
      <c r="E55" t="s">
        <v>96</v>
      </c>
      <c r="F55" t="s">
        <v>180</v>
      </c>
    </row>
    <row r="56" spans="1:6" x14ac:dyDescent="0.25">
      <c r="A56" t="s">
        <v>181</v>
      </c>
      <c r="B56" t="s">
        <v>37</v>
      </c>
      <c r="C56" t="s">
        <v>38</v>
      </c>
      <c r="D56" t="s">
        <v>39</v>
      </c>
      <c r="E56" t="s">
        <v>40</v>
      </c>
      <c r="F56" t="s">
        <v>182</v>
      </c>
    </row>
    <row r="57" spans="1:6" x14ac:dyDescent="0.25">
      <c r="A57" t="s">
        <v>183</v>
      </c>
      <c r="B57" t="s">
        <v>45</v>
      </c>
      <c r="C57" t="s">
        <v>46</v>
      </c>
      <c r="D57" t="s">
        <v>47</v>
      </c>
      <c r="E57" t="s">
        <v>48</v>
      </c>
      <c r="F57" t="s">
        <v>184</v>
      </c>
    </row>
    <row r="58" spans="1:6" x14ac:dyDescent="0.25">
      <c r="A58" t="s">
        <v>185</v>
      </c>
      <c r="B58" t="s">
        <v>37</v>
      </c>
      <c r="C58" t="s">
        <v>38</v>
      </c>
      <c r="D58" t="s">
        <v>39</v>
      </c>
      <c r="E58" t="s">
        <v>40</v>
      </c>
      <c r="F58" t="s">
        <v>186</v>
      </c>
    </row>
    <row r="59" spans="1:6" x14ac:dyDescent="0.25">
      <c r="A59" t="s">
        <v>187</v>
      </c>
      <c r="B59" t="s">
        <v>134</v>
      </c>
      <c r="C59" t="s">
        <v>135</v>
      </c>
      <c r="D59" t="e">
        <v>#VALUE!</v>
      </c>
      <c r="E59" t="e">
        <v>#VALUE!</v>
      </c>
      <c r="F59" t="s">
        <v>188</v>
      </c>
    </row>
    <row r="60" spans="1:6" x14ac:dyDescent="0.25">
      <c r="A60" t="s">
        <v>189</v>
      </c>
      <c r="B60" t="s">
        <v>53</v>
      </c>
      <c r="C60" t="s">
        <v>54</v>
      </c>
      <c r="D60" t="s">
        <v>55</v>
      </c>
      <c r="E60" t="s">
        <v>56</v>
      </c>
      <c r="F60" t="s">
        <v>190</v>
      </c>
    </row>
    <row r="61" spans="1:6" x14ac:dyDescent="0.25">
      <c r="A61" t="s">
        <v>191</v>
      </c>
      <c r="B61" t="s">
        <v>65</v>
      </c>
      <c r="C61" t="s">
        <v>66</v>
      </c>
      <c r="D61" t="s">
        <v>67</v>
      </c>
      <c r="E61" t="s">
        <v>68</v>
      </c>
      <c r="F61" t="s">
        <v>192</v>
      </c>
    </row>
    <row r="62" spans="1:6" x14ac:dyDescent="0.25">
      <c r="A62" t="s">
        <v>193</v>
      </c>
      <c r="B62" t="s">
        <v>25</v>
      </c>
      <c r="C62" t="s">
        <v>26</v>
      </c>
      <c r="D62" t="s">
        <v>27</v>
      </c>
      <c r="E62" t="s">
        <v>28</v>
      </c>
      <c r="F62" t="s">
        <v>194</v>
      </c>
    </row>
    <row r="63" spans="1:6" x14ac:dyDescent="0.25">
      <c r="A63" t="s">
        <v>195</v>
      </c>
      <c r="B63" t="s">
        <v>37</v>
      </c>
      <c r="C63" t="s">
        <v>38</v>
      </c>
      <c r="D63" t="s">
        <v>39</v>
      </c>
      <c r="E63" t="s">
        <v>40</v>
      </c>
      <c r="F63" t="s">
        <v>196</v>
      </c>
    </row>
    <row r="64" spans="1:6" x14ac:dyDescent="0.25">
      <c r="A64" t="s">
        <v>197</v>
      </c>
      <c r="B64" t="s">
        <v>53</v>
      </c>
      <c r="C64" t="s">
        <v>54</v>
      </c>
      <c r="D64" t="s">
        <v>55</v>
      </c>
      <c r="E64" t="s">
        <v>56</v>
      </c>
      <c r="F64" t="s">
        <v>198</v>
      </c>
    </row>
    <row r="65" spans="1:6" x14ac:dyDescent="0.25">
      <c r="A65" t="s">
        <v>199</v>
      </c>
      <c r="B65" t="s">
        <v>93</v>
      </c>
      <c r="C65" t="s">
        <v>94</v>
      </c>
      <c r="D65" t="s">
        <v>95</v>
      </c>
      <c r="E65" t="s">
        <v>96</v>
      </c>
      <c r="F65" t="s">
        <v>200</v>
      </c>
    </row>
    <row r="66" spans="1:6" x14ac:dyDescent="0.25">
      <c r="A66" t="s">
        <v>201</v>
      </c>
      <c r="B66" t="s">
        <v>65</v>
      </c>
      <c r="C66" t="s">
        <v>66</v>
      </c>
      <c r="D66" t="s">
        <v>67</v>
      </c>
      <c r="E66" t="s">
        <v>68</v>
      </c>
      <c r="F66" t="s">
        <v>202</v>
      </c>
    </row>
    <row r="67" spans="1:6" x14ac:dyDescent="0.25">
      <c r="A67" t="s">
        <v>203</v>
      </c>
      <c r="B67" t="s">
        <v>31</v>
      </c>
      <c r="C67" t="s">
        <v>32</v>
      </c>
      <c r="D67" t="s">
        <v>33</v>
      </c>
      <c r="E67" t="s">
        <v>34</v>
      </c>
      <c r="F67" t="s">
        <v>204</v>
      </c>
    </row>
    <row r="68" spans="1:6" x14ac:dyDescent="0.25">
      <c r="A68" t="s">
        <v>205</v>
      </c>
      <c r="B68" t="s">
        <v>169</v>
      </c>
      <c r="C68" t="s">
        <v>170</v>
      </c>
      <c r="D68" t="s">
        <v>171</v>
      </c>
      <c r="E68" t="s">
        <v>172</v>
      </c>
      <c r="F68" t="e">
        <v>#VALUE!</v>
      </c>
    </row>
    <row r="69" spans="1:6" x14ac:dyDescent="0.25">
      <c r="A69" t="s">
        <v>206</v>
      </c>
      <c r="B69" t="s">
        <v>93</v>
      </c>
      <c r="C69" t="s">
        <v>94</v>
      </c>
      <c r="D69" t="s">
        <v>95</v>
      </c>
      <c r="E69" t="s">
        <v>96</v>
      </c>
      <c r="F69" t="s">
        <v>207</v>
      </c>
    </row>
    <row r="70" spans="1:6" x14ac:dyDescent="0.25">
      <c r="A70" t="s">
        <v>208</v>
      </c>
      <c r="B70" t="s">
        <v>37</v>
      </c>
      <c r="C70" t="s">
        <v>38</v>
      </c>
      <c r="D70" t="s">
        <v>39</v>
      </c>
      <c r="E70" t="s">
        <v>40</v>
      </c>
      <c r="F70" t="s">
        <v>209</v>
      </c>
    </row>
    <row r="71" spans="1:6" x14ac:dyDescent="0.25">
      <c r="A71" t="s">
        <v>210</v>
      </c>
      <c r="B71" t="s">
        <v>45</v>
      </c>
      <c r="C71" t="s">
        <v>46</v>
      </c>
      <c r="D71" t="s">
        <v>47</v>
      </c>
      <c r="E71" t="s">
        <v>48</v>
      </c>
      <c r="F71" t="s">
        <v>211</v>
      </c>
    </row>
    <row r="72" spans="1:6" x14ac:dyDescent="0.25">
      <c r="A72" t="s">
        <v>212</v>
      </c>
      <c r="B72" t="s">
        <v>65</v>
      </c>
      <c r="C72" t="s">
        <v>66</v>
      </c>
      <c r="D72" t="s">
        <v>67</v>
      </c>
      <c r="E72" t="s">
        <v>68</v>
      </c>
      <c r="F72" t="s">
        <v>213</v>
      </c>
    </row>
    <row r="73" spans="1:6" x14ac:dyDescent="0.25">
      <c r="A73" t="s">
        <v>214</v>
      </c>
      <c r="B73" t="s">
        <v>65</v>
      </c>
      <c r="C73" t="s">
        <v>66</v>
      </c>
      <c r="D73" t="s">
        <v>67</v>
      </c>
      <c r="E73" t="s">
        <v>68</v>
      </c>
      <c r="F73" t="s">
        <v>215</v>
      </c>
    </row>
    <row r="74" spans="1:6" x14ac:dyDescent="0.25">
      <c r="A74" t="s">
        <v>216</v>
      </c>
      <c r="B74" t="s">
        <v>65</v>
      </c>
      <c r="C74" t="s">
        <v>66</v>
      </c>
      <c r="D74" t="s">
        <v>67</v>
      </c>
      <c r="E74" t="s">
        <v>68</v>
      </c>
      <c r="F74" t="s">
        <v>217</v>
      </c>
    </row>
    <row r="75" spans="1:6" x14ac:dyDescent="0.25">
      <c r="A75" t="s">
        <v>218</v>
      </c>
      <c r="B75" t="s">
        <v>65</v>
      </c>
      <c r="C75" t="s">
        <v>66</v>
      </c>
      <c r="D75" t="s">
        <v>67</v>
      </c>
      <c r="E75" t="s">
        <v>68</v>
      </c>
      <c r="F75" t="s">
        <v>219</v>
      </c>
    </row>
    <row r="76" spans="1:6" x14ac:dyDescent="0.25">
      <c r="A76" t="s">
        <v>220</v>
      </c>
      <c r="B76" t="s">
        <v>65</v>
      </c>
      <c r="C76" t="s">
        <v>66</v>
      </c>
      <c r="D76" t="s">
        <v>67</v>
      </c>
      <c r="E76" t="s">
        <v>68</v>
      </c>
      <c r="F76" t="s">
        <v>221</v>
      </c>
    </row>
    <row r="77" spans="1:6" x14ac:dyDescent="0.25">
      <c r="A77" t="s">
        <v>222</v>
      </c>
      <c r="B77" t="s">
        <v>65</v>
      </c>
      <c r="C77" t="s">
        <v>66</v>
      </c>
      <c r="D77" t="s">
        <v>67</v>
      </c>
      <c r="E77" t="s">
        <v>68</v>
      </c>
      <c r="F77" t="s">
        <v>223</v>
      </c>
    </row>
    <row r="78" spans="1:6" x14ac:dyDescent="0.25">
      <c r="A78" t="s">
        <v>224</v>
      </c>
      <c r="B78" t="s">
        <v>65</v>
      </c>
      <c r="C78" t="s">
        <v>66</v>
      </c>
      <c r="D78" t="s">
        <v>67</v>
      </c>
      <c r="E78" t="s">
        <v>68</v>
      </c>
      <c r="F78" t="s">
        <v>225</v>
      </c>
    </row>
    <row r="79" spans="1:6" x14ac:dyDescent="0.25">
      <c r="A79" t="s">
        <v>226</v>
      </c>
      <c r="B79" t="s">
        <v>65</v>
      </c>
      <c r="C79" t="s">
        <v>66</v>
      </c>
      <c r="D79" t="s">
        <v>67</v>
      </c>
      <c r="E79" t="s">
        <v>68</v>
      </c>
      <c r="F79" t="s">
        <v>227</v>
      </c>
    </row>
    <row r="80" spans="1:6" x14ac:dyDescent="0.25">
      <c r="A80" t="s">
        <v>228</v>
      </c>
      <c r="B80" t="s">
        <v>229</v>
      </c>
      <c r="C80" t="s">
        <v>230</v>
      </c>
      <c r="D80" t="s">
        <v>231</v>
      </c>
      <c r="E80" t="s">
        <v>232</v>
      </c>
      <c r="F80" t="s">
        <v>233</v>
      </c>
    </row>
    <row r="81" spans="1:6" x14ac:dyDescent="0.25">
      <c r="A81" t="s">
        <v>234</v>
      </c>
      <c r="B81" t="s">
        <v>53</v>
      </c>
      <c r="C81" t="s">
        <v>54</v>
      </c>
      <c r="D81" t="s">
        <v>55</v>
      </c>
      <c r="E81" t="s">
        <v>56</v>
      </c>
      <c r="F81" t="s">
        <v>235</v>
      </c>
    </row>
    <row r="82" spans="1:6" x14ac:dyDescent="0.25">
      <c r="A82" t="s">
        <v>236</v>
      </c>
      <c r="B82" t="s">
        <v>157</v>
      </c>
      <c r="C82" t="s">
        <v>158</v>
      </c>
      <c r="D82" t="s">
        <v>159</v>
      </c>
      <c r="E82" t="s">
        <v>160</v>
      </c>
      <c r="F82" t="s">
        <v>237</v>
      </c>
    </row>
    <row r="83" spans="1:6" x14ac:dyDescent="0.25">
      <c r="A83" t="s">
        <v>238</v>
      </c>
      <c r="B83" t="s">
        <v>65</v>
      </c>
      <c r="C83" t="s">
        <v>66</v>
      </c>
      <c r="D83" t="s">
        <v>67</v>
      </c>
      <c r="E83" t="s">
        <v>68</v>
      </c>
      <c r="F83" t="s">
        <v>239</v>
      </c>
    </row>
    <row r="84" spans="1:6" x14ac:dyDescent="0.25">
      <c r="A84" t="s">
        <v>240</v>
      </c>
      <c r="B84" t="s">
        <v>65</v>
      </c>
      <c r="C84" t="s">
        <v>66</v>
      </c>
      <c r="D84" t="s">
        <v>67</v>
      </c>
      <c r="E84" t="s">
        <v>68</v>
      </c>
      <c r="F84" t="s">
        <v>241</v>
      </c>
    </row>
    <row r="85" spans="1:6" x14ac:dyDescent="0.25">
      <c r="A85" t="s">
        <v>242</v>
      </c>
      <c r="B85" t="s">
        <v>65</v>
      </c>
      <c r="C85" t="s">
        <v>66</v>
      </c>
      <c r="D85" t="s">
        <v>67</v>
      </c>
      <c r="E85" t="s">
        <v>68</v>
      </c>
      <c r="F85" t="s">
        <v>243</v>
      </c>
    </row>
    <row r="86" spans="1:6" x14ac:dyDescent="0.25">
      <c r="A86" t="s">
        <v>244</v>
      </c>
      <c r="B86" t="s">
        <v>65</v>
      </c>
      <c r="C86" t="s">
        <v>66</v>
      </c>
      <c r="D86" t="s">
        <v>67</v>
      </c>
      <c r="E86" t="s">
        <v>68</v>
      </c>
      <c r="F86" t="s">
        <v>245</v>
      </c>
    </row>
    <row r="87" spans="1:6" x14ac:dyDescent="0.25">
      <c r="A87" t="s">
        <v>246</v>
      </c>
      <c r="B87" t="s">
        <v>31</v>
      </c>
      <c r="C87" t="s">
        <v>32</v>
      </c>
      <c r="D87" t="s">
        <v>33</v>
      </c>
      <c r="E87" t="s">
        <v>34</v>
      </c>
      <c r="F87" t="s">
        <v>247</v>
      </c>
    </row>
    <row r="88" spans="1:6" x14ac:dyDescent="0.25">
      <c r="A88" t="s">
        <v>248</v>
      </c>
      <c r="B88" t="s">
        <v>31</v>
      </c>
      <c r="C88" t="s">
        <v>32</v>
      </c>
      <c r="D88" t="s">
        <v>33</v>
      </c>
      <c r="E88" t="s">
        <v>34</v>
      </c>
      <c r="F88" t="s">
        <v>249</v>
      </c>
    </row>
    <row r="89" spans="1:6" x14ac:dyDescent="0.25">
      <c r="A89" t="s">
        <v>250</v>
      </c>
      <c r="B89" t="s">
        <v>31</v>
      </c>
      <c r="C89" t="s">
        <v>32</v>
      </c>
      <c r="D89" t="s">
        <v>33</v>
      </c>
      <c r="E89" t="s">
        <v>34</v>
      </c>
      <c r="F89" t="s">
        <v>251</v>
      </c>
    </row>
    <row r="90" spans="1:6" x14ac:dyDescent="0.25">
      <c r="A90" t="s">
        <v>252</v>
      </c>
      <c r="B90" t="s">
        <v>31</v>
      </c>
      <c r="C90" t="s">
        <v>32</v>
      </c>
      <c r="D90" t="s">
        <v>33</v>
      </c>
      <c r="E90" t="s">
        <v>34</v>
      </c>
      <c r="F90" t="s">
        <v>253</v>
      </c>
    </row>
    <row r="91" spans="1:6" x14ac:dyDescent="0.25">
      <c r="A91" t="s">
        <v>254</v>
      </c>
      <c r="B91" t="s">
        <v>31</v>
      </c>
      <c r="C91" t="s">
        <v>32</v>
      </c>
      <c r="D91" t="s">
        <v>33</v>
      </c>
      <c r="E91" t="s">
        <v>34</v>
      </c>
      <c r="F91" t="s">
        <v>255</v>
      </c>
    </row>
    <row r="92" spans="1:6" x14ac:dyDescent="0.25">
      <c r="A92" t="s">
        <v>256</v>
      </c>
      <c r="B92" t="s">
        <v>31</v>
      </c>
      <c r="C92" t="s">
        <v>32</v>
      </c>
      <c r="D92" t="s">
        <v>33</v>
      </c>
      <c r="E92" t="s">
        <v>34</v>
      </c>
      <c r="F92" t="s">
        <v>257</v>
      </c>
    </row>
    <row r="93" spans="1:6" x14ac:dyDescent="0.25">
      <c r="A93" t="s">
        <v>258</v>
      </c>
      <c r="B93" t="s">
        <v>31</v>
      </c>
      <c r="C93" t="s">
        <v>32</v>
      </c>
      <c r="D93" t="s">
        <v>33</v>
      </c>
      <c r="E93" t="s">
        <v>34</v>
      </c>
      <c r="F93" t="s">
        <v>259</v>
      </c>
    </row>
    <row r="94" spans="1:6" x14ac:dyDescent="0.25">
      <c r="A94" t="s">
        <v>260</v>
      </c>
      <c r="B94" t="s">
        <v>31</v>
      </c>
      <c r="C94" t="s">
        <v>32</v>
      </c>
      <c r="D94" t="s">
        <v>33</v>
      </c>
      <c r="E94" t="s">
        <v>34</v>
      </c>
      <c r="F94" t="s">
        <v>261</v>
      </c>
    </row>
    <row r="95" spans="1:6" x14ac:dyDescent="0.25">
      <c r="A95" t="s">
        <v>262</v>
      </c>
      <c r="B95" t="s">
        <v>263</v>
      </c>
      <c r="C95" t="s">
        <v>264</v>
      </c>
      <c r="D95" t="s">
        <v>265</v>
      </c>
      <c r="E95" t="s">
        <v>266</v>
      </c>
      <c r="F95" t="s">
        <v>267</v>
      </c>
    </row>
    <row r="96" spans="1:6" x14ac:dyDescent="0.25">
      <c r="A96" t="s">
        <v>268</v>
      </c>
      <c r="B96" t="s">
        <v>25</v>
      </c>
      <c r="C96" t="s">
        <v>26</v>
      </c>
      <c r="D96" t="s">
        <v>27</v>
      </c>
      <c r="E96" t="s">
        <v>28</v>
      </c>
      <c r="F96" t="s">
        <v>269</v>
      </c>
    </row>
    <row r="97" spans="1:6" x14ac:dyDescent="0.25">
      <c r="A97" t="s">
        <v>270</v>
      </c>
      <c r="B97" t="s">
        <v>134</v>
      </c>
      <c r="C97" t="s">
        <v>135</v>
      </c>
      <c r="D97" t="e">
        <v>#VALUE!</v>
      </c>
      <c r="E97" t="e">
        <v>#VALUE!</v>
      </c>
      <c r="F97" t="s">
        <v>271</v>
      </c>
    </row>
    <row r="98" spans="1:6" x14ac:dyDescent="0.25">
      <c r="A98" t="s">
        <v>272</v>
      </c>
      <c r="B98" t="s">
        <v>53</v>
      </c>
      <c r="C98" t="s">
        <v>54</v>
      </c>
      <c r="D98" t="s">
        <v>55</v>
      </c>
      <c r="E98" t="s">
        <v>56</v>
      </c>
      <c r="F98" t="s">
        <v>273</v>
      </c>
    </row>
    <row r="99" spans="1:6" x14ac:dyDescent="0.25">
      <c r="A99" t="s">
        <v>274</v>
      </c>
      <c r="B99" t="s">
        <v>10</v>
      </c>
      <c r="C99" t="s">
        <v>11</v>
      </c>
      <c r="D99" t="e">
        <v>#VALUE!</v>
      </c>
      <c r="E99" t="e">
        <v>#VALUE!</v>
      </c>
      <c r="F99" t="s">
        <v>275</v>
      </c>
    </row>
    <row r="100" spans="1:6" x14ac:dyDescent="0.25">
      <c r="A100" t="s">
        <v>276</v>
      </c>
      <c r="B100" t="s">
        <v>31</v>
      </c>
      <c r="C100" t="s">
        <v>32</v>
      </c>
      <c r="D100" t="s">
        <v>33</v>
      </c>
      <c r="E100" t="s">
        <v>34</v>
      </c>
      <c r="F100" t="s">
        <v>277</v>
      </c>
    </row>
    <row r="101" spans="1:6" x14ac:dyDescent="0.25">
      <c r="A101" t="s">
        <v>278</v>
      </c>
      <c r="B101" t="s">
        <v>65</v>
      </c>
      <c r="C101" t="s">
        <v>66</v>
      </c>
      <c r="D101" t="s">
        <v>67</v>
      </c>
      <c r="E101" t="s">
        <v>68</v>
      </c>
      <c r="F101" t="s">
        <v>279</v>
      </c>
    </row>
    <row r="102" spans="1:6" x14ac:dyDescent="0.25">
      <c r="A102" t="s">
        <v>280</v>
      </c>
      <c r="B102" t="s">
        <v>20</v>
      </c>
      <c r="C102" t="s">
        <v>21</v>
      </c>
      <c r="D102" t="s">
        <v>22</v>
      </c>
      <c r="E102" t="s">
        <v>23</v>
      </c>
      <c r="F102" t="s">
        <v>281</v>
      </c>
    </row>
    <row r="103" spans="1:6" x14ac:dyDescent="0.25">
      <c r="A103" t="s">
        <v>282</v>
      </c>
      <c r="B103" t="s">
        <v>157</v>
      </c>
      <c r="C103" t="s">
        <v>158</v>
      </c>
      <c r="D103" t="s">
        <v>159</v>
      </c>
      <c r="E103" t="s">
        <v>160</v>
      </c>
      <c r="F103" t="s">
        <v>283</v>
      </c>
    </row>
    <row r="104" spans="1:6" x14ac:dyDescent="0.25">
      <c r="A104" t="s">
        <v>284</v>
      </c>
      <c r="B104" t="s">
        <v>65</v>
      </c>
      <c r="C104" t="s">
        <v>66</v>
      </c>
      <c r="D104" t="s">
        <v>67</v>
      </c>
      <c r="E104" t="s">
        <v>68</v>
      </c>
      <c r="F104" t="s">
        <v>285</v>
      </c>
    </row>
    <row r="105" spans="1:6" x14ac:dyDescent="0.25">
      <c r="A105" t="s">
        <v>286</v>
      </c>
      <c r="B105" t="s">
        <v>31</v>
      </c>
      <c r="C105" t="s">
        <v>32</v>
      </c>
      <c r="D105" t="s">
        <v>33</v>
      </c>
      <c r="E105" t="s">
        <v>34</v>
      </c>
      <c r="F105" t="s">
        <v>287</v>
      </c>
    </row>
    <row r="106" spans="1:6" x14ac:dyDescent="0.25">
      <c r="A106" t="s">
        <v>288</v>
      </c>
      <c r="B106" t="s">
        <v>65</v>
      </c>
      <c r="C106" t="s">
        <v>66</v>
      </c>
      <c r="D106" t="s">
        <v>67</v>
      </c>
      <c r="E106" t="s">
        <v>68</v>
      </c>
      <c r="F106" t="e">
        <v>#VALUE!</v>
      </c>
    </row>
    <row r="107" spans="1:6" x14ac:dyDescent="0.25">
      <c r="A107" t="s">
        <v>289</v>
      </c>
      <c r="B107" t="s">
        <v>93</v>
      </c>
      <c r="C107" t="s">
        <v>94</v>
      </c>
      <c r="D107" t="s">
        <v>95</v>
      </c>
      <c r="E107" t="s">
        <v>96</v>
      </c>
      <c r="F107" t="s">
        <v>290</v>
      </c>
    </row>
    <row r="108" spans="1:6" x14ac:dyDescent="0.25">
      <c r="A108" t="s">
        <v>291</v>
      </c>
      <c r="B108" t="s">
        <v>25</v>
      </c>
      <c r="C108" t="s">
        <v>26</v>
      </c>
      <c r="D108" t="s">
        <v>27</v>
      </c>
      <c r="E108" t="s">
        <v>28</v>
      </c>
      <c r="F108" t="s">
        <v>292</v>
      </c>
    </row>
    <row r="109" spans="1:6" x14ac:dyDescent="0.25">
      <c r="A109" t="s">
        <v>293</v>
      </c>
      <c r="B109" t="s">
        <v>37</v>
      </c>
      <c r="C109" t="s">
        <v>38</v>
      </c>
      <c r="D109" t="s">
        <v>39</v>
      </c>
      <c r="E109" t="s">
        <v>40</v>
      </c>
      <c r="F109" t="s">
        <v>294</v>
      </c>
    </row>
    <row r="110" spans="1:6" x14ac:dyDescent="0.25">
      <c r="A110" t="s">
        <v>295</v>
      </c>
      <c r="B110" t="s">
        <v>93</v>
      </c>
      <c r="C110" t="s">
        <v>94</v>
      </c>
      <c r="D110" t="s">
        <v>95</v>
      </c>
      <c r="E110" t="s">
        <v>96</v>
      </c>
      <c r="F110" t="s">
        <v>296</v>
      </c>
    </row>
    <row r="111" spans="1:6" x14ac:dyDescent="0.25">
      <c r="A111" t="s">
        <v>297</v>
      </c>
      <c r="B111" t="s">
        <v>53</v>
      </c>
      <c r="C111" t="s">
        <v>54</v>
      </c>
      <c r="D111" t="s">
        <v>55</v>
      </c>
      <c r="E111" t="s">
        <v>56</v>
      </c>
      <c r="F111" t="s">
        <v>298</v>
      </c>
    </row>
    <row r="112" spans="1:6" x14ac:dyDescent="0.25">
      <c r="A112" t="s">
        <v>299</v>
      </c>
      <c r="B112" t="s">
        <v>25</v>
      </c>
      <c r="C112" t="s">
        <v>26</v>
      </c>
      <c r="D112" t="s">
        <v>27</v>
      </c>
      <c r="E112" t="s">
        <v>28</v>
      </c>
      <c r="F112" t="s">
        <v>300</v>
      </c>
    </row>
    <row r="113" spans="1:6" x14ac:dyDescent="0.25">
      <c r="A113" t="s">
        <v>301</v>
      </c>
      <c r="B113" t="s">
        <v>31</v>
      </c>
      <c r="C113" t="s">
        <v>32</v>
      </c>
      <c r="D113" t="s">
        <v>33</v>
      </c>
      <c r="E113" t="s">
        <v>34</v>
      </c>
      <c r="F113" t="s">
        <v>302</v>
      </c>
    </row>
    <row r="114" spans="1:6" x14ac:dyDescent="0.25">
      <c r="A114" t="s">
        <v>303</v>
      </c>
      <c r="B114" t="s">
        <v>25</v>
      </c>
      <c r="C114" t="s">
        <v>26</v>
      </c>
      <c r="D114" t="s">
        <v>27</v>
      </c>
      <c r="E114" t="s">
        <v>28</v>
      </c>
      <c r="F114" t="s">
        <v>304</v>
      </c>
    </row>
    <row r="115" spans="1:6" x14ac:dyDescent="0.25">
      <c r="A115" t="s">
        <v>305</v>
      </c>
      <c r="B115" t="s">
        <v>71</v>
      </c>
      <c r="C115" t="s">
        <v>72</v>
      </c>
      <c r="D115" t="s">
        <v>73</v>
      </c>
      <c r="E115" t="s">
        <v>74</v>
      </c>
      <c r="F115" t="s">
        <v>306</v>
      </c>
    </row>
    <row r="116" spans="1:6" x14ac:dyDescent="0.25">
      <c r="A116" t="s">
        <v>307</v>
      </c>
      <c r="B116" t="s">
        <v>71</v>
      </c>
      <c r="C116" t="s">
        <v>72</v>
      </c>
      <c r="D116" t="s">
        <v>73</v>
      </c>
      <c r="E116" t="s">
        <v>74</v>
      </c>
      <c r="F116" t="s">
        <v>308</v>
      </c>
    </row>
    <row r="117" spans="1:6" x14ac:dyDescent="0.25">
      <c r="A117" t="s">
        <v>309</v>
      </c>
      <c r="B117" t="s">
        <v>310</v>
      </c>
      <c r="C117" t="s">
        <v>311</v>
      </c>
      <c r="D117" t="s">
        <v>312</v>
      </c>
      <c r="E117" t="s">
        <v>313</v>
      </c>
      <c r="F117" t="e">
        <v>#VALUE!</v>
      </c>
    </row>
    <row r="118" spans="1:6" x14ac:dyDescent="0.25">
      <c r="A118" t="s">
        <v>314</v>
      </c>
      <c r="B118" t="s">
        <v>45</v>
      </c>
      <c r="C118" t="s">
        <v>46</v>
      </c>
      <c r="D118" t="s">
        <v>47</v>
      </c>
      <c r="E118" t="s">
        <v>48</v>
      </c>
      <c r="F118" t="s">
        <v>315</v>
      </c>
    </row>
    <row r="119" spans="1:6" x14ac:dyDescent="0.25">
      <c r="A119" t="s">
        <v>316</v>
      </c>
      <c r="B119" t="s">
        <v>53</v>
      </c>
      <c r="C119" t="s">
        <v>54</v>
      </c>
      <c r="D119" t="s">
        <v>55</v>
      </c>
      <c r="E119" t="s">
        <v>56</v>
      </c>
      <c r="F119" t="s">
        <v>317</v>
      </c>
    </row>
    <row r="120" spans="1:6" x14ac:dyDescent="0.25">
      <c r="A120" t="s">
        <v>318</v>
      </c>
      <c r="B120" t="s">
        <v>93</v>
      </c>
      <c r="C120" t="s">
        <v>94</v>
      </c>
      <c r="D120" t="s">
        <v>95</v>
      </c>
      <c r="E120" t="s">
        <v>96</v>
      </c>
      <c r="F120" t="s">
        <v>319</v>
      </c>
    </row>
    <row r="121" spans="1:6" x14ac:dyDescent="0.25">
      <c r="A121" t="s">
        <v>320</v>
      </c>
      <c r="B121" t="s">
        <v>93</v>
      </c>
      <c r="C121" t="s">
        <v>94</v>
      </c>
      <c r="D121" t="s">
        <v>95</v>
      </c>
      <c r="E121" t="s">
        <v>96</v>
      </c>
      <c r="F121" t="s">
        <v>119</v>
      </c>
    </row>
    <row r="122" spans="1:6" x14ac:dyDescent="0.25">
      <c r="A122" t="s">
        <v>321</v>
      </c>
      <c r="B122" t="s">
        <v>25</v>
      </c>
      <c r="C122" t="s">
        <v>26</v>
      </c>
      <c r="D122" t="s">
        <v>27</v>
      </c>
      <c r="E122" t="s">
        <v>28</v>
      </c>
      <c r="F122" t="s">
        <v>322</v>
      </c>
    </row>
    <row r="123" spans="1:6" x14ac:dyDescent="0.25">
      <c r="A123" t="s">
        <v>323</v>
      </c>
      <c r="B123" t="s">
        <v>31</v>
      </c>
      <c r="C123" t="s">
        <v>32</v>
      </c>
      <c r="D123" t="s">
        <v>33</v>
      </c>
      <c r="E123" t="s">
        <v>34</v>
      </c>
      <c r="F123" t="s">
        <v>324</v>
      </c>
    </row>
    <row r="124" spans="1:6" x14ac:dyDescent="0.25">
      <c r="A124" t="s">
        <v>325</v>
      </c>
      <c r="B124" t="s">
        <v>65</v>
      </c>
      <c r="C124" t="s">
        <v>66</v>
      </c>
      <c r="D124" t="s">
        <v>67</v>
      </c>
      <c r="E124" t="s">
        <v>68</v>
      </c>
      <c r="F124" t="s">
        <v>326</v>
      </c>
    </row>
    <row r="125" spans="1:6" x14ac:dyDescent="0.25">
      <c r="A125" t="s">
        <v>327</v>
      </c>
      <c r="B125" t="s">
        <v>65</v>
      </c>
      <c r="C125" t="s">
        <v>66</v>
      </c>
      <c r="D125" t="s">
        <v>67</v>
      </c>
      <c r="E125" t="s">
        <v>68</v>
      </c>
      <c r="F125" t="s">
        <v>328</v>
      </c>
    </row>
    <row r="126" spans="1:6" x14ac:dyDescent="0.25">
      <c r="A126" t="s">
        <v>329</v>
      </c>
      <c r="B126" t="s">
        <v>65</v>
      </c>
      <c r="C126" t="s">
        <v>66</v>
      </c>
      <c r="D126" t="s">
        <v>67</v>
      </c>
      <c r="E126" t="s">
        <v>68</v>
      </c>
      <c r="F126" t="s">
        <v>330</v>
      </c>
    </row>
    <row r="127" spans="1:6" x14ac:dyDescent="0.25">
      <c r="A127" t="s">
        <v>331</v>
      </c>
      <c r="B127" t="s">
        <v>65</v>
      </c>
      <c r="C127" t="s">
        <v>66</v>
      </c>
      <c r="D127" t="s">
        <v>67</v>
      </c>
      <c r="E127" t="s">
        <v>68</v>
      </c>
      <c r="F127" t="s">
        <v>332</v>
      </c>
    </row>
    <row r="128" spans="1:6" x14ac:dyDescent="0.25">
      <c r="A128" t="s">
        <v>333</v>
      </c>
      <c r="B128" t="s">
        <v>31</v>
      </c>
      <c r="C128" t="s">
        <v>32</v>
      </c>
      <c r="D128" t="s">
        <v>33</v>
      </c>
      <c r="E128" t="s">
        <v>34</v>
      </c>
      <c r="F128" t="s">
        <v>334</v>
      </c>
    </row>
    <row r="129" spans="1:6" x14ac:dyDescent="0.25">
      <c r="A129" t="s">
        <v>335</v>
      </c>
      <c r="B129" t="s">
        <v>336</v>
      </c>
      <c r="C129" t="s">
        <v>337</v>
      </c>
      <c r="D129" t="s">
        <v>338</v>
      </c>
      <c r="E129" t="s">
        <v>339</v>
      </c>
      <c r="F129" t="s">
        <v>340</v>
      </c>
    </row>
    <row r="130" spans="1:6" x14ac:dyDescent="0.25">
      <c r="A130" t="s">
        <v>341</v>
      </c>
      <c r="B130" t="s">
        <v>53</v>
      </c>
      <c r="C130" t="s">
        <v>54</v>
      </c>
      <c r="D130" t="s">
        <v>55</v>
      </c>
      <c r="E130" t="s">
        <v>56</v>
      </c>
      <c r="F130" t="s">
        <v>342</v>
      </c>
    </row>
    <row r="131" spans="1:6" x14ac:dyDescent="0.25">
      <c r="A131" t="s">
        <v>343</v>
      </c>
      <c r="B131" t="s">
        <v>45</v>
      </c>
      <c r="C131" t="s">
        <v>46</v>
      </c>
      <c r="D131" t="s">
        <v>47</v>
      </c>
      <c r="E131" t="s">
        <v>48</v>
      </c>
      <c r="F131" t="s">
        <v>344</v>
      </c>
    </row>
    <row r="132" spans="1:6" x14ac:dyDescent="0.25">
      <c r="A132" t="s">
        <v>345</v>
      </c>
      <c r="B132" t="s">
        <v>93</v>
      </c>
      <c r="C132" t="s">
        <v>94</v>
      </c>
      <c r="D132" t="s">
        <v>95</v>
      </c>
      <c r="E132" t="s">
        <v>96</v>
      </c>
      <c r="F132" t="s">
        <v>346</v>
      </c>
    </row>
    <row r="133" spans="1:6" x14ac:dyDescent="0.25">
      <c r="A133" t="s">
        <v>347</v>
      </c>
      <c r="B133" t="s">
        <v>37</v>
      </c>
      <c r="C133" t="s">
        <v>38</v>
      </c>
      <c r="D133" t="s">
        <v>39</v>
      </c>
      <c r="E133" t="s">
        <v>40</v>
      </c>
      <c r="F133" t="s">
        <v>348</v>
      </c>
    </row>
    <row r="134" spans="1:6" x14ac:dyDescent="0.25">
      <c r="A134" t="s">
        <v>349</v>
      </c>
      <c r="B134" t="s">
        <v>350</v>
      </c>
      <c r="C134" t="s">
        <v>351</v>
      </c>
      <c r="D134" t="s">
        <v>352</v>
      </c>
      <c r="E134" t="s">
        <v>353</v>
      </c>
      <c r="F134" t="s">
        <v>354</v>
      </c>
    </row>
    <row r="135" spans="1:6" x14ac:dyDescent="0.25">
      <c r="A135" t="s">
        <v>355</v>
      </c>
      <c r="B135" t="s">
        <v>25</v>
      </c>
      <c r="C135" t="s">
        <v>26</v>
      </c>
      <c r="D135" t="s">
        <v>27</v>
      </c>
      <c r="E135" t="s">
        <v>28</v>
      </c>
      <c r="F135" t="s">
        <v>356</v>
      </c>
    </row>
    <row r="136" spans="1:6" x14ac:dyDescent="0.25">
      <c r="A136" t="s">
        <v>357</v>
      </c>
      <c r="B136" t="s">
        <v>65</v>
      </c>
      <c r="C136" t="s">
        <v>66</v>
      </c>
      <c r="D136" t="s">
        <v>67</v>
      </c>
      <c r="E136" t="s">
        <v>68</v>
      </c>
      <c r="F136" t="s">
        <v>358</v>
      </c>
    </row>
    <row r="137" spans="1:6" x14ac:dyDescent="0.25">
      <c r="A137" t="s">
        <v>359</v>
      </c>
      <c r="B137" t="s">
        <v>65</v>
      </c>
      <c r="C137" t="s">
        <v>66</v>
      </c>
      <c r="D137" t="s">
        <v>67</v>
      </c>
      <c r="E137" t="s">
        <v>68</v>
      </c>
      <c r="F137" t="s">
        <v>360</v>
      </c>
    </row>
    <row r="138" spans="1:6" x14ac:dyDescent="0.25">
      <c r="A138" t="s">
        <v>361</v>
      </c>
      <c r="B138" t="s">
        <v>31</v>
      </c>
      <c r="C138" t="s">
        <v>32</v>
      </c>
      <c r="D138" t="s">
        <v>33</v>
      </c>
      <c r="E138" t="s">
        <v>34</v>
      </c>
      <c r="F138" t="s">
        <v>362</v>
      </c>
    </row>
    <row r="139" spans="1:6" x14ac:dyDescent="0.25">
      <c r="A139" t="s">
        <v>363</v>
      </c>
      <c r="B139" t="s">
        <v>10</v>
      </c>
      <c r="C139" t="s">
        <v>11</v>
      </c>
      <c r="D139" t="e">
        <v>#VALUE!</v>
      </c>
      <c r="E139" t="e">
        <v>#VALUE!</v>
      </c>
      <c r="F139" t="s">
        <v>364</v>
      </c>
    </row>
    <row r="140" spans="1:6" x14ac:dyDescent="0.25">
      <c r="A140" t="s">
        <v>365</v>
      </c>
      <c r="B140" t="s">
        <v>10</v>
      </c>
      <c r="C140" t="s">
        <v>11</v>
      </c>
      <c r="D140" t="e">
        <v>#VALUE!</v>
      </c>
      <c r="E140" t="e">
        <v>#VALUE!</v>
      </c>
      <c r="F140" t="s">
        <v>366</v>
      </c>
    </row>
    <row r="141" spans="1:6" x14ac:dyDescent="0.25">
      <c r="A141" t="s">
        <v>367</v>
      </c>
      <c r="B141" t="s">
        <v>53</v>
      </c>
      <c r="C141" t="s">
        <v>54</v>
      </c>
      <c r="D141" t="s">
        <v>55</v>
      </c>
      <c r="E141" t="s">
        <v>56</v>
      </c>
      <c r="F141" t="s">
        <v>368</v>
      </c>
    </row>
    <row r="142" spans="1:6" x14ac:dyDescent="0.25">
      <c r="A142" t="s">
        <v>369</v>
      </c>
      <c r="B142" t="s">
        <v>31</v>
      </c>
      <c r="C142" t="s">
        <v>32</v>
      </c>
      <c r="D142" t="s">
        <v>33</v>
      </c>
      <c r="E142" t="s">
        <v>34</v>
      </c>
      <c r="F142" t="s">
        <v>370</v>
      </c>
    </row>
    <row r="143" spans="1:6" x14ac:dyDescent="0.25">
      <c r="A143" t="s">
        <v>371</v>
      </c>
      <c r="B143" t="s">
        <v>93</v>
      </c>
      <c r="C143" t="s">
        <v>94</v>
      </c>
      <c r="D143" t="s">
        <v>95</v>
      </c>
      <c r="E143" t="s">
        <v>96</v>
      </c>
      <c r="F143" t="s">
        <v>372</v>
      </c>
    </row>
    <row r="144" spans="1:6" x14ac:dyDescent="0.25">
      <c r="A144" t="s">
        <v>373</v>
      </c>
      <c r="B144" t="s">
        <v>374</v>
      </c>
      <c r="C144" t="s">
        <v>375</v>
      </c>
      <c r="D144" t="s">
        <v>376</v>
      </c>
      <c r="E144" t="s">
        <v>377</v>
      </c>
      <c r="F144" t="s">
        <v>378</v>
      </c>
    </row>
    <row r="145" spans="1:6" x14ac:dyDescent="0.25">
      <c r="A145" t="s">
        <v>379</v>
      </c>
      <c r="B145" t="s">
        <v>65</v>
      </c>
      <c r="C145" t="s">
        <v>66</v>
      </c>
      <c r="D145" t="s">
        <v>67</v>
      </c>
      <c r="E145" t="s">
        <v>68</v>
      </c>
      <c r="F145" t="s">
        <v>380</v>
      </c>
    </row>
    <row r="146" spans="1:6" x14ac:dyDescent="0.25">
      <c r="A146" t="s">
        <v>381</v>
      </c>
      <c r="B146" t="s">
        <v>93</v>
      </c>
      <c r="C146" t="s">
        <v>94</v>
      </c>
      <c r="D146" t="s">
        <v>95</v>
      </c>
      <c r="E146" t="s">
        <v>96</v>
      </c>
      <c r="F146" t="s">
        <v>382</v>
      </c>
    </row>
    <row r="147" spans="1:6" x14ac:dyDescent="0.25">
      <c r="A147" t="s">
        <v>383</v>
      </c>
      <c r="B147" t="s">
        <v>37</v>
      </c>
      <c r="C147" t="s">
        <v>38</v>
      </c>
      <c r="D147" t="s">
        <v>39</v>
      </c>
      <c r="E147" t="s">
        <v>40</v>
      </c>
      <c r="F147" t="s">
        <v>384</v>
      </c>
    </row>
    <row r="148" spans="1:6" x14ac:dyDescent="0.25">
      <c r="A148" t="s">
        <v>385</v>
      </c>
      <c r="B148" t="s">
        <v>37</v>
      </c>
      <c r="C148" t="s">
        <v>38</v>
      </c>
      <c r="D148" t="s">
        <v>39</v>
      </c>
      <c r="E148" t="s">
        <v>40</v>
      </c>
      <c r="F148" t="s">
        <v>386</v>
      </c>
    </row>
    <row r="149" spans="1:6" x14ac:dyDescent="0.25">
      <c r="A149" t="s">
        <v>387</v>
      </c>
      <c r="B149" t="s">
        <v>53</v>
      </c>
      <c r="C149" t="s">
        <v>54</v>
      </c>
      <c r="D149" t="s">
        <v>55</v>
      </c>
      <c r="E149" t="s">
        <v>56</v>
      </c>
      <c r="F149" t="s">
        <v>388</v>
      </c>
    </row>
    <row r="150" spans="1:6" x14ac:dyDescent="0.25">
      <c r="A150" t="s">
        <v>389</v>
      </c>
      <c r="B150" t="s">
        <v>65</v>
      </c>
      <c r="C150" t="s">
        <v>66</v>
      </c>
      <c r="D150" t="s">
        <v>67</v>
      </c>
      <c r="E150" t="s">
        <v>68</v>
      </c>
      <c r="F150" t="s">
        <v>390</v>
      </c>
    </row>
    <row r="151" spans="1:6" x14ac:dyDescent="0.25">
      <c r="A151" t="s">
        <v>391</v>
      </c>
      <c r="B151" t="s">
        <v>25</v>
      </c>
      <c r="C151" t="s">
        <v>26</v>
      </c>
      <c r="D151" t="s">
        <v>27</v>
      </c>
      <c r="E151" t="s">
        <v>28</v>
      </c>
      <c r="F151" t="s">
        <v>392</v>
      </c>
    </row>
    <row r="152" spans="1:6" x14ac:dyDescent="0.25">
      <c r="A152" t="s">
        <v>393</v>
      </c>
      <c r="B152" t="s">
        <v>394</v>
      </c>
      <c r="C152" t="s">
        <v>395</v>
      </c>
      <c r="D152" t="s">
        <v>396</v>
      </c>
      <c r="E152" t="s">
        <v>397</v>
      </c>
      <c r="F152" t="s">
        <v>398</v>
      </c>
    </row>
    <row r="153" spans="1:6" x14ac:dyDescent="0.25">
      <c r="A153" t="s">
        <v>399</v>
      </c>
      <c r="B153" t="s">
        <v>53</v>
      </c>
      <c r="C153" t="s">
        <v>54</v>
      </c>
      <c r="D153" t="s">
        <v>55</v>
      </c>
      <c r="E153" t="s">
        <v>56</v>
      </c>
      <c r="F153" t="s">
        <v>400</v>
      </c>
    </row>
    <row r="154" spans="1:6" x14ac:dyDescent="0.25">
      <c r="A154" t="s">
        <v>401</v>
      </c>
      <c r="B154" t="s">
        <v>229</v>
      </c>
      <c r="C154" t="s">
        <v>230</v>
      </c>
      <c r="D154" t="s">
        <v>231</v>
      </c>
      <c r="E154" t="s">
        <v>232</v>
      </c>
      <c r="F154" t="s">
        <v>402</v>
      </c>
    </row>
    <row r="155" spans="1:6" x14ac:dyDescent="0.25">
      <c r="A155" t="s">
        <v>403</v>
      </c>
      <c r="B155" t="s">
        <v>53</v>
      </c>
      <c r="C155" t="s">
        <v>54</v>
      </c>
      <c r="D155" t="s">
        <v>55</v>
      </c>
      <c r="E155" t="s">
        <v>56</v>
      </c>
      <c r="F155" t="s">
        <v>404</v>
      </c>
    </row>
    <row r="156" spans="1:6" x14ac:dyDescent="0.25">
      <c r="A156" t="s">
        <v>405</v>
      </c>
      <c r="B156" t="s">
        <v>25</v>
      </c>
      <c r="C156" t="s">
        <v>26</v>
      </c>
      <c r="D156" t="s">
        <v>27</v>
      </c>
      <c r="E156" t="s">
        <v>28</v>
      </c>
      <c r="F156" t="s">
        <v>406</v>
      </c>
    </row>
    <row r="157" spans="1:6" x14ac:dyDescent="0.25">
      <c r="A157" t="s">
        <v>407</v>
      </c>
      <c r="B157" t="s">
        <v>53</v>
      </c>
      <c r="C157" t="s">
        <v>54</v>
      </c>
      <c r="D157" t="s">
        <v>55</v>
      </c>
      <c r="E157" t="s">
        <v>56</v>
      </c>
      <c r="F157" t="s">
        <v>408</v>
      </c>
    </row>
    <row r="158" spans="1:6" x14ac:dyDescent="0.25">
      <c r="A158" t="s">
        <v>409</v>
      </c>
      <c r="B158" t="s">
        <v>53</v>
      </c>
      <c r="C158" t="s">
        <v>54</v>
      </c>
      <c r="D158" t="s">
        <v>55</v>
      </c>
      <c r="E158" t="s">
        <v>56</v>
      </c>
      <c r="F158" t="s">
        <v>410</v>
      </c>
    </row>
    <row r="159" spans="1:6" x14ac:dyDescent="0.25">
      <c r="A159" t="s">
        <v>411</v>
      </c>
      <c r="B159" t="s">
        <v>53</v>
      </c>
      <c r="C159" t="s">
        <v>54</v>
      </c>
      <c r="D159" t="s">
        <v>55</v>
      </c>
      <c r="E159" t="s">
        <v>56</v>
      </c>
      <c r="F159" t="s">
        <v>412</v>
      </c>
    </row>
    <row r="160" spans="1:6" x14ac:dyDescent="0.25">
      <c r="A160" t="s">
        <v>413</v>
      </c>
      <c r="B160" t="s">
        <v>128</v>
      </c>
      <c r="C160" t="s">
        <v>129</v>
      </c>
      <c r="D160" t="s">
        <v>130</v>
      </c>
      <c r="E160" t="s">
        <v>131</v>
      </c>
      <c r="F160" t="e">
        <v>#VALUE!</v>
      </c>
    </row>
    <row r="161" spans="1:6" x14ac:dyDescent="0.25">
      <c r="A161" t="s">
        <v>414</v>
      </c>
      <c r="B161" t="s">
        <v>65</v>
      </c>
      <c r="C161" t="s">
        <v>66</v>
      </c>
      <c r="D161" t="s">
        <v>67</v>
      </c>
      <c r="E161" t="s">
        <v>68</v>
      </c>
      <c r="F161" t="s">
        <v>415</v>
      </c>
    </row>
    <row r="162" spans="1:6" x14ac:dyDescent="0.25">
      <c r="A162" t="s">
        <v>416</v>
      </c>
      <c r="B162" t="s">
        <v>65</v>
      </c>
      <c r="C162" t="s">
        <v>66</v>
      </c>
      <c r="D162" t="s">
        <v>67</v>
      </c>
      <c r="E162" t="s">
        <v>68</v>
      </c>
      <c r="F162" t="s">
        <v>417</v>
      </c>
    </row>
    <row r="163" spans="1:6" x14ac:dyDescent="0.25">
      <c r="A163" t="s">
        <v>418</v>
      </c>
      <c r="B163" t="s">
        <v>419</v>
      </c>
      <c r="C163" t="s">
        <v>420</v>
      </c>
      <c r="D163" t="s">
        <v>421</v>
      </c>
      <c r="E163" t="s">
        <v>422</v>
      </c>
      <c r="F163" t="s">
        <v>423</v>
      </c>
    </row>
    <row r="164" spans="1:6" x14ac:dyDescent="0.25">
      <c r="A164" t="s">
        <v>424</v>
      </c>
      <c r="B164" t="s">
        <v>53</v>
      </c>
      <c r="C164" t="s">
        <v>54</v>
      </c>
      <c r="D164" t="s">
        <v>55</v>
      </c>
      <c r="E164" t="s">
        <v>56</v>
      </c>
      <c r="F164" t="s">
        <v>425</v>
      </c>
    </row>
    <row r="165" spans="1:6" x14ac:dyDescent="0.25">
      <c r="A165" t="s">
        <v>426</v>
      </c>
      <c r="B165" t="s">
        <v>37</v>
      </c>
      <c r="C165" t="s">
        <v>38</v>
      </c>
      <c r="D165" t="s">
        <v>39</v>
      </c>
      <c r="E165" t="s">
        <v>40</v>
      </c>
      <c r="F165" t="s">
        <v>427</v>
      </c>
    </row>
    <row r="166" spans="1:6" x14ac:dyDescent="0.25">
      <c r="A166" t="s">
        <v>428</v>
      </c>
      <c r="B166" t="s">
        <v>37</v>
      </c>
      <c r="C166" t="s">
        <v>38</v>
      </c>
      <c r="D166" t="s">
        <v>39</v>
      </c>
      <c r="E166" t="s">
        <v>40</v>
      </c>
      <c r="F166" t="s">
        <v>429</v>
      </c>
    </row>
    <row r="167" spans="1:6" x14ac:dyDescent="0.25">
      <c r="A167" t="s">
        <v>430</v>
      </c>
      <c r="B167" t="s">
        <v>53</v>
      </c>
      <c r="C167" t="s">
        <v>54</v>
      </c>
      <c r="D167" t="s">
        <v>55</v>
      </c>
      <c r="E167" t="s">
        <v>56</v>
      </c>
      <c r="F167" t="s">
        <v>431</v>
      </c>
    </row>
    <row r="168" spans="1:6" x14ac:dyDescent="0.25">
      <c r="A168" t="s">
        <v>432</v>
      </c>
      <c r="B168" t="s">
        <v>31</v>
      </c>
      <c r="C168" t="s">
        <v>32</v>
      </c>
      <c r="D168" t="s">
        <v>33</v>
      </c>
      <c r="E168" t="s">
        <v>34</v>
      </c>
      <c r="F168" t="s">
        <v>433</v>
      </c>
    </row>
    <row r="169" spans="1:6" x14ac:dyDescent="0.25">
      <c r="A169" t="s">
        <v>434</v>
      </c>
      <c r="B169" t="s">
        <v>65</v>
      </c>
      <c r="C169" t="s">
        <v>66</v>
      </c>
      <c r="D169" t="s">
        <v>67</v>
      </c>
      <c r="E169" t="s">
        <v>68</v>
      </c>
      <c r="F169" t="s">
        <v>435</v>
      </c>
    </row>
    <row r="170" spans="1:6" x14ac:dyDescent="0.25">
      <c r="A170" t="s">
        <v>436</v>
      </c>
      <c r="B170" t="s">
        <v>31</v>
      </c>
      <c r="C170" t="s">
        <v>32</v>
      </c>
      <c r="D170" t="s">
        <v>33</v>
      </c>
      <c r="E170" t="s">
        <v>34</v>
      </c>
      <c r="F170" t="s">
        <v>437</v>
      </c>
    </row>
    <row r="171" spans="1:6" x14ac:dyDescent="0.25">
      <c r="A171" t="s">
        <v>438</v>
      </c>
      <c r="B171" t="s">
        <v>37</v>
      </c>
      <c r="C171" t="s">
        <v>38</v>
      </c>
      <c r="D171" t="s">
        <v>39</v>
      </c>
      <c r="E171" t="s">
        <v>40</v>
      </c>
      <c r="F171" t="s">
        <v>439</v>
      </c>
    </row>
    <row r="172" spans="1:6" x14ac:dyDescent="0.25">
      <c r="A172" t="s">
        <v>440</v>
      </c>
      <c r="B172" t="s">
        <v>10</v>
      </c>
      <c r="C172" t="s">
        <v>11</v>
      </c>
      <c r="D172" t="e">
        <v>#VALUE!</v>
      </c>
      <c r="E172" t="e">
        <v>#VALUE!</v>
      </c>
      <c r="F172" t="s">
        <v>441</v>
      </c>
    </row>
    <row r="173" spans="1:6" x14ac:dyDescent="0.25">
      <c r="A173" t="s">
        <v>442</v>
      </c>
      <c r="B173" t="s">
        <v>310</v>
      </c>
      <c r="C173" t="s">
        <v>311</v>
      </c>
      <c r="D173" t="s">
        <v>312</v>
      </c>
      <c r="E173" t="s">
        <v>313</v>
      </c>
      <c r="F173" t="s">
        <v>443</v>
      </c>
    </row>
    <row r="174" spans="1:6" x14ac:dyDescent="0.25">
      <c r="A174" t="s">
        <v>444</v>
      </c>
      <c r="B174" t="s">
        <v>53</v>
      </c>
      <c r="C174" t="s">
        <v>54</v>
      </c>
      <c r="D174" t="s">
        <v>55</v>
      </c>
      <c r="E174" t="s">
        <v>56</v>
      </c>
      <c r="F174" t="s">
        <v>445</v>
      </c>
    </row>
    <row r="175" spans="1:6" x14ac:dyDescent="0.25">
      <c r="A175" t="s">
        <v>446</v>
      </c>
      <c r="B175" t="s">
        <v>25</v>
      </c>
      <c r="C175" t="s">
        <v>26</v>
      </c>
      <c r="D175" t="s">
        <v>27</v>
      </c>
      <c r="E175" t="s">
        <v>28</v>
      </c>
      <c r="F175" t="s">
        <v>447</v>
      </c>
    </row>
    <row r="176" spans="1:6" x14ac:dyDescent="0.25">
      <c r="A176" t="s">
        <v>448</v>
      </c>
      <c r="B176" t="s">
        <v>31</v>
      </c>
      <c r="C176" t="s">
        <v>32</v>
      </c>
      <c r="D176" t="s">
        <v>33</v>
      </c>
      <c r="E176" t="s">
        <v>34</v>
      </c>
      <c r="F176" t="s">
        <v>449</v>
      </c>
    </row>
    <row r="177" spans="1:6" x14ac:dyDescent="0.25">
      <c r="A177" t="s">
        <v>450</v>
      </c>
      <c r="B177" t="s">
        <v>93</v>
      </c>
      <c r="C177" t="s">
        <v>94</v>
      </c>
      <c r="D177" t="s">
        <v>95</v>
      </c>
      <c r="E177" t="s">
        <v>96</v>
      </c>
      <c r="F177" t="s">
        <v>451</v>
      </c>
    </row>
    <row r="178" spans="1:6" x14ac:dyDescent="0.25">
      <c r="A178" t="s">
        <v>452</v>
      </c>
      <c r="B178" t="s">
        <v>37</v>
      </c>
      <c r="C178" t="s">
        <v>38</v>
      </c>
      <c r="D178" t="s">
        <v>39</v>
      </c>
      <c r="E178" t="s">
        <v>40</v>
      </c>
      <c r="F178" t="s">
        <v>167</v>
      </c>
    </row>
    <row r="179" spans="1:6" x14ac:dyDescent="0.25">
      <c r="A179" t="s">
        <v>453</v>
      </c>
      <c r="B179" t="s">
        <v>37</v>
      </c>
      <c r="C179" t="s">
        <v>38</v>
      </c>
      <c r="D179" t="s">
        <v>39</v>
      </c>
      <c r="E179" t="s">
        <v>40</v>
      </c>
      <c r="F179" t="s">
        <v>454</v>
      </c>
    </row>
    <row r="180" spans="1:6" x14ac:dyDescent="0.25">
      <c r="A180" t="s">
        <v>455</v>
      </c>
      <c r="B180" t="s">
        <v>20</v>
      </c>
      <c r="C180" t="s">
        <v>21</v>
      </c>
      <c r="D180" t="s">
        <v>22</v>
      </c>
      <c r="E180" t="s">
        <v>23</v>
      </c>
      <c r="F180" t="s">
        <v>456</v>
      </c>
    </row>
    <row r="181" spans="1:6" x14ac:dyDescent="0.25">
      <c r="A181" t="s">
        <v>457</v>
      </c>
      <c r="B181" t="s">
        <v>53</v>
      </c>
      <c r="C181" t="s">
        <v>54</v>
      </c>
      <c r="D181" t="s">
        <v>55</v>
      </c>
      <c r="E181" t="s">
        <v>56</v>
      </c>
      <c r="F181" t="s">
        <v>458</v>
      </c>
    </row>
    <row r="182" spans="1:6" x14ac:dyDescent="0.25">
      <c r="A182" t="s">
        <v>459</v>
      </c>
      <c r="B182" t="s">
        <v>37</v>
      </c>
      <c r="C182" t="s">
        <v>38</v>
      </c>
      <c r="D182" t="s">
        <v>39</v>
      </c>
      <c r="E182" t="s">
        <v>40</v>
      </c>
      <c r="F182" t="s">
        <v>460</v>
      </c>
    </row>
    <row r="183" spans="1:6" x14ac:dyDescent="0.25">
      <c r="A183" t="s">
        <v>461</v>
      </c>
      <c r="B183" t="s">
        <v>65</v>
      </c>
      <c r="C183" t="s">
        <v>66</v>
      </c>
      <c r="D183" t="s">
        <v>67</v>
      </c>
      <c r="E183" t="s">
        <v>68</v>
      </c>
      <c r="F183" t="s">
        <v>462</v>
      </c>
    </row>
    <row r="184" spans="1:6" x14ac:dyDescent="0.25">
      <c r="A184" t="s">
        <v>463</v>
      </c>
      <c r="B184" t="s">
        <v>37</v>
      </c>
      <c r="C184" t="s">
        <v>38</v>
      </c>
      <c r="D184" t="s">
        <v>39</v>
      </c>
      <c r="E184" t="s">
        <v>40</v>
      </c>
      <c r="F184" t="s">
        <v>464</v>
      </c>
    </row>
    <row r="185" spans="1:6" x14ac:dyDescent="0.25">
      <c r="A185" t="s">
        <v>465</v>
      </c>
      <c r="B185" t="s">
        <v>53</v>
      </c>
      <c r="C185" t="s">
        <v>54</v>
      </c>
      <c r="D185" t="s">
        <v>55</v>
      </c>
      <c r="E185" t="s">
        <v>56</v>
      </c>
      <c r="F185" t="s">
        <v>466</v>
      </c>
    </row>
    <row r="186" spans="1:6" x14ac:dyDescent="0.25">
      <c r="A186" t="s">
        <v>467</v>
      </c>
      <c r="B186" t="s">
        <v>20</v>
      </c>
      <c r="C186" t="s">
        <v>21</v>
      </c>
      <c r="D186" t="s">
        <v>22</v>
      </c>
      <c r="E186" t="s">
        <v>23</v>
      </c>
      <c r="F186" t="s">
        <v>468</v>
      </c>
    </row>
    <row r="187" spans="1:6" x14ac:dyDescent="0.25">
      <c r="A187" t="s">
        <v>469</v>
      </c>
      <c r="B187" t="s">
        <v>31</v>
      </c>
      <c r="C187" t="s">
        <v>32</v>
      </c>
      <c r="D187" t="s">
        <v>33</v>
      </c>
      <c r="E187" t="s">
        <v>34</v>
      </c>
      <c r="F187" t="s">
        <v>470</v>
      </c>
    </row>
    <row r="188" spans="1:6" x14ac:dyDescent="0.25">
      <c r="A188" t="s">
        <v>471</v>
      </c>
      <c r="B188" t="s">
        <v>25</v>
      </c>
      <c r="C188" t="s">
        <v>26</v>
      </c>
      <c r="D188" t="s">
        <v>27</v>
      </c>
      <c r="E188" t="s">
        <v>28</v>
      </c>
      <c r="F188" t="s">
        <v>472</v>
      </c>
    </row>
    <row r="189" spans="1:6" x14ac:dyDescent="0.25">
      <c r="A189" t="s">
        <v>473</v>
      </c>
      <c r="B189" t="s">
        <v>93</v>
      </c>
      <c r="C189" t="s">
        <v>94</v>
      </c>
      <c r="D189" t="s">
        <v>95</v>
      </c>
      <c r="E189" t="s">
        <v>96</v>
      </c>
      <c r="F189" t="s">
        <v>474</v>
      </c>
    </row>
    <row r="190" spans="1:6" x14ac:dyDescent="0.25">
      <c r="A190" t="s">
        <v>475</v>
      </c>
      <c r="B190" t="s">
        <v>25</v>
      </c>
      <c r="C190" t="s">
        <v>26</v>
      </c>
      <c r="D190" t="s">
        <v>27</v>
      </c>
      <c r="E190" t="s">
        <v>28</v>
      </c>
      <c r="F190" t="s">
        <v>476</v>
      </c>
    </row>
    <row r="191" spans="1:6" x14ac:dyDescent="0.25">
      <c r="A191" t="s">
        <v>477</v>
      </c>
      <c r="B191" t="s">
        <v>25</v>
      </c>
      <c r="C191" t="s">
        <v>26</v>
      </c>
      <c r="D191" t="s">
        <v>27</v>
      </c>
      <c r="E191" t="s">
        <v>28</v>
      </c>
      <c r="F191" t="s">
        <v>478</v>
      </c>
    </row>
    <row r="192" spans="1:6" x14ac:dyDescent="0.25">
      <c r="A192" t="s">
        <v>479</v>
      </c>
      <c r="B192" t="s">
        <v>93</v>
      </c>
      <c r="C192" t="s">
        <v>94</v>
      </c>
      <c r="D192" t="s">
        <v>95</v>
      </c>
      <c r="E192" t="s">
        <v>96</v>
      </c>
      <c r="F192" t="s">
        <v>480</v>
      </c>
    </row>
    <row r="193" spans="1:6" x14ac:dyDescent="0.25">
      <c r="A193" t="s">
        <v>481</v>
      </c>
      <c r="B193" t="s">
        <v>350</v>
      </c>
      <c r="C193" t="s">
        <v>351</v>
      </c>
      <c r="D193" t="s">
        <v>352</v>
      </c>
      <c r="E193" t="s">
        <v>353</v>
      </c>
      <c r="F193" t="s">
        <v>482</v>
      </c>
    </row>
    <row r="194" spans="1:6" x14ac:dyDescent="0.25">
      <c r="A194" t="s">
        <v>483</v>
      </c>
      <c r="B194" t="s">
        <v>65</v>
      </c>
      <c r="C194" t="s">
        <v>66</v>
      </c>
      <c r="D194" t="s">
        <v>67</v>
      </c>
      <c r="E194" t="s">
        <v>68</v>
      </c>
      <c r="F194" t="s">
        <v>484</v>
      </c>
    </row>
    <row r="195" spans="1:6" x14ac:dyDescent="0.25">
      <c r="A195" t="s">
        <v>485</v>
      </c>
      <c r="B195" t="s">
        <v>65</v>
      </c>
      <c r="C195" t="s">
        <v>66</v>
      </c>
      <c r="D195" t="s">
        <v>67</v>
      </c>
      <c r="E195" t="s">
        <v>68</v>
      </c>
      <c r="F195" t="s">
        <v>486</v>
      </c>
    </row>
    <row r="196" spans="1:6" x14ac:dyDescent="0.25">
      <c r="A196" t="s">
        <v>487</v>
      </c>
      <c r="B196" t="s">
        <v>25</v>
      </c>
      <c r="C196" t="s">
        <v>26</v>
      </c>
      <c r="D196" t="s">
        <v>27</v>
      </c>
      <c r="E196" t="s">
        <v>28</v>
      </c>
      <c r="F196" t="s">
        <v>488</v>
      </c>
    </row>
    <row r="197" spans="1:6" x14ac:dyDescent="0.25">
      <c r="A197" t="s">
        <v>489</v>
      </c>
      <c r="B197" t="s">
        <v>65</v>
      </c>
      <c r="C197" t="s">
        <v>66</v>
      </c>
      <c r="D197" t="s">
        <v>67</v>
      </c>
      <c r="E197" t="s">
        <v>68</v>
      </c>
      <c r="F197" t="s">
        <v>490</v>
      </c>
    </row>
    <row r="198" spans="1:6" x14ac:dyDescent="0.25">
      <c r="A198" t="s">
        <v>491</v>
      </c>
      <c r="B198" t="s">
        <v>25</v>
      </c>
      <c r="C198" t="s">
        <v>26</v>
      </c>
      <c r="D198" t="s">
        <v>27</v>
      </c>
      <c r="E198" t="s">
        <v>28</v>
      </c>
      <c r="F198" t="s">
        <v>492</v>
      </c>
    </row>
    <row r="199" spans="1:6" x14ac:dyDescent="0.25">
      <c r="A199" t="s">
        <v>493</v>
      </c>
      <c r="B199" t="s">
        <v>53</v>
      </c>
      <c r="C199" t="s">
        <v>54</v>
      </c>
      <c r="D199" t="s">
        <v>55</v>
      </c>
      <c r="E199" t="s">
        <v>56</v>
      </c>
      <c r="F199" t="s">
        <v>494</v>
      </c>
    </row>
    <row r="200" spans="1:6" x14ac:dyDescent="0.25">
      <c r="A200" t="s">
        <v>495</v>
      </c>
      <c r="B200" t="s">
        <v>336</v>
      </c>
      <c r="C200" t="s">
        <v>337</v>
      </c>
      <c r="D200" t="s">
        <v>338</v>
      </c>
      <c r="E200" t="s">
        <v>339</v>
      </c>
      <c r="F200" t="s">
        <v>496</v>
      </c>
    </row>
    <row r="201" spans="1:6" x14ac:dyDescent="0.25">
      <c r="A201" t="s">
        <v>497</v>
      </c>
      <c r="B201" t="s">
        <v>65</v>
      </c>
      <c r="C201" t="s">
        <v>66</v>
      </c>
      <c r="D201" t="s">
        <v>67</v>
      </c>
      <c r="E201" t="s">
        <v>68</v>
      </c>
      <c r="F201" t="s">
        <v>498</v>
      </c>
    </row>
    <row r="202" spans="1:6" x14ac:dyDescent="0.25">
      <c r="A202" t="s">
        <v>499</v>
      </c>
      <c r="B202" t="s">
        <v>65</v>
      </c>
      <c r="C202" t="s">
        <v>66</v>
      </c>
      <c r="D202" t="s">
        <v>67</v>
      </c>
      <c r="E202" t="s">
        <v>68</v>
      </c>
      <c r="F202" t="s">
        <v>500</v>
      </c>
    </row>
    <row r="203" spans="1:6" x14ac:dyDescent="0.25">
      <c r="A203" t="s">
        <v>501</v>
      </c>
      <c r="B203" t="s">
        <v>93</v>
      </c>
      <c r="C203" t="s">
        <v>94</v>
      </c>
      <c r="D203" t="s">
        <v>95</v>
      </c>
      <c r="E203" t="s">
        <v>96</v>
      </c>
      <c r="F203" t="s">
        <v>502</v>
      </c>
    </row>
    <row r="204" spans="1:6" x14ac:dyDescent="0.25">
      <c r="A204" t="s">
        <v>503</v>
      </c>
      <c r="B204" t="s">
        <v>93</v>
      </c>
      <c r="C204" t="s">
        <v>94</v>
      </c>
      <c r="D204" t="s">
        <v>95</v>
      </c>
      <c r="E204" t="s">
        <v>96</v>
      </c>
      <c r="F204" t="s">
        <v>504</v>
      </c>
    </row>
    <row r="205" spans="1:6" x14ac:dyDescent="0.25">
      <c r="A205" t="s">
        <v>505</v>
      </c>
      <c r="B205" t="s">
        <v>65</v>
      </c>
      <c r="C205" t="s">
        <v>66</v>
      </c>
      <c r="D205" t="s">
        <v>67</v>
      </c>
      <c r="E205" t="s">
        <v>68</v>
      </c>
      <c r="F205" t="s">
        <v>506</v>
      </c>
    </row>
    <row r="206" spans="1:6" x14ac:dyDescent="0.25">
      <c r="A206" t="s">
        <v>507</v>
      </c>
      <c r="B206" t="s">
        <v>93</v>
      </c>
      <c r="C206" t="s">
        <v>94</v>
      </c>
      <c r="D206" t="s">
        <v>95</v>
      </c>
      <c r="E206" t="s">
        <v>96</v>
      </c>
      <c r="F206" t="s">
        <v>508</v>
      </c>
    </row>
    <row r="207" spans="1:6" x14ac:dyDescent="0.25">
      <c r="A207" t="s">
        <v>509</v>
      </c>
      <c r="B207" t="s">
        <v>65</v>
      </c>
      <c r="C207" t="s">
        <v>66</v>
      </c>
      <c r="D207" t="s">
        <v>67</v>
      </c>
      <c r="E207" t="s">
        <v>68</v>
      </c>
      <c r="F207" t="s">
        <v>510</v>
      </c>
    </row>
    <row r="208" spans="1:6" x14ac:dyDescent="0.25">
      <c r="A208" t="s">
        <v>511</v>
      </c>
      <c r="B208" t="s">
        <v>65</v>
      </c>
      <c r="C208" t="s">
        <v>66</v>
      </c>
      <c r="D208" t="s">
        <v>67</v>
      </c>
      <c r="E208" t="s">
        <v>68</v>
      </c>
      <c r="F208" t="s">
        <v>512</v>
      </c>
    </row>
    <row r="209" spans="1:6" x14ac:dyDescent="0.25">
      <c r="A209" t="s">
        <v>513</v>
      </c>
      <c r="B209" t="s">
        <v>336</v>
      </c>
      <c r="C209" t="s">
        <v>337</v>
      </c>
      <c r="D209" t="s">
        <v>338</v>
      </c>
      <c r="E209" t="s">
        <v>339</v>
      </c>
      <c r="F209" t="s">
        <v>514</v>
      </c>
    </row>
    <row r="210" spans="1:6" x14ac:dyDescent="0.25">
      <c r="A210" t="s">
        <v>515</v>
      </c>
      <c r="B210" t="s">
        <v>31</v>
      </c>
      <c r="C210" t="s">
        <v>32</v>
      </c>
      <c r="D210" t="s">
        <v>33</v>
      </c>
      <c r="E210" t="s">
        <v>34</v>
      </c>
      <c r="F210" t="s">
        <v>516</v>
      </c>
    </row>
    <row r="211" spans="1:6" x14ac:dyDescent="0.25">
      <c r="A211" t="s">
        <v>517</v>
      </c>
      <c r="B211" t="s">
        <v>45</v>
      </c>
      <c r="C211" t="s">
        <v>46</v>
      </c>
      <c r="D211" t="s">
        <v>47</v>
      </c>
      <c r="E211" t="s">
        <v>48</v>
      </c>
      <c r="F211" t="s">
        <v>518</v>
      </c>
    </row>
    <row r="212" spans="1:6" x14ac:dyDescent="0.25">
      <c r="A212" t="s">
        <v>519</v>
      </c>
      <c r="B212" t="s">
        <v>31</v>
      </c>
      <c r="C212" t="s">
        <v>32</v>
      </c>
      <c r="D212" t="s">
        <v>33</v>
      </c>
      <c r="E212" t="s">
        <v>34</v>
      </c>
      <c r="F212" t="s">
        <v>520</v>
      </c>
    </row>
    <row r="213" spans="1:6" x14ac:dyDescent="0.25">
      <c r="A213" t="s">
        <v>521</v>
      </c>
      <c r="B213" t="s">
        <v>229</v>
      </c>
      <c r="C213" t="s">
        <v>230</v>
      </c>
      <c r="D213" t="s">
        <v>231</v>
      </c>
      <c r="E213" t="s">
        <v>232</v>
      </c>
      <c r="F213" t="s">
        <v>522</v>
      </c>
    </row>
    <row r="214" spans="1:6" x14ac:dyDescent="0.25">
      <c r="A214" t="s">
        <v>523</v>
      </c>
      <c r="B214" t="s">
        <v>37</v>
      </c>
      <c r="C214" t="s">
        <v>38</v>
      </c>
      <c r="D214" t="s">
        <v>39</v>
      </c>
      <c r="E214" t="s">
        <v>40</v>
      </c>
      <c r="F214" t="s">
        <v>524</v>
      </c>
    </row>
    <row r="215" spans="1:6" x14ac:dyDescent="0.25">
      <c r="A215" t="s">
        <v>525</v>
      </c>
      <c r="B215" t="s">
        <v>53</v>
      </c>
      <c r="C215" t="s">
        <v>54</v>
      </c>
      <c r="D215" t="s">
        <v>55</v>
      </c>
      <c r="E215" t="s">
        <v>56</v>
      </c>
      <c r="F215" t="s">
        <v>526</v>
      </c>
    </row>
    <row r="216" spans="1:6" x14ac:dyDescent="0.25">
      <c r="A216" t="s">
        <v>527</v>
      </c>
      <c r="B216" t="s">
        <v>10</v>
      </c>
      <c r="C216" t="s">
        <v>11</v>
      </c>
      <c r="D216" t="e">
        <v>#VALUE!</v>
      </c>
      <c r="E216" t="e">
        <v>#VALUE!</v>
      </c>
      <c r="F216" t="s">
        <v>528</v>
      </c>
    </row>
    <row r="217" spans="1:6" x14ac:dyDescent="0.25">
      <c r="A217" t="s">
        <v>529</v>
      </c>
      <c r="B217" t="s">
        <v>310</v>
      </c>
      <c r="C217" t="s">
        <v>311</v>
      </c>
      <c r="D217" t="s">
        <v>312</v>
      </c>
      <c r="E217" t="s">
        <v>313</v>
      </c>
      <c r="F217" t="s">
        <v>530</v>
      </c>
    </row>
    <row r="218" spans="1:6" x14ac:dyDescent="0.25">
      <c r="A218" t="s">
        <v>531</v>
      </c>
      <c r="B218" t="s">
        <v>65</v>
      </c>
      <c r="C218" t="s">
        <v>66</v>
      </c>
      <c r="D218" t="s">
        <v>67</v>
      </c>
      <c r="E218" t="s">
        <v>68</v>
      </c>
      <c r="F218" t="s">
        <v>532</v>
      </c>
    </row>
    <row r="219" spans="1:6" x14ac:dyDescent="0.25">
      <c r="A219" t="s">
        <v>533</v>
      </c>
      <c r="B219" t="s">
        <v>65</v>
      </c>
      <c r="C219" t="s">
        <v>66</v>
      </c>
      <c r="D219" t="s">
        <v>67</v>
      </c>
      <c r="E219" t="s">
        <v>68</v>
      </c>
      <c r="F219" t="s">
        <v>534</v>
      </c>
    </row>
    <row r="220" spans="1:6" x14ac:dyDescent="0.25">
      <c r="A220" t="s">
        <v>535</v>
      </c>
      <c r="B220" t="s">
        <v>93</v>
      </c>
      <c r="C220" t="s">
        <v>94</v>
      </c>
      <c r="D220" t="s">
        <v>95</v>
      </c>
      <c r="E220" t="s">
        <v>96</v>
      </c>
      <c r="F220" t="s">
        <v>536</v>
      </c>
    </row>
    <row r="221" spans="1:6" x14ac:dyDescent="0.25">
      <c r="A221" t="s">
        <v>537</v>
      </c>
      <c r="B221" t="s">
        <v>107</v>
      </c>
      <c r="C221" t="s">
        <v>108</v>
      </c>
      <c r="D221" t="s">
        <v>109</v>
      </c>
      <c r="E221" t="s">
        <v>110</v>
      </c>
      <c r="F221" t="s">
        <v>538</v>
      </c>
    </row>
    <row r="222" spans="1:6" x14ac:dyDescent="0.25">
      <c r="A222" t="s">
        <v>539</v>
      </c>
      <c r="B222" t="s">
        <v>540</v>
      </c>
      <c r="C222" t="s">
        <v>541</v>
      </c>
      <c r="D222" t="s">
        <v>542</v>
      </c>
      <c r="E222" t="s">
        <v>543</v>
      </c>
      <c r="F222" t="s">
        <v>544</v>
      </c>
    </row>
    <row r="223" spans="1:6" x14ac:dyDescent="0.25">
      <c r="A223" t="s">
        <v>545</v>
      </c>
      <c r="B223" t="s">
        <v>45</v>
      </c>
      <c r="C223" t="s">
        <v>46</v>
      </c>
      <c r="D223" t="s">
        <v>47</v>
      </c>
      <c r="E223" t="s">
        <v>48</v>
      </c>
      <c r="F223" t="s">
        <v>546</v>
      </c>
    </row>
    <row r="224" spans="1:6" x14ac:dyDescent="0.25">
      <c r="A224" t="s">
        <v>547</v>
      </c>
      <c r="B224" t="s">
        <v>548</v>
      </c>
      <c r="C224" t="s">
        <v>549</v>
      </c>
      <c r="D224" t="s">
        <v>550</v>
      </c>
      <c r="E224" t="s">
        <v>551</v>
      </c>
      <c r="F224" t="s">
        <v>552</v>
      </c>
    </row>
    <row r="225" spans="1:6" x14ac:dyDescent="0.25">
      <c r="A225" t="s">
        <v>553</v>
      </c>
      <c r="B225" t="s">
        <v>37</v>
      </c>
      <c r="C225" t="s">
        <v>38</v>
      </c>
      <c r="D225" t="s">
        <v>39</v>
      </c>
      <c r="E225" t="s">
        <v>40</v>
      </c>
      <c r="F225" t="s">
        <v>554</v>
      </c>
    </row>
    <row r="226" spans="1:6" x14ac:dyDescent="0.25">
      <c r="A226" t="s">
        <v>555</v>
      </c>
      <c r="B226" t="s">
        <v>336</v>
      </c>
      <c r="C226" t="s">
        <v>337</v>
      </c>
      <c r="D226" t="s">
        <v>338</v>
      </c>
      <c r="E226" t="s">
        <v>339</v>
      </c>
      <c r="F226" t="s">
        <v>556</v>
      </c>
    </row>
    <row r="227" spans="1:6" x14ac:dyDescent="0.25">
      <c r="A227" t="s">
        <v>557</v>
      </c>
      <c r="B227" t="s">
        <v>65</v>
      </c>
      <c r="C227" t="s">
        <v>66</v>
      </c>
      <c r="D227" t="s">
        <v>67</v>
      </c>
      <c r="E227" t="s">
        <v>68</v>
      </c>
      <c r="F227" t="s">
        <v>558</v>
      </c>
    </row>
    <row r="228" spans="1:6" x14ac:dyDescent="0.25">
      <c r="A228" t="s">
        <v>559</v>
      </c>
      <c r="B228" t="s">
        <v>93</v>
      </c>
      <c r="C228" t="s">
        <v>94</v>
      </c>
      <c r="D228" t="s">
        <v>95</v>
      </c>
      <c r="E228" t="s">
        <v>96</v>
      </c>
      <c r="F228" t="s">
        <v>560</v>
      </c>
    </row>
    <row r="229" spans="1:6" x14ac:dyDescent="0.25">
      <c r="A229" t="s">
        <v>561</v>
      </c>
      <c r="B229" t="s">
        <v>31</v>
      </c>
      <c r="C229" t="s">
        <v>32</v>
      </c>
      <c r="D229" t="s">
        <v>33</v>
      </c>
      <c r="E229" t="s">
        <v>34</v>
      </c>
      <c r="F229" t="s">
        <v>562</v>
      </c>
    </row>
    <row r="230" spans="1:6" x14ac:dyDescent="0.25">
      <c r="A230" t="s">
        <v>563</v>
      </c>
      <c r="B230" t="s">
        <v>93</v>
      </c>
      <c r="C230" t="s">
        <v>94</v>
      </c>
      <c r="D230" t="s">
        <v>95</v>
      </c>
      <c r="E230" t="s">
        <v>96</v>
      </c>
      <c r="F230" t="s">
        <v>564</v>
      </c>
    </row>
    <row r="231" spans="1:6" x14ac:dyDescent="0.25">
      <c r="A231" t="s">
        <v>565</v>
      </c>
      <c r="B231" t="s">
        <v>45</v>
      </c>
      <c r="C231" t="s">
        <v>46</v>
      </c>
      <c r="D231" t="s">
        <v>47</v>
      </c>
      <c r="E231" t="s">
        <v>48</v>
      </c>
      <c r="F231" t="s">
        <v>566</v>
      </c>
    </row>
    <row r="232" spans="1:6" x14ac:dyDescent="0.25">
      <c r="A232" t="s">
        <v>567</v>
      </c>
      <c r="B232" t="s">
        <v>10</v>
      </c>
      <c r="C232" t="s">
        <v>11</v>
      </c>
      <c r="D232" t="e">
        <v>#VALUE!</v>
      </c>
      <c r="E232" t="e">
        <v>#VALUE!</v>
      </c>
      <c r="F232" t="s">
        <v>568</v>
      </c>
    </row>
    <row r="233" spans="1:6" x14ac:dyDescent="0.25">
      <c r="A233" t="s">
        <v>569</v>
      </c>
      <c r="B233" t="s">
        <v>10</v>
      </c>
      <c r="C233" t="s">
        <v>11</v>
      </c>
      <c r="D233" t="e">
        <v>#VALUE!</v>
      </c>
      <c r="E233" t="e">
        <v>#VALUE!</v>
      </c>
      <c r="F233" t="s">
        <v>570</v>
      </c>
    </row>
    <row r="234" spans="1:6" x14ac:dyDescent="0.25">
      <c r="A234" t="s">
        <v>571</v>
      </c>
      <c r="B234" t="s">
        <v>31</v>
      </c>
      <c r="C234" t="s">
        <v>32</v>
      </c>
      <c r="D234" t="s">
        <v>33</v>
      </c>
      <c r="E234" t="s">
        <v>34</v>
      </c>
      <c r="F234" t="s">
        <v>572</v>
      </c>
    </row>
    <row r="235" spans="1:6" x14ac:dyDescent="0.25">
      <c r="A235" t="s">
        <v>573</v>
      </c>
      <c r="B235" t="s">
        <v>65</v>
      </c>
      <c r="C235" t="s">
        <v>66</v>
      </c>
      <c r="D235" t="s">
        <v>67</v>
      </c>
      <c r="E235" t="s">
        <v>68</v>
      </c>
      <c r="F235" t="s">
        <v>574</v>
      </c>
    </row>
    <row r="236" spans="1:6" x14ac:dyDescent="0.25">
      <c r="A236" t="s">
        <v>575</v>
      </c>
      <c r="B236" t="s">
        <v>336</v>
      </c>
      <c r="C236" t="s">
        <v>337</v>
      </c>
      <c r="D236" t="s">
        <v>338</v>
      </c>
      <c r="E236" t="s">
        <v>339</v>
      </c>
      <c r="F236" t="s">
        <v>576</v>
      </c>
    </row>
    <row r="237" spans="1:6" x14ac:dyDescent="0.25">
      <c r="A237" t="s">
        <v>577</v>
      </c>
      <c r="B237" t="s">
        <v>65</v>
      </c>
      <c r="C237" t="s">
        <v>66</v>
      </c>
      <c r="D237" t="s">
        <v>67</v>
      </c>
      <c r="E237" t="s">
        <v>68</v>
      </c>
      <c r="F237" t="s">
        <v>578</v>
      </c>
    </row>
    <row r="238" spans="1:6" x14ac:dyDescent="0.25">
      <c r="A238" t="s">
        <v>579</v>
      </c>
      <c r="B238" t="s">
        <v>65</v>
      </c>
      <c r="C238" t="s">
        <v>66</v>
      </c>
      <c r="D238" t="s">
        <v>67</v>
      </c>
      <c r="E238" t="s">
        <v>68</v>
      </c>
      <c r="F238" t="s">
        <v>580</v>
      </c>
    </row>
    <row r="239" spans="1:6" x14ac:dyDescent="0.25">
      <c r="A239" t="s">
        <v>581</v>
      </c>
      <c r="B239" t="s">
        <v>582</v>
      </c>
      <c r="C239" t="s">
        <v>583</v>
      </c>
      <c r="D239" t="s">
        <v>584</v>
      </c>
      <c r="E239" t="s">
        <v>585</v>
      </c>
      <c r="F239" t="s">
        <v>586</v>
      </c>
    </row>
    <row r="240" spans="1:6" x14ac:dyDescent="0.25">
      <c r="A240" t="s">
        <v>587</v>
      </c>
      <c r="B240" t="s">
        <v>65</v>
      </c>
      <c r="C240" t="s">
        <v>66</v>
      </c>
      <c r="D240" t="s">
        <v>67</v>
      </c>
      <c r="E240" t="s">
        <v>68</v>
      </c>
      <c r="F240" t="s">
        <v>588</v>
      </c>
    </row>
    <row r="241" spans="1:6" x14ac:dyDescent="0.25">
      <c r="A241" t="s">
        <v>589</v>
      </c>
      <c r="B241" t="s">
        <v>45</v>
      </c>
      <c r="C241" t="s">
        <v>46</v>
      </c>
      <c r="D241" t="s">
        <v>47</v>
      </c>
      <c r="E241" t="s">
        <v>48</v>
      </c>
      <c r="F241" t="s">
        <v>590</v>
      </c>
    </row>
    <row r="242" spans="1:6" x14ac:dyDescent="0.25">
      <c r="A242" t="s">
        <v>591</v>
      </c>
      <c r="B242" t="s">
        <v>25</v>
      </c>
      <c r="C242" t="s">
        <v>26</v>
      </c>
      <c r="D242" t="s">
        <v>27</v>
      </c>
      <c r="E242" t="s">
        <v>28</v>
      </c>
      <c r="F242" t="s">
        <v>592</v>
      </c>
    </row>
    <row r="243" spans="1:6" x14ac:dyDescent="0.25">
      <c r="A243" t="s">
        <v>593</v>
      </c>
      <c r="B243" t="s">
        <v>65</v>
      </c>
      <c r="C243" t="s">
        <v>66</v>
      </c>
      <c r="D243" t="s">
        <v>67</v>
      </c>
      <c r="E243" t="s">
        <v>68</v>
      </c>
      <c r="F243" t="s">
        <v>594</v>
      </c>
    </row>
    <row r="244" spans="1:6" x14ac:dyDescent="0.25">
      <c r="A244" t="s">
        <v>595</v>
      </c>
      <c r="B244" t="s">
        <v>53</v>
      </c>
      <c r="C244" t="s">
        <v>54</v>
      </c>
      <c r="D244" t="s">
        <v>55</v>
      </c>
      <c r="E244" t="s">
        <v>56</v>
      </c>
      <c r="F244" t="s">
        <v>596</v>
      </c>
    </row>
    <row r="245" spans="1:6" x14ac:dyDescent="0.25">
      <c r="A245" t="s">
        <v>597</v>
      </c>
      <c r="B245" t="s">
        <v>65</v>
      </c>
      <c r="C245" t="s">
        <v>66</v>
      </c>
      <c r="D245" t="s">
        <v>67</v>
      </c>
      <c r="E245" t="s">
        <v>68</v>
      </c>
      <c r="F245" t="s">
        <v>598</v>
      </c>
    </row>
    <row r="246" spans="1:6" x14ac:dyDescent="0.25">
      <c r="A246" t="s">
        <v>599</v>
      </c>
      <c r="B246" t="s">
        <v>107</v>
      </c>
      <c r="C246" t="s">
        <v>108</v>
      </c>
      <c r="D246" t="s">
        <v>109</v>
      </c>
      <c r="E246" t="s">
        <v>110</v>
      </c>
      <c r="F246" t="s">
        <v>600</v>
      </c>
    </row>
    <row r="247" spans="1:6" x14ac:dyDescent="0.25">
      <c r="A247" t="s">
        <v>601</v>
      </c>
      <c r="B247" t="s">
        <v>65</v>
      </c>
      <c r="C247" t="s">
        <v>66</v>
      </c>
      <c r="D247" t="s">
        <v>67</v>
      </c>
      <c r="E247" t="s">
        <v>68</v>
      </c>
      <c r="F247" t="s">
        <v>602</v>
      </c>
    </row>
    <row r="248" spans="1:6" x14ac:dyDescent="0.25">
      <c r="A248" t="s">
        <v>603</v>
      </c>
      <c r="B248" t="s">
        <v>37</v>
      </c>
      <c r="C248" t="s">
        <v>38</v>
      </c>
      <c r="D248" t="s">
        <v>39</v>
      </c>
      <c r="E248" t="s">
        <v>40</v>
      </c>
      <c r="F248" t="s">
        <v>604</v>
      </c>
    </row>
    <row r="249" spans="1:6" x14ac:dyDescent="0.25">
      <c r="A249" t="s">
        <v>605</v>
      </c>
      <c r="B249" t="s">
        <v>229</v>
      </c>
      <c r="C249" t="s">
        <v>230</v>
      </c>
      <c r="D249" t="s">
        <v>231</v>
      </c>
      <c r="E249" t="s">
        <v>232</v>
      </c>
      <c r="F249" t="s">
        <v>606</v>
      </c>
    </row>
    <row r="250" spans="1:6" x14ac:dyDescent="0.25">
      <c r="A250" t="s">
        <v>607</v>
      </c>
      <c r="B250" t="s">
        <v>336</v>
      </c>
      <c r="C250" t="s">
        <v>337</v>
      </c>
      <c r="D250" t="s">
        <v>338</v>
      </c>
      <c r="E250" t="s">
        <v>339</v>
      </c>
      <c r="F250" t="s">
        <v>608</v>
      </c>
    </row>
    <row r="251" spans="1:6" x14ac:dyDescent="0.25">
      <c r="A251" t="s">
        <v>609</v>
      </c>
      <c r="B251" t="s">
        <v>93</v>
      </c>
      <c r="C251" t="s">
        <v>94</v>
      </c>
      <c r="D251" t="s">
        <v>95</v>
      </c>
      <c r="E251" t="s">
        <v>96</v>
      </c>
      <c r="F251" t="s">
        <v>610</v>
      </c>
    </row>
    <row r="252" spans="1:6" x14ac:dyDescent="0.25">
      <c r="A252" t="s">
        <v>611</v>
      </c>
      <c r="B252" t="s">
        <v>31</v>
      </c>
      <c r="C252" t="s">
        <v>32</v>
      </c>
      <c r="D252" t="s">
        <v>33</v>
      </c>
      <c r="E252" t="s">
        <v>34</v>
      </c>
      <c r="F252" t="s">
        <v>612</v>
      </c>
    </row>
    <row r="253" spans="1:6" x14ac:dyDescent="0.25">
      <c r="A253" t="s">
        <v>613</v>
      </c>
      <c r="B253" t="s">
        <v>31</v>
      </c>
      <c r="C253" t="s">
        <v>32</v>
      </c>
      <c r="D253" t="s">
        <v>33</v>
      </c>
      <c r="E253" t="s">
        <v>34</v>
      </c>
      <c r="F253" t="s">
        <v>614</v>
      </c>
    </row>
    <row r="254" spans="1:6" x14ac:dyDescent="0.25">
      <c r="A254" t="s">
        <v>615</v>
      </c>
      <c r="B254" t="s">
        <v>45</v>
      </c>
      <c r="C254" t="s">
        <v>46</v>
      </c>
      <c r="D254" t="s">
        <v>47</v>
      </c>
      <c r="E254" t="s">
        <v>48</v>
      </c>
      <c r="F254" t="s">
        <v>616</v>
      </c>
    </row>
    <row r="255" spans="1:6" x14ac:dyDescent="0.25">
      <c r="A255" t="s">
        <v>617</v>
      </c>
      <c r="B255" t="s">
        <v>65</v>
      </c>
      <c r="C255" t="s">
        <v>66</v>
      </c>
      <c r="D255" t="s">
        <v>67</v>
      </c>
      <c r="E255" t="s">
        <v>68</v>
      </c>
      <c r="F255" t="s">
        <v>618</v>
      </c>
    </row>
    <row r="256" spans="1:6" x14ac:dyDescent="0.25">
      <c r="A256" t="s">
        <v>619</v>
      </c>
      <c r="B256" t="s">
        <v>65</v>
      </c>
      <c r="C256" t="s">
        <v>66</v>
      </c>
      <c r="D256" t="s">
        <v>67</v>
      </c>
      <c r="E256" t="s">
        <v>68</v>
      </c>
      <c r="F256" t="s">
        <v>620</v>
      </c>
    </row>
    <row r="257" spans="1:6" x14ac:dyDescent="0.25">
      <c r="A257" t="s">
        <v>621</v>
      </c>
      <c r="B257" t="s">
        <v>93</v>
      </c>
      <c r="C257" t="s">
        <v>94</v>
      </c>
      <c r="D257" t="s">
        <v>95</v>
      </c>
      <c r="E257" t="s">
        <v>96</v>
      </c>
      <c r="F257" t="s">
        <v>622</v>
      </c>
    </row>
    <row r="258" spans="1:6" x14ac:dyDescent="0.25">
      <c r="A258" t="s">
        <v>623</v>
      </c>
      <c r="B258" t="s">
        <v>65</v>
      </c>
      <c r="C258" t="s">
        <v>66</v>
      </c>
      <c r="D258" t="s">
        <v>67</v>
      </c>
      <c r="E258" t="s">
        <v>68</v>
      </c>
      <c r="F258" t="s">
        <v>624</v>
      </c>
    </row>
    <row r="259" spans="1:6" x14ac:dyDescent="0.25">
      <c r="A259" t="s">
        <v>625</v>
      </c>
      <c r="B259" t="s">
        <v>65</v>
      </c>
      <c r="C259" t="s">
        <v>66</v>
      </c>
      <c r="D259" t="s">
        <v>67</v>
      </c>
      <c r="E259" t="s">
        <v>68</v>
      </c>
      <c r="F259" t="s">
        <v>626</v>
      </c>
    </row>
    <row r="260" spans="1:6" x14ac:dyDescent="0.25">
      <c r="A260" t="s">
        <v>627</v>
      </c>
      <c r="B260" t="s">
        <v>93</v>
      </c>
      <c r="C260" t="s">
        <v>94</v>
      </c>
      <c r="D260" t="s">
        <v>95</v>
      </c>
      <c r="E260" t="s">
        <v>96</v>
      </c>
      <c r="F260" t="s">
        <v>628</v>
      </c>
    </row>
    <row r="261" spans="1:6" x14ac:dyDescent="0.25">
      <c r="A261" t="s">
        <v>629</v>
      </c>
      <c r="B261" t="s">
        <v>336</v>
      </c>
      <c r="C261" t="s">
        <v>337</v>
      </c>
      <c r="D261" t="s">
        <v>338</v>
      </c>
      <c r="E261" t="s">
        <v>339</v>
      </c>
      <c r="F261" t="s">
        <v>630</v>
      </c>
    </row>
    <row r="262" spans="1:6" x14ac:dyDescent="0.25">
      <c r="A262" t="s">
        <v>631</v>
      </c>
      <c r="B262" t="s">
        <v>107</v>
      </c>
      <c r="C262" t="s">
        <v>108</v>
      </c>
      <c r="D262" t="s">
        <v>109</v>
      </c>
      <c r="E262" t="s">
        <v>110</v>
      </c>
      <c r="F262" t="s">
        <v>632</v>
      </c>
    </row>
    <row r="263" spans="1:6" x14ac:dyDescent="0.25">
      <c r="A263" t="s">
        <v>633</v>
      </c>
      <c r="B263" t="s">
        <v>31</v>
      </c>
      <c r="C263" t="s">
        <v>32</v>
      </c>
      <c r="D263" t="s">
        <v>33</v>
      </c>
      <c r="E263" t="s">
        <v>34</v>
      </c>
      <c r="F263" t="s">
        <v>634</v>
      </c>
    </row>
    <row r="264" spans="1:6" x14ac:dyDescent="0.25">
      <c r="A264" t="s">
        <v>635</v>
      </c>
      <c r="B264" t="s">
        <v>394</v>
      </c>
      <c r="C264" t="s">
        <v>395</v>
      </c>
      <c r="D264" t="s">
        <v>396</v>
      </c>
      <c r="E264" t="s">
        <v>397</v>
      </c>
      <c r="F264" t="s">
        <v>636</v>
      </c>
    </row>
    <row r="265" spans="1:6" x14ac:dyDescent="0.25">
      <c r="A265" t="s">
        <v>637</v>
      </c>
      <c r="B265" t="s">
        <v>157</v>
      </c>
      <c r="C265" t="s">
        <v>158</v>
      </c>
      <c r="D265" t="s">
        <v>159</v>
      </c>
      <c r="E265" t="s">
        <v>160</v>
      </c>
      <c r="F265" t="s">
        <v>638</v>
      </c>
    </row>
    <row r="266" spans="1:6" x14ac:dyDescent="0.25">
      <c r="A266" t="s">
        <v>639</v>
      </c>
      <c r="B266" t="s">
        <v>157</v>
      </c>
      <c r="C266" t="s">
        <v>158</v>
      </c>
      <c r="D266" t="s">
        <v>159</v>
      </c>
      <c r="E266" t="s">
        <v>160</v>
      </c>
      <c r="F266" t="s">
        <v>640</v>
      </c>
    </row>
    <row r="267" spans="1:6" x14ac:dyDescent="0.25">
      <c r="A267" t="s">
        <v>641</v>
      </c>
      <c r="B267" t="s">
        <v>53</v>
      </c>
      <c r="C267" t="s">
        <v>54</v>
      </c>
      <c r="D267" t="s">
        <v>55</v>
      </c>
      <c r="E267" t="s">
        <v>56</v>
      </c>
      <c r="F267" t="s">
        <v>642</v>
      </c>
    </row>
    <row r="268" spans="1:6" x14ac:dyDescent="0.25">
      <c r="A268" t="s">
        <v>643</v>
      </c>
      <c r="B268" t="s">
        <v>93</v>
      </c>
      <c r="C268" t="s">
        <v>94</v>
      </c>
      <c r="D268" t="s">
        <v>95</v>
      </c>
      <c r="E268" t="s">
        <v>96</v>
      </c>
      <c r="F268" t="s">
        <v>644</v>
      </c>
    </row>
    <row r="269" spans="1:6" x14ac:dyDescent="0.25">
      <c r="A269" t="s">
        <v>645</v>
      </c>
      <c r="B269" t="s">
        <v>45</v>
      </c>
      <c r="C269" t="s">
        <v>46</v>
      </c>
      <c r="D269" t="s">
        <v>47</v>
      </c>
      <c r="E269" t="s">
        <v>48</v>
      </c>
      <c r="F269" t="s">
        <v>646</v>
      </c>
    </row>
    <row r="270" spans="1:6" x14ac:dyDescent="0.25">
      <c r="A270" t="s">
        <v>647</v>
      </c>
      <c r="B270" t="s">
        <v>53</v>
      </c>
      <c r="C270" t="s">
        <v>54</v>
      </c>
      <c r="D270" t="s">
        <v>55</v>
      </c>
      <c r="E270" t="s">
        <v>56</v>
      </c>
      <c r="F270" t="s">
        <v>648</v>
      </c>
    </row>
    <row r="271" spans="1:6" x14ac:dyDescent="0.25">
      <c r="A271" t="s">
        <v>649</v>
      </c>
      <c r="B271" t="s">
        <v>65</v>
      </c>
      <c r="C271" t="s">
        <v>66</v>
      </c>
      <c r="D271" t="s">
        <v>67</v>
      </c>
      <c r="E271" t="s">
        <v>68</v>
      </c>
      <c r="F271" t="s">
        <v>650</v>
      </c>
    </row>
    <row r="272" spans="1:6" x14ac:dyDescent="0.25">
      <c r="A272" t="s">
        <v>651</v>
      </c>
      <c r="B272" t="s">
        <v>93</v>
      </c>
      <c r="C272" t="s">
        <v>94</v>
      </c>
      <c r="D272" t="s">
        <v>95</v>
      </c>
      <c r="E272" t="s">
        <v>96</v>
      </c>
      <c r="F272" t="s">
        <v>652</v>
      </c>
    </row>
    <row r="273" spans="1:6" x14ac:dyDescent="0.25">
      <c r="A273" t="s">
        <v>653</v>
      </c>
      <c r="B273" t="s">
        <v>310</v>
      </c>
      <c r="C273" t="s">
        <v>311</v>
      </c>
      <c r="D273" t="s">
        <v>312</v>
      </c>
      <c r="E273" t="s">
        <v>313</v>
      </c>
      <c r="F273" t="s">
        <v>654</v>
      </c>
    </row>
    <row r="274" spans="1:6" x14ac:dyDescent="0.25">
      <c r="A274" t="s">
        <v>655</v>
      </c>
      <c r="B274" t="s">
        <v>65</v>
      </c>
      <c r="C274" t="s">
        <v>66</v>
      </c>
      <c r="D274" t="s">
        <v>67</v>
      </c>
      <c r="E274" t="s">
        <v>68</v>
      </c>
      <c r="F274" t="e">
        <v>#VALUE!</v>
      </c>
    </row>
    <row r="275" spans="1:6" x14ac:dyDescent="0.25">
      <c r="A275" t="s">
        <v>656</v>
      </c>
      <c r="B275" t="s">
        <v>93</v>
      </c>
      <c r="C275" t="s">
        <v>94</v>
      </c>
      <c r="D275" t="s">
        <v>95</v>
      </c>
      <c r="E275" t="s">
        <v>96</v>
      </c>
      <c r="F275" t="s">
        <v>657</v>
      </c>
    </row>
    <row r="276" spans="1:6" x14ac:dyDescent="0.25">
      <c r="A276" t="s">
        <v>658</v>
      </c>
      <c r="B276" t="s">
        <v>93</v>
      </c>
      <c r="C276" t="s">
        <v>94</v>
      </c>
      <c r="D276" t="s">
        <v>95</v>
      </c>
      <c r="E276" t="s">
        <v>96</v>
      </c>
      <c r="F276" t="s">
        <v>659</v>
      </c>
    </row>
    <row r="277" spans="1:6" x14ac:dyDescent="0.25">
      <c r="A277" t="s">
        <v>660</v>
      </c>
      <c r="B277" t="s">
        <v>71</v>
      </c>
      <c r="C277" t="s">
        <v>72</v>
      </c>
      <c r="D277" t="s">
        <v>73</v>
      </c>
      <c r="E277" t="s">
        <v>74</v>
      </c>
      <c r="F277" t="s">
        <v>661</v>
      </c>
    </row>
    <row r="278" spans="1:6" x14ac:dyDescent="0.25">
      <c r="A278" t="s">
        <v>662</v>
      </c>
      <c r="B278" t="s">
        <v>93</v>
      </c>
      <c r="C278" t="s">
        <v>94</v>
      </c>
      <c r="D278" t="s">
        <v>95</v>
      </c>
      <c r="E278" t="s">
        <v>96</v>
      </c>
      <c r="F278" t="s">
        <v>663</v>
      </c>
    </row>
    <row r="279" spans="1:6" x14ac:dyDescent="0.25">
      <c r="A279" t="s">
        <v>664</v>
      </c>
      <c r="B279" t="s">
        <v>93</v>
      </c>
      <c r="C279" t="s">
        <v>94</v>
      </c>
      <c r="D279" t="s">
        <v>95</v>
      </c>
      <c r="E279" t="s">
        <v>96</v>
      </c>
      <c r="F279" t="s">
        <v>665</v>
      </c>
    </row>
    <row r="280" spans="1:6" x14ac:dyDescent="0.25">
      <c r="A280" t="s">
        <v>666</v>
      </c>
      <c r="B280" t="s">
        <v>93</v>
      </c>
      <c r="C280" t="s">
        <v>94</v>
      </c>
      <c r="D280" t="s">
        <v>95</v>
      </c>
      <c r="E280" t="s">
        <v>96</v>
      </c>
      <c r="F280" t="s">
        <v>667</v>
      </c>
    </row>
    <row r="281" spans="1:6" x14ac:dyDescent="0.25">
      <c r="A281" t="s">
        <v>668</v>
      </c>
      <c r="B281" t="s">
        <v>669</v>
      </c>
      <c r="C281" t="s">
        <v>670</v>
      </c>
      <c r="D281" t="e">
        <v>#VALUE!</v>
      </c>
      <c r="E281" t="e">
        <v>#VALUE!</v>
      </c>
      <c r="F281" t="s">
        <v>671</v>
      </c>
    </row>
    <row r="282" spans="1:6" x14ac:dyDescent="0.25">
      <c r="A282" t="s">
        <v>672</v>
      </c>
      <c r="B282" t="s">
        <v>53</v>
      </c>
      <c r="C282" t="s">
        <v>54</v>
      </c>
      <c r="D282" t="s">
        <v>55</v>
      </c>
      <c r="E282" t="s">
        <v>56</v>
      </c>
      <c r="F282" t="s">
        <v>673</v>
      </c>
    </row>
    <row r="283" spans="1:6" x14ac:dyDescent="0.25">
      <c r="A283" t="s">
        <v>674</v>
      </c>
      <c r="B283" t="s">
        <v>93</v>
      </c>
      <c r="C283" t="s">
        <v>94</v>
      </c>
      <c r="D283" t="s">
        <v>95</v>
      </c>
      <c r="E283" t="s">
        <v>96</v>
      </c>
      <c r="F283" t="s">
        <v>675</v>
      </c>
    </row>
    <row r="284" spans="1:6" x14ac:dyDescent="0.25">
      <c r="A284" t="s">
        <v>676</v>
      </c>
      <c r="B284" t="s">
        <v>31</v>
      </c>
      <c r="C284" t="s">
        <v>32</v>
      </c>
      <c r="D284" t="s">
        <v>33</v>
      </c>
      <c r="E284" t="s">
        <v>34</v>
      </c>
      <c r="F284" t="s">
        <v>677</v>
      </c>
    </row>
    <row r="285" spans="1:6" x14ac:dyDescent="0.25">
      <c r="A285" t="s">
        <v>678</v>
      </c>
      <c r="B285" t="s">
        <v>65</v>
      </c>
      <c r="C285" t="s">
        <v>66</v>
      </c>
      <c r="D285" t="s">
        <v>67</v>
      </c>
      <c r="E285" t="s">
        <v>68</v>
      </c>
      <c r="F285" t="s">
        <v>679</v>
      </c>
    </row>
    <row r="286" spans="1:6" x14ac:dyDescent="0.25">
      <c r="A286" t="s">
        <v>680</v>
      </c>
      <c r="B286" t="s">
        <v>93</v>
      </c>
      <c r="C286" t="s">
        <v>94</v>
      </c>
      <c r="D286" t="s">
        <v>95</v>
      </c>
      <c r="E286" t="s">
        <v>96</v>
      </c>
      <c r="F286" t="s">
        <v>681</v>
      </c>
    </row>
    <row r="287" spans="1:6" x14ac:dyDescent="0.25">
      <c r="A287" t="s">
        <v>682</v>
      </c>
      <c r="B287" t="s">
        <v>25</v>
      </c>
      <c r="C287" t="s">
        <v>26</v>
      </c>
      <c r="D287" t="s">
        <v>27</v>
      </c>
      <c r="E287" t="s">
        <v>28</v>
      </c>
      <c r="F287" t="s">
        <v>683</v>
      </c>
    </row>
    <row r="288" spans="1:6" x14ac:dyDescent="0.25">
      <c r="A288" t="s">
        <v>684</v>
      </c>
      <c r="B288" t="s">
        <v>157</v>
      </c>
      <c r="C288" t="s">
        <v>158</v>
      </c>
      <c r="D288" t="s">
        <v>159</v>
      </c>
      <c r="E288" t="s">
        <v>160</v>
      </c>
      <c r="F288" t="s">
        <v>685</v>
      </c>
    </row>
    <row r="289" spans="1:6" x14ac:dyDescent="0.25">
      <c r="A289" t="s">
        <v>686</v>
      </c>
      <c r="B289" t="s">
        <v>31</v>
      </c>
      <c r="C289" t="s">
        <v>32</v>
      </c>
      <c r="D289" t="s">
        <v>33</v>
      </c>
      <c r="E289" t="s">
        <v>34</v>
      </c>
      <c r="F289" t="s">
        <v>687</v>
      </c>
    </row>
    <row r="290" spans="1:6" x14ac:dyDescent="0.25">
      <c r="A290" t="s">
        <v>688</v>
      </c>
      <c r="B290" t="s">
        <v>37</v>
      </c>
      <c r="C290" t="s">
        <v>38</v>
      </c>
      <c r="D290" t="s">
        <v>39</v>
      </c>
      <c r="E290" t="s">
        <v>40</v>
      </c>
      <c r="F290" t="s">
        <v>689</v>
      </c>
    </row>
    <row r="291" spans="1:6" x14ac:dyDescent="0.25">
      <c r="A291" t="s">
        <v>690</v>
      </c>
      <c r="B291" t="s">
        <v>669</v>
      </c>
      <c r="C291" t="s">
        <v>670</v>
      </c>
      <c r="D291" t="e">
        <v>#VALUE!</v>
      </c>
      <c r="E291" t="e">
        <v>#VALUE!</v>
      </c>
      <c r="F291" t="s">
        <v>691</v>
      </c>
    </row>
    <row r="292" spans="1:6" x14ac:dyDescent="0.25">
      <c r="A292" t="s">
        <v>692</v>
      </c>
      <c r="B292" t="s">
        <v>65</v>
      </c>
      <c r="C292" t="s">
        <v>66</v>
      </c>
      <c r="D292" t="s">
        <v>67</v>
      </c>
      <c r="E292" t="s">
        <v>68</v>
      </c>
      <c r="F292" t="s">
        <v>693</v>
      </c>
    </row>
    <row r="293" spans="1:6" x14ac:dyDescent="0.25">
      <c r="A293" t="s">
        <v>694</v>
      </c>
      <c r="B293" t="s">
        <v>37</v>
      </c>
      <c r="C293" t="s">
        <v>38</v>
      </c>
      <c r="D293" t="s">
        <v>39</v>
      </c>
      <c r="E293" t="s">
        <v>40</v>
      </c>
      <c r="F293" t="s">
        <v>695</v>
      </c>
    </row>
    <row r="294" spans="1:6" x14ac:dyDescent="0.25">
      <c r="A294" t="s">
        <v>696</v>
      </c>
      <c r="B294" t="s">
        <v>310</v>
      </c>
      <c r="C294" t="s">
        <v>311</v>
      </c>
      <c r="D294" t="s">
        <v>312</v>
      </c>
      <c r="E294" t="s">
        <v>313</v>
      </c>
      <c r="F294" t="s">
        <v>697</v>
      </c>
    </row>
    <row r="295" spans="1:6" x14ac:dyDescent="0.25">
      <c r="A295" t="s">
        <v>698</v>
      </c>
      <c r="B295" t="s">
        <v>65</v>
      </c>
      <c r="C295" t="s">
        <v>66</v>
      </c>
      <c r="D295" t="s">
        <v>67</v>
      </c>
      <c r="E295" t="s">
        <v>68</v>
      </c>
      <c r="F295" t="e">
        <v>#VALUE!</v>
      </c>
    </row>
    <row r="296" spans="1:6" x14ac:dyDescent="0.25">
      <c r="A296" t="s">
        <v>699</v>
      </c>
      <c r="B296" t="s">
        <v>31</v>
      </c>
      <c r="C296" t="s">
        <v>32</v>
      </c>
      <c r="D296" t="s">
        <v>33</v>
      </c>
      <c r="E296" t="s">
        <v>34</v>
      </c>
      <c r="F296" t="s">
        <v>700</v>
      </c>
    </row>
    <row r="297" spans="1:6" x14ac:dyDescent="0.25">
      <c r="A297" t="s">
        <v>701</v>
      </c>
      <c r="B297" t="s">
        <v>336</v>
      </c>
      <c r="C297" t="s">
        <v>337</v>
      </c>
      <c r="D297" t="s">
        <v>338</v>
      </c>
      <c r="E297" t="s">
        <v>339</v>
      </c>
      <c r="F297" t="s">
        <v>702</v>
      </c>
    </row>
    <row r="298" spans="1:6" x14ac:dyDescent="0.25">
      <c r="A298" t="s">
        <v>703</v>
      </c>
      <c r="B298" t="s">
        <v>65</v>
      </c>
      <c r="C298" t="s">
        <v>66</v>
      </c>
      <c r="D298" t="s">
        <v>67</v>
      </c>
      <c r="E298" t="s">
        <v>68</v>
      </c>
      <c r="F298" t="s">
        <v>704</v>
      </c>
    </row>
    <row r="299" spans="1:6" x14ac:dyDescent="0.25">
      <c r="A299" t="s">
        <v>705</v>
      </c>
      <c r="B299" t="s">
        <v>107</v>
      </c>
      <c r="C299" t="s">
        <v>108</v>
      </c>
      <c r="D299" t="s">
        <v>109</v>
      </c>
      <c r="E299" t="s">
        <v>110</v>
      </c>
      <c r="F299" t="s">
        <v>706</v>
      </c>
    </row>
    <row r="300" spans="1:6" x14ac:dyDescent="0.25">
      <c r="A300" t="s">
        <v>707</v>
      </c>
      <c r="B300" t="s">
        <v>65</v>
      </c>
      <c r="C300" t="s">
        <v>66</v>
      </c>
      <c r="D300" t="s">
        <v>67</v>
      </c>
      <c r="E300" t="s">
        <v>68</v>
      </c>
      <c r="F300" t="s">
        <v>708</v>
      </c>
    </row>
    <row r="301" spans="1:6" x14ac:dyDescent="0.25">
      <c r="A301" t="s">
        <v>709</v>
      </c>
      <c r="B301" t="s">
        <v>10</v>
      </c>
      <c r="C301" t="s">
        <v>11</v>
      </c>
      <c r="D301" t="e">
        <v>#VALUE!</v>
      </c>
      <c r="E301" t="e">
        <v>#VALUE!</v>
      </c>
      <c r="F301" t="s">
        <v>710</v>
      </c>
    </row>
    <row r="302" spans="1:6" x14ac:dyDescent="0.25">
      <c r="A302" t="s">
        <v>711</v>
      </c>
      <c r="B302" t="s">
        <v>93</v>
      </c>
      <c r="C302" t="s">
        <v>94</v>
      </c>
      <c r="D302" t="s">
        <v>95</v>
      </c>
      <c r="E302" t="s">
        <v>96</v>
      </c>
      <c r="F302" t="s">
        <v>712</v>
      </c>
    </row>
    <row r="303" spans="1:6" x14ac:dyDescent="0.25">
      <c r="A303" t="s">
        <v>713</v>
      </c>
      <c r="B303" t="s">
        <v>37</v>
      </c>
      <c r="C303" t="s">
        <v>38</v>
      </c>
      <c r="D303" t="s">
        <v>39</v>
      </c>
      <c r="E303" t="s">
        <v>40</v>
      </c>
      <c r="F303" t="s">
        <v>714</v>
      </c>
    </row>
    <row r="304" spans="1:6" x14ac:dyDescent="0.25">
      <c r="A304" t="s">
        <v>715</v>
      </c>
      <c r="B304" t="s">
        <v>65</v>
      </c>
      <c r="C304" t="s">
        <v>66</v>
      </c>
      <c r="D304" t="s">
        <v>67</v>
      </c>
      <c r="E304" t="s">
        <v>68</v>
      </c>
      <c r="F304" t="s">
        <v>716</v>
      </c>
    </row>
    <row r="305" spans="1:6" x14ac:dyDescent="0.25">
      <c r="A305" t="s">
        <v>717</v>
      </c>
      <c r="B305" t="s">
        <v>65</v>
      </c>
      <c r="C305" t="s">
        <v>66</v>
      </c>
      <c r="D305" t="s">
        <v>67</v>
      </c>
      <c r="E305" t="s">
        <v>68</v>
      </c>
      <c r="F305" t="s">
        <v>718</v>
      </c>
    </row>
    <row r="306" spans="1:6" x14ac:dyDescent="0.25">
      <c r="A306" t="s">
        <v>719</v>
      </c>
      <c r="B306" t="s">
        <v>53</v>
      </c>
      <c r="C306" t="s">
        <v>54</v>
      </c>
      <c r="D306" t="s">
        <v>55</v>
      </c>
      <c r="E306" t="s">
        <v>56</v>
      </c>
      <c r="F306" t="s">
        <v>720</v>
      </c>
    </row>
    <row r="307" spans="1:6" x14ac:dyDescent="0.25">
      <c r="A307" t="s">
        <v>721</v>
      </c>
      <c r="B307" t="s">
        <v>419</v>
      </c>
      <c r="C307" t="s">
        <v>420</v>
      </c>
      <c r="D307" t="s">
        <v>421</v>
      </c>
      <c r="E307" t="s">
        <v>422</v>
      </c>
      <c r="F307" t="s">
        <v>722</v>
      </c>
    </row>
    <row r="308" spans="1:6" x14ac:dyDescent="0.25">
      <c r="A308" t="s">
        <v>723</v>
      </c>
      <c r="B308" t="s">
        <v>65</v>
      </c>
      <c r="C308" t="s">
        <v>66</v>
      </c>
      <c r="D308" t="s">
        <v>67</v>
      </c>
      <c r="E308" t="s">
        <v>68</v>
      </c>
      <c r="F308" t="e">
        <v>#VALUE!</v>
      </c>
    </row>
    <row r="309" spans="1:6" x14ac:dyDescent="0.25">
      <c r="A309" t="s">
        <v>724</v>
      </c>
      <c r="B309" t="s">
        <v>20</v>
      </c>
      <c r="C309" t="s">
        <v>21</v>
      </c>
      <c r="D309" t="s">
        <v>22</v>
      </c>
      <c r="E309" t="s">
        <v>23</v>
      </c>
      <c r="F309" t="s">
        <v>725</v>
      </c>
    </row>
    <row r="310" spans="1:6" x14ac:dyDescent="0.25">
      <c r="A310" t="s">
        <v>726</v>
      </c>
      <c r="B310" t="s">
        <v>310</v>
      </c>
      <c r="C310" t="s">
        <v>311</v>
      </c>
      <c r="D310" t="s">
        <v>312</v>
      </c>
      <c r="E310" t="s">
        <v>313</v>
      </c>
      <c r="F310" t="s">
        <v>727</v>
      </c>
    </row>
    <row r="311" spans="1:6" x14ac:dyDescent="0.25">
      <c r="A311" t="s">
        <v>728</v>
      </c>
      <c r="B311" t="s">
        <v>65</v>
      </c>
      <c r="C311" t="s">
        <v>66</v>
      </c>
      <c r="D311" t="s">
        <v>67</v>
      </c>
      <c r="E311" t="s">
        <v>68</v>
      </c>
      <c r="F311" t="s">
        <v>729</v>
      </c>
    </row>
    <row r="312" spans="1:6" x14ac:dyDescent="0.25">
      <c r="A312" t="s">
        <v>730</v>
      </c>
      <c r="B312" t="s">
        <v>157</v>
      </c>
      <c r="C312" t="s">
        <v>158</v>
      </c>
      <c r="D312" t="s">
        <v>159</v>
      </c>
      <c r="E312" t="s">
        <v>160</v>
      </c>
      <c r="F312" t="s">
        <v>731</v>
      </c>
    </row>
    <row r="313" spans="1:6" x14ac:dyDescent="0.25">
      <c r="A313" t="s">
        <v>732</v>
      </c>
      <c r="B313" t="s">
        <v>31</v>
      </c>
      <c r="C313" t="s">
        <v>32</v>
      </c>
      <c r="D313" t="s">
        <v>33</v>
      </c>
      <c r="E313" t="s">
        <v>34</v>
      </c>
      <c r="F313" t="s">
        <v>733</v>
      </c>
    </row>
    <row r="314" spans="1:6" x14ac:dyDescent="0.25">
      <c r="A314" t="s">
        <v>734</v>
      </c>
      <c r="B314" t="s">
        <v>65</v>
      </c>
      <c r="C314" t="s">
        <v>66</v>
      </c>
      <c r="D314" t="s">
        <v>67</v>
      </c>
      <c r="E314" t="s">
        <v>68</v>
      </c>
      <c r="F314" t="s">
        <v>735</v>
      </c>
    </row>
    <row r="315" spans="1:6" x14ac:dyDescent="0.25">
      <c r="A315" t="s">
        <v>736</v>
      </c>
      <c r="B315" t="s">
        <v>20</v>
      </c>
      <c r="C315" t="s">
        <v>21</v>
      </c>
      <c r="D315" t="s">
        <v>22</v>
      </c>
      <c r="E315" t="s">
        <v>23</v>
      </c>
      <c r="F315" t="s">
        <v>737</v>
      </c>
    </row>
    <row r="316" spans="1:6" x14ac:dyDescent="0.25">
      <c r="A316" t="s">
        <v>738</v>
      </c>
      <c r="B316" t="s">
        <v>65</v>
      </c>
      <c r="C316" t="s">
        <v>66</v>
      </c>
      <c r="D316" t="s">
        <v>67</v>
      </c>
      <c r="E316" t="s">
        <v>68</v>
      </c>
      <c r="F316" t="s">
        <v>739</v>
      </c>
    </row>
    <row r="317" spans="1:6" x14ac:dyDescent="0.25">
      <c r="A317" t="s">
        <v>740</v>
      </c>
      <c r="B317" t="s">
        <v>31</v>
      </c>
      <c r="C317" t="s">
        <v>32</v>
      </c>
      <c r="D317" t="s">
        <v>33</v>
      </c>
      <c r="E317" t="s">
        <v>34</v>
      </c>
      <c r="F317" t="s">
        <v>741</v>
      </c>
    </row>
    <row r="318" spans="1:6" x14ac:dyDescent="0.25">
      <c r="A318" t="s">
        <v>742</v>
      </c>
      <c r="B318" t="s">
        <v>14</v>
      </c>
      <c r="C318" t="s">
        <v>15</v>
      </c>
      <c r="D318" t="s">
        <v>16</v>
      </c>
      <c r="E318" t="s">
        <v>17</v>
      </c>
      <c r="F318" t="e">
        <v>#VALUE!</v>
      </c>
    </row>
    <row r="319" spans="1:6" x14ac:dyDescent="0.25">
      <c r="A319" t="s">
        <v>743</v>
      </c>
      <c r="B319" t="s">
        <v>53</v>
      </c>
      <c r="C319" t="s">
        <v>54</v>
      </c>
      <c r="D319" t="s">
        <v>55</v>
      </c>
      <c r="E319" t="s">
        <v>56</v>
      </c>
      <c r="F319" t="s">
        <v>744</v>
      </c>
    </row>
    <row r="320" spans="1:6" x14ac:dyDescent="0.25">
      <c r="A320" t="s">
        <v>745</v>
      </c>
      <c r="B320" t="s">
        <v>10</v>
      </c>
      <c r="C320" t="s">
        <v>11</v>
      </c>
      <c r="D320" t="e">
        <v>#VALUE!</v>
      </c>
      <c r="E320" t="e">
        <v>#VALUE!</v>
      </c>
      <c r="F320" t="s">
        <v>746</v>
      </c>
    </row>
    <row r="321" spans="1:6" x14ac:dyDescent="0.25">
      <c r="A321" t="s">
        <v>747</v>
      </c>
      <c r="B321" t="s">
        <v>53</v>
      </c>
      <c r="C321" t="s">
        <v>54</v>
      </c>
      <c r="D321" t="s">
        <v>55</v>
      </c>
      <c r="E321" t="s">
        <v>56</v>
      </c>
      <c r="F321" t="s">
        <v>748</v>
      </c>
    </row>
    <row r="322" spans="1:6" x14ac:dyDescent="0.25">
      <c r="A322" t="s">
        <v>749</v>
      </c>
      <c r="B322" t="s">
        <v>31</v>
      </c>
      <c r="C322" t="s">
        <v>32</v>
      </c>
      <c r="D322" t="s">
        <v>33</v>
      </c>
      <c r="E322" t="s">
        <v>34</v>
      </c>
      <c r="F322" t="s">
        <v>750</v>
      </c>
    </row>
    <row r="323" spans="1:6" x14ac:dyDescent="0.25">
      <c r="A323" t="s">
        <v>751</v>
      </c>
      <c r="B323" t="s">
        <v>31</v>
      </c>
      <c r="C323" t="s">
        <v>32</v>
      </c>
      <c r="D323" t="s">
        <v>33</v>
      </c>
      <c r="E323" t="s">
        <v>34</v>
      </c>
      <c r="F323" t="s">
        <v>752</v>
      </c>
    </row>
    <row r="324" spans="1:6" x14ac:dyDescent="0.25">
      <c r="A324" t="s">
        <v>753</v>
      </c>
      <c r="B324" t="s">
        <v>37</v>
      </c>
      <c r="C324" t="s">
        <v>38</v>
      </c>
      <c r="D324" t="s">
        <v>39</v>
      </c>
      <c r="E324" t="s">
        <v>40</v>
      </c>
      <c r="F324" t="s">
        <v>754</v>
      </c>
    </row>
    <row r="325" spans="1:6" x14ac:dyDescent="0.25">
      <c r="A325" t="s">
        <v>755</v>
      </c>
      <c r="B325" t="s">
        <v>65</v>
      </c>
      <c r="C325" t="s">
        <v>66</v>
      </c>
      <c r="D325" t="s">
        <v>67</v>
      </c>
      <c r="E325" t="s">
        <v>68</v>
      </c>
      <c r="F325" t="s">
        <v>756</v>
      </c>
    </row>
    <row r="326" spans="1:6" x14ac:dyDescent="0.25">
      <c r="A326" t="s">
        <v>757</v>
      </c>
      <c r="B326" t="s">
        <v>53</v>
      </c>
      <c r="C326" t="s">
        <v>54</v>
      </c>
      <c r="D326" t="s">
        <v>55</v>
      </c>
      <c r="E326" t="s">
        <v>56</v>
      </c>
      <c r="F326" t="s">
        <v>758</v>
      </c>
    </row>
    <row r="327" spans="1:6" x14ac:dyDescent="0.25">
      <c r="A327" t="s">
        <v>759</v>
      </c>
      <c r="B327" t="s">
        <v>10</v>
      </c>
      <c r="C327" t="s">
        <v>11</v>
      </c>
      <c r="D327" t="e">
        <v>#VALUE!</v>
      </c>
      <c r="E327" t="e">
        <v>#VALUE!</v>
      </c>
      <c r="F327" t="s">
        <v>760</v>
      </c>
    </row>
    <row r="328" spans="1:6" x14ac:dyDescent="0.25">
      <c r="A328" t="s">
        <v>761</v>
      </c>
      <c r="B328" t="s">
        <v>53</v>
      </c>
      <c r="C328" t="s">
        <v>54</v>
      </c>
      <c r="D328" t="s">
        <v>55</v>
      </c>
      <c r="E328" t="s">
        <v>56</v>
      </c>
      <c r="F328" t="s">
        <v>762</v>
      </c>
    </row>
    <row r="329" spans="1:6" x14ac:dyDescent="0.25">
      <c r="A329" t="s">
        <v>763</v>
      </c>
      <c r="B329" t="s">
        <v>53</v>
      </c>
      <c r="C329" t="s">
        <v>54</v>
      </c>
      <c r="D329" t="s">
        <v>55</v>
      </c>
      <c r="E329" t="s">
        <v>56</v>
      </c>
      <c r="F329" t="s">
        <v>764</v>
      </c>
    </row>
    <row r="330" spans="1:6" x14ac:dyDescent="0.25">
      <c r="A330" t="s">
        <v>765</v>
      </c>
      <c r="B330" t="s">
        <v>65</v>
      </c>
      <c r="C330" t="s">
        <v>66</v>
      </c>
      <c r="D330" t="s">
        <v>67</v>
      </c>
      <c r="E330" t="s">
        <v>68</v>
      </c>
      <c r="F330" t="s">
        <v>766</v>
      </c>
    </row>
    <row r="331" spans="1:6" x14ac:dyDescent="0.25">
      <c r="A331" t="s">
        <v>767</v>
      </c>
      <c r="B331" t="s">
        <v>31</v>
      </c>
      <c r="C331" t="s">
        <v>32</v>
      </c>
      <c r="D331" t="s">
        <v>33</v>
      </c>
      <c r="E331" t="s">
        <v>34</v>
      </c>
      <c r="F331" t="s">
        <v>768</v>
      </c>
    </row>
    <row r="332" spans="1:6" x14ac:dyDescent="0.25">
      <c r="A332" t="s">
        <v>769</v>
      </c>
      <c r="B332" t="s">
        <v>25</v>
      </c>
      <c r="C332" t="s">
        <v>26</v>
      </c>
      <c r="D332" t="s">
        <v>27</v>
      </c>
      <c r="E332" t="s">
        <v>28</v>
      </c>
      <c r="F332" t="s">
        <v>770</v>
      </c>
    </row>
    <row r="333" spans="1:6" x14ac:dyDescent="0.25">
      <c r="A333" t="s">
        <v>771</v>
      </c>
      <c r="B333" t="s">
        <v>394</v>
      </c>
      <c r="C333" t="s">
        <v>395</v>
      </c>
      <c r="D333" t="s">
        <v>396</v>
      </c>
      <c r="E333" t="s">
        <v>397</v>
      </c>
      <c r="F333" t="s">
        <v>772</v>
      </c>
    </row>
    <row r="334" spans="1:6" x14ac:dyDescent="0.25">
      <c r="A334" t="s">
        <v>773</v>
      </c>
      <c r="B334" t="s">
        <v>65</v>
      </c>
      <c r="C334" t="s">
        <v>66</v>
      </c>
      <c r="D334" t="s">
        <v>67</v>
      </c>
      <c r="E334" t="s">
        <v>68</v>
      </c>
      <c r="F334" t="s">
        <v>774</v>
      </c>
    </row>
    <row r="335" spans="1:6" x14ac:dyDescent="0.25">
      <c r="A335" t="s">
        <v>775</v>
      </c>
      <c r="B335" t="s">
        <v>37</v>
      </c>
      <c r="C335" t="s">
        <v>38</v>
      </c>
      <c r="D335" t="s">
        <v>39</v>
      </c>
      <c r="E335" t="s">
        <v>40</v>
      </c>
      <c r="F335" t="s">
        <v>776</v>
      </c>
    </row>
    <row r="336" spans="1:6" x14ac:dyDescent="0.25">
      <c r="A336" t="s">
        <v>777</v>
      </c>
      <c r="B336" t="s">
        <v>53</v>
      </c>
      <c r="C336" t="s">
        <v>54</v>
      </c>
      <c r="D336" t="s">
        <v>55</v>
      </c>
      <c r="E336" t="s">
        <v>56</v>
      </c>
      <c r="F336" t="s">
        <v>778</v>
      </c>
    </row>
    <row r="337" spans="1:6" x14ac:dyDescent="0.25">
      <c r="A337" t="s">
        <v>779</v>
      </c>
      <c r="B337" t="s">
        <v>37</v>
      </c>
      <c r="C337" t="s">
        <v>38</v>
      </c>
      <c r="D337" t="s">
        <v>39</v>
      </c>
      <c r="E337" t="s">
        <v>40</v>
      </c>
      <c r="F337" t="s">
        <v>780</v>
      </c>
    </row>
    <row r="338" spans="1:6" x14ac:dyDescent="0.25">
      <c r="A338" t="s">
        <v>781</v>
      </c>
      <c r="B338" t="s">
        <v>37</v>
      </c>
      <c r="C338" t="s">
        <v>38</v>
      </c>
      <c r="D338" t="s">
        <v>39</v>
      </c>
      <c r="E338" t="s">
        <v>40</v>
      </c>
      <c r="F338" t="s">
        <v>782</v>
      </c>
    </row>
    <row r="339" spans="1:6" x14ac:dyDescent="0.25">
      <c r="A339" t="s">
        <v>783</v>
      </c>
      <c r="B339" t="s">
        <v>53</v>
      </c>
      <c r="C339" t="s">
        <v>54</v>
      </c>
      <c r="D339" t="s">
        <v>55</v>
      </c>
      <c r="E339" t="s">
        <v>56</v>
      </c>
      <c r="F339" t="s">
        <v>784</v>
      </c>
    </row>
    <row r="340" spans="1:6" x14ac:dyDescent="0.25">
      <c r="A340" t="s">
        <v>785</v>
      </c>
      <c r="B340" t="s">
        <v>65</v>
      </c>
      <c r="C340" t="s">
        <v>66</v>
      </c>
      <c r="D340" t="s">
        <v>67</v>
      </c>
      <c r="E340" t="s">
        <v>68</v>
      </c>
      <c r="F340" t="s">
        <v>786</v>
      </c>
    </row>
    <row r="341" spans="1:6" x14ac:dyDescent="0.25">
      <c r="A341" t="s">
        <v>787</v>
      </c>
      <c r="B341" t="s">
        <v>65</v>
      </c>
      <c r="C341" t="s">
        <v>66</v>
      </c>
      <c r="D341" t="s">
        <v>67</v>
      </c>
      <c r="E341" t="s">
        <v>68</v>
      </c>
      <c r="F341" t="s">
        <v>788</v>
      </c>
    </row>
    <row r="342" spans="1:6" x14ac:dyDescent="0.25">
      <c r="A342" t="s">
        <v>789</v>
      </c>
      <c r="B342" t="s">
        <v>310</v>
      </c>
      <c r="C342" t="s">
        <v>311</v>
      </c>
      <c r="D342" t="s">
        <v>312</v>
      </c>
      <c r="E342" t="s">
        <v>313</v>
      </c>
      <c r="F342" t="s">
        <v>790</v>
      </c>
    </row>
    <row r="343" spans="1:6" x14ac:dyDescent="0.25">
      <c r="A343" t="s">
        <v>791</v>
      </c>
      <c r="B343" t="s">
        <v>31</v>
      </c>
      <c r="C343" t="s">
        <v>32</v>
      </c>
      <c r="D343" t="s">
        <v>33</v>
      </c>
      <c r="E343" t="s">
        <v>34</v>
      </c>
      <c r="F343" t="s">
        <v>792</v>
      </c>
    </row>
    <row r="344" spans="1:6" x14ac:dyDescent="0.25">
      <c r="A344" t="s">
        <v>793</v>
      </c>
      <c r="B344" t="s">
        <v>31</v>
      </c>
      <c r="C344" t="s">
        <v>32</v>
      </c>
      <c r="D344" t="s">
        <v>33</v>
      </c>
      <c r="E344" t="s">
        <v>34</v>
      </c>
      <c r="F344" t="s">
        <v>794</v>
      </c>
    </row>
    <row r="345" spans="1:6" x14ac:dyDescent="0.25">
      <c r="A345" t="s">
        <v>795</v>
      </c>
      <c r="B345" t="s">
        <v>20</v>
      </c>
      <c r="C345" t="s">
        <v>21</v>
      </c>
      <c r="D345" t="s">
        <v>22</v>
      </c>
      <c r="E345" t="s">
        <v>23</v>
      </c>
      <c r="F345" t="s">
        <v>796</v>
      </c>
    </row>
    <row r="346" spans="1:6" x14ac:dyDescent="0.25">
      <c r="A346" t="s">
        <v>797</v>
      </c>
      <c r="B346" t="s">
        <v>45</v>
      </c>
      <c r="C346" t="s">
        <v>46</v>
      </c>
      <c r="D346" t="s">
        <v>47</v>
      </c>
      <c r="E346" t="s">
        <v>48</v>
      </c>
      <c r="F346" t="s">
        <v>798</v>
      </c>
    </row>
    <row r="347" spans="1:6" x14ac:dyDescent="0.25">
      <c r="A347" t="s">
        <v>799</v>
      </c>
      <c r="B347" t="s">
        <v>37</v>
      </c>
      <c r="C347" t="s">
        <v>38</v>
      </c>
      <c r="D347" t="s">
        <v>39</v>
      </c>
      <c r="E347" t="s">
        <v>40</v>
      </c>
      <c r="F347" t="s">
        <v>800</v>
      </c>
    </row>
    <row r="348" spans="1:6" x14ac:dyDescent="0.25">
      <c r="A348" t="s">
        <v>801</v>
      </c>
      <c r="B348" t="s">
        <v>93</v>
      </c>
      <c r="C348" t="s">
        <v>94</v>
      </c>
      <c r="D348" t="s">
        <v>95</v>
      </c>
      <c r="E348" t="s">
        <v>96</v>
      </c>
      <c r="F348" t="s">
        <v>802</v>
      </c>
    </row>
    <row r="349" spans="1:6" x14ac:dyDescent="0.25">
      <c r="A349" t="s">
        <v>803</v>
      </c>
      <c r="B349" t="s">
        <v>65</v>
      </c>
      <c r="C349" t="s">
        <v>66</v>
      </c>
      <c r="D349" t="s">
        <v>67</v>
      </c>
      <c r="E349" t="s">
        <v>68</v>
      </c>
      <c r="F349" t="s">
        <v>804</v>
      </c>
    </row>
    <row r="350" spans="1:6" x14ac:dyDescent="0.25">
      <c r="A350" t="s">
        <v>805</v>
      </c>
      <c r="B350" t="s">
        <v>37</v>
      </c>
      <c r="C350" t="s">
        <v>38</v>
      </c>
      <c r="D350" t="s">
        <v>39</v>
      </c>
      <c r="E350" t="s">
        <v>40</v>
      </c>
      <c r="F350" t="s">
        <v>806</v>
      </c>
    </row>
    <row r="351" spans="1:6" x14ac:dyDescent="0.25">
      <c r="A351" t="s">
        <v>807</v>
      </c>
      <c r="B351" t="s">
        <v>548</v>
      </c>
      <c r="C351" t="s">
        <v>549</v>
      </c>
      <c r="D351" t="s">
        <v>550</v>
      </c>
      <c r="E351" t="s">
        <v>551</v>
      </c>
      <c r="F351" t="e">
        <v>#VALUE!</v>
      </c>
    </row>
    <row r="352" spans="1:6" x14ac:dyDescent="0.25">
      <c r="A352" t="s">
        <v>808</v>
      </c>
      <c r="B352" t="s">
        <v>31</v>
      </c>
      <c r="C352" t="s">
        <v>32</v>
      </c>
      <c r="D352" t="s">
        <v>33</v>
      </c>
      <c r="E352" t="s">
        <v>34</v>
      </c>
      <c r="F352" t="s">
        <v>809</v>
      </c>
    </row>
    <row r="353" spans="1:6" x14ac:dyDescent="0.25">
      <c r="A353" t="s">
        <v>810</v>
      </c>
      <c r="B353" t="s">
        <v>229</v>
      </c>
      <c r="C353" t="s">
        <v>230</v>
      </c>
      <c r="D353" t="s">
        <v>231</v>
      </c>
      <c r="E353" t="s">
        <v>232</v>
      </c>
      <c r="F353" t="s">
        <v>811</v>
      </c>
    </row>
    <row r="354" spans="1:6" x14ac:dyDescent="0.25">
      <c r="A354" t="s">
        <v>812</v>
      </c>
      <c r="B354" t="s">
        <v>37</v>
      </c>
      <c r="C354" t="s">
        <v>38</v>
      </c>
      <c r="D354" t="s">
        <v>39</v>
      </c>
      <c r="E354" t="s">
        <v>40</v>
      </c>
      <c r="F354" t="s">
        <v>813</v>
      </c>
    </row>
    <row r="355" spans="1:6" x14ac:dyDescent="0.25">
      <c r="A355" t="s">
        <v>814</v>
      </c>
      <c r="B355" t="s">
        <v>53</v>
      </c>
      <c r="C355" t="s">
        <v>54</v>
      </c>
      <c r="D355" t="s">
        <v>55</v>
      </c>
      <c r="E355" t="s">
        <v>56</v>
      </c>
      <c r="F355" t="s">
        <v>815</v>
      </c>
    </row>
    <row r="356" spans="1:6" x14ac:dyDescent="0.25">
      <c r="A356" t="s">
        <v>816</v>
      </c>
      <c r="B356" t="s">
        <v>65</v>
      </c>
      <c r="C356" t="s">
        <v>66</v>
      </c>
      <c r="D356" t="s">
        <v>67</v>
      </c>
      <c r="E356" t="s">
        <v>68</v>
      </c>
      <c r="F356" t="s">
        <v>817</v>
      </c>
    </row>
    <row r="357" spans="1:6" x14ac:dyDescent="0.25">
      <c r="A357" t="s">
        <v>818</v>
      </c>
      <c r="B357" t="s">
        <v>10</v>
      </c>
      <c r="C357" t="s">
        <v>11</v>
      </c>
      <c r="D357" t="e">
        <v>#VALUE!</v>
      </c>
      <c r="E357" t="e">
        <v>#VALUE!</v>
      </c>
      <c r="F357" t="s">
        <v>819</v>
      </c>
    </row>
    <row r="358" spans="1:6" x14ac:dyDescent="0.25">
      <c r="A358" t="s">
        <v>820</v>
      </c>
      <c r="B358" t="s">
        <v>53</v>
      </c>
      <c r="C358" t="s">
        <v>54</v>
      </c>
      <c r="D358" t="s">
        <v>55</v>
      </c>
      <c r="E358" t="s">
        <v>56</v>
      </c>
      <c r="F358" t="s">
        <v>821</v>
      </c>
    </row>
    <row r="359" spans="1:6" x14ac:dyDescent="0.25">
      <c r="A359" t="s">
        <v>822</v>
      </c>
      <c r="B359" t="s">
        <v>37</v>
      </c>
      <c r="C359" t="s">
        <v>38</v>
      </c>
      <c r="D359" t="s">
        <v>39</v>
      </c>
      <c r="E359" t="s">
        <v>40</v>
      </c>
      <c r="F359" t="s">
        <v>823</v>
      </c>
    </row>
    <row r="360" spans="1:6" x14ac:dyDescent="0.25">
      <c r="A360" t="s">
        <v>824</v>
      </c>
      <c r="B360" t="s">
        <v>31</v>
      </c>
      <c r="C360" t="s">
        <v>32</v>
      </c>
      <c r="D360" t="s">
        <v>33</v>
      </c>
      <c r="E360" t="s">
        <v>34</v>
      </c>
      <c r="F360" t="s">
        <v>825</v>
      </c>
    </row>
    <row r="361" spans="1:6" x14ac:dyDescent="0.25">
      <c r="A361" t="s">
        <v>826</v>
      </c>
      <c r="B361" t="s">
        <v>25</v>
      </c>
      <c r="C361" t="s">
        <v>26</v>
      </c>
      <c r="D361" t="s">
        <v>27</v>
      </c>
      <c r="E361" t="s">
        <v>28</v>
      </c>
      <c r="F361" t="s">
        <v>827</v>
      </c>
    </row>
    <row r="362" spans="1:6" x14ac:dyDescent="0.25">
      <c r="A362" t="s">
        <v>828</v>
      </c>
      <c r="B362" t="s">
        <v>31</v>
      </c>
      <c r="C362" t="s">
        <v>32</v>
      </c>
      <c r="D362" t="s">
        <v>33</v>
      </c>
      <c r="E362" t="s">
        <v>34</v>
      </c>
      <c r="F362" t="s">
        <v>829</v>
      </c>
    </row>
    <row r="363" spans="1:6" x14ac:dyDescent="0.25">
      <c r="A363" t="s">
        <v>830</v>
      </c>
      <c r="B363" t="s">
        <v>10</v>
      </c>
      <c r="C363" t="s">
        <v>11</v>
      </c>
      <c r="D363" t="e">
        <v>#VALUE!</v>
      </c>
      <c r="E363" t="e">
        <v>#VALUE!</v>
      </c>
      <c r="F363" t="s">
        <v>831</v>
      </c>
    </row>
    <row r="364" spans="1:6" x14ac:dyDescent="0.25">
      <c r="A364" t="s">
        <v>832</v>
      </c>
      <c r="B364" t="s">
        <v>45</v>
      </c>
      <c r="C364" t="s">
        <v>46</v>
      </c>
      <c r="D364" t="s">
        <v>47</v>
      </c>
      <c r="E364" t="s">
        <v>48</v>
      </c>
      <c r="F364" t="s">
        <v>833</v>
      </c>
    </row>
    <row r="365" spans="1:6" x14ac:dyDescent="0.25">
      <c r="A365" t="s">
        <v>834</v>
      </c>
      <c r="B365" t="s">
        <v>93</v>
      </c>
      <c r="C365" t="s">
        <v>94</v>
      </c>
      <c r="D365" t="s">
        <v>95</v>
      </c>
      <c r="E365" t="s">
        <v>96</v>
      </c>
      <c r="F365" t="s">
        <v>835</v>
      </c>
    </row>
    <row r="366" spans="1:6" x14ac:dyDescent="0.25">
      <c r="A366" t="s">
        <v>836</v>
      </c>
      <c r="B366" t="s">
        <v>53</v>
      </c>
      <c r="C366" t="s">
        <v>54</v>
      </c>
      <c r="D366" t="s">
        <v>55</v>
      </c>
      <c r="E366" t="s">
        <v>56</v>
      </c>
      <c r="F366" t="s">
        <v>837</v>
      </c>
    </row>
    <row r="367" spans="1:6" x14ac:dyDescent="0.25">
      <c r="A367" t="s">
        <v>838</v>
      </c>
      <c r="B367" t="s">
        <v>65</v>
      </c>
      <c r="C367" t="s">
        <v>66</v>
      </c>
      <c r="D367" t="s">
        <v>67</v>
      </c>
      <c r="E367" t="s">
        <v>68</v>
      </c>
      <c r="F367" t="s">
        <v>839</v>
      </c>
    </row>
    <row r="368" spans="1:6" x14ac:dyDescent="0.25">
      <c r="A368" t="s">
        <v>840</v>
      </c>
      <c r="B368" t="s">
        <v>37</v>
      </c>
      <c r="C368" t="s">
        <v>38</v>
      </c>
      <c r="D368" t="s">
        <v>39</v>
      </c>
      <c r="E368" t="s">
        <v>40</v>
      </c>
      <c r="F368" t="s">
        <v>841</v>
      </c>
    </row>
    <row r="369" spans="1:6" x14ac:dyDescent="0.25">
      <c r="A369" t="s">
        <v>842</v>
      </c>
      <c r="B369" t="s">
        <v>53</v>
      </c>
      <c r="C369" t="s">
        <v>54</v>
      </c>
      <c r="D369" t="s">
        <v>55</v>
      </c>
      <c r="E369" t="s">
        <v>56</v>
      </c>
      <c r="F369" t="s">
        <v>843</v>
      </c>
    </row>
    <row r="370" spans="1:6" x14ac:dyDescent="0.25">
      <c r="A370" t="s">
        <v>844</v>
      </c>
      <c r="B370" t="s">
        <v>37</v>
      </c>
      <c r="C370" t="s">
        <v>38</v>
      </c>
      <c r="D370" t="s">
        <v>39</v>
      </c>
      <c r="E370" t="s">
        <v>40</v>
      </c>
      <c r="F370" t="s">
        <v>845</v>
      </c>
    </row>
    <row r="371" spans="1:6" x14ac:dyDescent="0.25">
      <c r="A371" t="s">
        <v>846</v>
      </c>
      <c r="B371" t="s">
        <v>53</v>
      </c>
      <c r="C371" t="s">
        <v>54</v>
      </c>
      <c r="D371" t="s">
        <v>55</v>
      </c>
      <c r="E371" t="s">
        <v>56</v>
      </c>
      <c r="F371" t="s">
        <v>847</v>
      </c>
    </row>
    <row r="372" spans="1:6" x14ac:dyDescent="0.25">
      <c r="A372" t="s">
        <v>848</v>
      </c>
      <c r="B372" t="s">
        <v>20</v>
      </c>
      <c r="C372" t="s">
        <v>21</v>
      </c>
      <c r="D372" t="s">
        <v>22</v>
      </c>
      <c r="E372" t="s">
        <v>23</v>
      </c>
      <c r="F372" t="s">
        <v>849</v>
      </c>
    </row>
    <row r="373" spans="1:6" x14ac:dyDescent="0.25">
      <c r="A373" t="s">
        <v>850</v>
      </c>
      <c r="B373" t="s">
        <v>20</v>
      </c>
      <c r="C373" t="s">
        <v>21</v>
      </c>
      <c r="D373" t="s">
        <v>22</v>
      </c>
      <c r="E373" t="s">
        <v>23</v>
      </c>
      <c r="F373" t="s">
        <v>851</v>
      </c>
    </row>
    <row r="374" spans="1:6" x14ac:dyDescent="0.25">
      <c r="A374" t="s">
        <v>852</v>
      </c>
      <c r="B374" t="s">
        <v>45</v>
      </c>
      <c r="C374" t="s">
        <v>46</v>
      </c>
      <c r="D374" t="s">
        <v>47</v>
      </c>
      <c r="E374" t="s">
        <v>48</v>
      </c>
      <c r="F374" t="s">
        <v>853</v>
      </c>
    </row>
    <row r="375" spans="1:6" x14ac:dyDescent="0.25">
      <c r="A375" t="s">
        <v>854</v>
      </c>
      <c r="B375" t="s">
        <v>20</v>
      </c>
      <c r="C375" t="s">
        <v>21</v>
      </c>
      <c r="D375" t="s">
        <v>22</v>
      </c>
      <c r="E375" t="s">
        <v>23</v>
      </c>
      <c r="F375" t="s">
        <v>855</v>
      </c>
    </row>
    <row r="376" spans="1:6" x14ac:dyDescent="0.25">
      <c r="A376" t="s">
        <v>856</v>
      </c>
      <c r="B376" t="s">
        <v>53</v>
      </c>
      <c r="C376" t="s">
        <v>54</v>
      </c>
      <c r="D376" t="s">
        <v>55</v>
      </c>
      <c r="E376" t="s">
        <v>56</v>
      </c>
      <c r="F376" t="s">
        <v>857</v>
      </c>
    </row>
    <row r="377" spans="1:6" x14ac:dyDescent="0.25">
      <c r="A377" t="s">
        <v>858</v>
      </c>
      <c r="B377" t="s">
        <v>37</v>
      </c>
      <c r="C377" t="s">
        <v>38</v>
      </c>
      <c r="D377" t="s">
        <v>39</v>
      </c>
      <c r="E377" t="s">
        <v>40</v>
      </c>
      <c r="F377" t="s">
        <v>859</v>
      </c>
    </row>
    <row r="378" spans="1:6" x14ac:dyDescent="0.25">
      <c r="A378" t="s">
        <v>860</v>
      </c>
      <c r="B378" t="s">
        <v>53</v>
      </c>
      <c r="C378" t="s">
        <v>54</v>
      </c>
      <c r="D378" t="s">
        <v>55</v>
      </c>
      <c r="E378" t="s">
        <v>56</v>
      </c>
      <c r="F378" t="s">
        <v>861</v>
      </c>
    </row>
    <row r="379" spans="1:6" x14ac:dyDescent="0.25">
      <c r="A379" t="s">
        <v>862</v>
      </c>
      <c r="B379" t="s">
        <v>20</v>
      </c>
      <c r="C379" t="s">
        <v>21</v>
      </c>
      <c r="D379" t="s">
        <v>22</v>
      </c>
      <c r="E379" t="s">
        <v>23</v>
      </c>
      <c r="F379" t="s">
        <v>863</v>
      </c>
    </row>
    <row r="380" spans="1:6" x14ac:dyDescent="0.25">
      <c r="A380" t="s">
        <v>864</v>
      </c>
      <c r="B380" t="s">
        <v>37</v>
      </c>
      <c r="C380" t="s">
        <v>38</v>
      </c>
      <c r="D380" t="s">
        <v>39</v>
      </c>
      <c r="E380" t="s">
        <v>40</v>
      </c>
      <c r="F380" t="s">
        <v>865</v>
      </c>
    </row>
    <row r="381" spans="1:6" x14ac:dyDescent="0.25">
      <c r="A381" t="s">
        <v>866</v>
      </c>
      <c r="B381" t="s">
        <v>31</v>
      </c>
      <c r="C381" t="s">
        <v>32</v>
      </c>
      <c r="D381" t="s">
        <v>33</v>
      </c>
      <c r="E381" t="s">
        <v>34</v>
      </c>
      <c r="F381" t="s">
        <v>867</v>
      </c>
    </row>
    <row r="382" spans="1:6" x14ac:dyDescent="0.25">
      <c r="A382" t="s">
        <v>868</v>
      </c>
      <c r="B382" t="s">
        <v>31</v>
      </c>
      <c r="C382" t="s">
        <v>32</v>
      </c>
      <c r="D382" t="s">
        <v>33</v>
      </c>
      <c r="E382" t="s">
        <v>34</v>
      </c>
      <c r="F382" t="s">
        <v>869</v>
      </c>
    </row>
    <row r="383" spans="1:6" x14ac:dyDescent="0.25">
      <c r="A383" t="s">
        <v>870</v>
      </c>
      <c r="B383" t="s">
        <v>53</v>
      </c>
      <c r="C383" t="s">
        <v>54</v>
      </c>
      <c r="D383" t="s">
        <v>55</v>
      </c>
      <c r="E383" t="s">
        <v>56</v>
      </c>
      <c r="F383" t="s">
        <v>871</v>
      </c>
    </row>
    <row r="384" spans="1:6" x14ac:dyDescent="0.25">
      <c r="A384" t="s">
        <v>872</v>
      </c>
      <c r="B384" t="s">
        <v>20</v>
      </c>
      <c r="C384" t="s">
        <v>21</v>
      </c>
      <c r="D384" t="s">
        <v>22</v>
      </c>
      <c r="E384" t="s">
        <v>23</v>
      </c>
      <c r="F384" t="s">
        <v>873</v>
      </c>
    </row>
    <row r="385" spans="1:6" x14ac:dyDescent="0.25">
      <c r="A385" t="s">
        <v>874</v>
      </c>
      <c r="B385" t="s">
        <v>93</v>
      </c>
      <c r="C385" t="s">
        <v>94</v>
      </c>
      <c r="D385" t="s">
        <v>95</v>
      </c>
      <c r="E385" t="s">
        <v>96</v>
      </c>
      <c r="F385" t="s">
        <v>875</v>
      </c>
    </row>
    <row r="386" spans="1:6" x14ac:dyDescent="0.25">
      <c r="A386" t="s">
        <v>876</v>
      </c>
      <c r="B386" t="s">
        <v>65</v>
      </c>
      <c r="C386" t="s">
        <v>66</v>
      </c>
      <c r="D386" t="s">
        <v>67</v>
      </c>
      <c r="E386" t="s">
        <v>68</v>
      </c>
      <c r="F386" t="s">
        <v>877</v>
      </c>
    </row>
    <row r="387" spans="1:6" x14ac:dyDescent="0.25">
      <c r="A387" t="s">
        <v>878</v>
      </c>
      <c r="B387" t="s">
        <v>65</v>
      </c>
      <c r="C387" t="s">
        <v>66</v>
      </c>
      <c r="D387" t="s">
        <v>67</v>
      </c>
      <c r="E387" t="s">
        <v>68</v>
      </c>
      <c r="F387" t="s">
        <v>879</v>
      </c>
    </row>
    <row r="388" spans="1:6" x14ac:dyDescent="0.25">
      <c r="A388" t="s">
        <v>880</v>
      </c>
      <c r="B388" t="s">
        <v>65</v>
      </c>
      <c r="C388" t="s">
        <v>66</v>
      </c>
      <c r="D388" t="s">
        <v>67</v>
      </c>
      <c r="E388" t="s">
        <v>68</v>
      </c>
      <c r="F388" t="s">
        <v>881</v>
      </c>
    </row>
    <row r="389" spans="1:6" x14ac:dyDescent="0.25">
      <c r="A389" t="s">
        <v>882</v>
      </c>
      <c r="B389" t="s">
        <v>10</v>
      </c>
      <c r="C389" t="s">
        <v>11</v>
      </c>
      <c r="D389" t="e">
        <v>#VALUE!</v>
      </c>
      <c r="E389" t="e">
        <v>#VALUE!</v>
      </c>
      <c r="F389" t="s">
        <v>883</v>
      </c>
    </row>
    <row r="390" spans="1:6" x14ac:dyDescent="0.25">
      <c r="A390" t="s">
        <v>884</v>
      </c>
      <c r="B390" t="s">
        <v>65</v>
      </c>
      <c r="C390" t="s">
        <v>66</v>
      </c>
      <c r="D390" t="s">
        <v>67</v>
      </c>
      <c r="E390" t="s">
        <v>68</v>
      </c>
      <c r="F390" t="s">
        <v>885</v>
      </c>
    </row>
    <row r="391" spans="1:6" x14ac:dyDescent="0.25">
      <c r="A391" t="s">
        <v>886</v>
      </c>
      <c r="B391" t="s">
        <v>25</v>
      </c>
      <c r="C391" t="s">
        <v>26</v>
      </c>
      <c r="D391" t="s">
        <v>27</v>
      </c>
      <c r="E391" t="s">
        <v>28</v>
      </c>
      <c r="F391" t="s">
        <v>887</v>
      </c>
    </row>
    <row r="392" spans="1:6" x14ac:dyDescent="0.25">
      <c r="A392" t="s">
        <v>888</v>
      </c>
      <c r="B392" t="s">
        <v>25</v>
      </c>
      <c r="C392" t="s">
        <v>26</v>
      </c>
      <c r="D392" t="s">
        <v>27</v>
      </c>
      <c r="E392" t="s">
        <v>28</v>
      </c>
      <c r="F392" t="s">
        <v>889</v>
      </c>
    </row>
    <row r="393" spans="1:6" x14ac:dyDescent="0.25">
      <c r="A393" t="s">
        <v>890</v>
      </c>
      <c r="B393" t="s">
        <v>31</v>
      </c>
      <c r="C393" t="s">
        <v>32</v>
      </c>
      <c r="D393" t="s">
        <v>33</v>
      </c>
      <c r="E393" t="s">
        <v>34</v>
      </c>
      <c r="F393" t="s">
        <v>891</v>
      </c>
    </row>
    <row r="394" spans="1:6" x14ac:dyDescent="0.25">
      <c r="A394" t="s">
        <v>892</v>
      </c>
      <c r="B394" t="s">
        <v>37</v>
      </c>
      <c r="C394" t="s">
        <v>38</v>
      </c>
      <c r="D394" t="s">
        <v>39</v>
      </c>
      <c r="E394" t="s">
        <v>40</v>
      </c>
      <c r="F394" t="s">
        <v>893</v>
      </c>
    </row>
    <row r="395" spans="1:6" x14ac:dyDescent="0.25">
      <c r="A395" t="s">
        <v>894</v>
      </c>
      <c r="B395" t="s">
        <v>65</v>
      </c>
      <c r="C395" t="s">
        <v>66</v>
      </c>
      <c r="D395" t="s">
        <v>67</v>
      </c>
      <c r="E395" t="s">
        <v>68</v>
      </c>
      <c r="F395" t="s">
        <v>895</v>
      </c>
    </row>
    <row r="396" spans="1:6" x14ac:dyDescent="0.25">
      <c r="A396" t="s">
        <v>896</v>
      </c>
      <c r="B396" t="s">
        <v>93</v>
      </c>
      <c r="C396" t="s">
        <v>94</v>
      </c>
      <c r="D396" t="s">
        <v>95</v>
      </c>
      <c r="E396" t="s">
        <v>96</v>
      </c>
      <c r="F396" t="s">
        <v>897</v>
      </c>
    </row>
    <row r="397" spans="1:6" x14ac:dyDescent="0.25">
      <c r="A397" t="s">
        <v>898</v>
      </c>
      <c r="B397" t="s">
        <v>93</v>
      </c>
      <c r="C397" t="s">
        <v>94</v>
      </c>
      <c r="D397" t="s">
        <v>95</v>
      </c>
      <c r="E397" t="s">
        <v>96</v>
      </c>
      <c r="F397" t="s">
        <v>899</v>
      </c>
    </row>
    <row r="398" spans="1:6" x14ac:dyDescent="0.25">
      <c r="A398" t="s">
        <v>900</v>
      </c>
      <c r="B398" t="s">
        <v>901</v>
      </c>
      <c r="C398" t="s">
        <v>902</v>
      </c>
      <c r="D398" t="e">
        <v>#VALUE!</v>
      </c>
      <c r="E398" t="e">
        <v>#VALUE!</v>
      </c>
      <c r="F398" t="s">
        <v>903</v>
      </c>
    </row>
    <row r="399" spans="1:6" x14ac:dyDescent="0.25">
      <c r="A399" t="s">
        <v>904</v>
      </c>
      <c r="B399" t="s">
        <v>53</v>
      </c>
      <c r="C399" t="s">
        <v>54</v>
      </c>
      <c r="D399" t="s">
        <v>55</v>
      </c>
      <c r="E399" t="s">
        <v>56</v>
      </c>
      <c r="F399" t="s">
        <v>905</v>
      </c>
    </row>
    <row r="400" spans="1:6" x14ac:dyDescent="0.25">
      <c r="A400" t="s">
        <v>906</v>
      </c>
      <c r="B400" t="s">
        <v>31</v>
      </c>
      <c r="C400" t="s">
        <v>32</v>
      </c>
      <c r="D400" t="s">
        <v>33</v>
      </c>
      <c r="E400" t="s">
        <v>34</v>
      </c>
      <c r="F400" t="s">
        <v>907</v>
      </c>
    </row>
    <row r="401" spans="1:6" x14ac:dyDescent="0.25">
      <c r="A401" t="s">
        <v>908</v>
      </c>
      <c r="B401" t="s">
        <v>107</v>
      </c>
      <c r="C401" t="s">
        <v>108</v>
      </c>
      <c r="D401" t="s">
        <v>109</v>
      </c>
      <c r="E401" t="s">
        <v>110</v>
      </c>
      <c r="F401" t="s">
        <v>909</v>
      </c>
    </row>
    <row r="402" spans="1:6" x14ac:dyDescent="0.25">
      <c r="A402" t="s">
        <v>910</v>
      </c>
      <c r="B402" t="s">
        <v>93</v>
      </c>
      <c r="C402" t="s">
        <v>94</v>
      </c>
      <c r="D402" t="s">
        <v>95</v>
      </c>
      <c r="E402" t="s">
        <v>96</v>
      </c>
      <c r="F402" t="s">
        <v>911</v>
      </c>
    </row>
    <row r="403" spans="1:6" x14ac:dyDescent="0.25">
      <c r="A403" t="s">
        <v>912</v>
      </c>
      <c r="B403" t="s">
        <v>93</v>
      </c>
      <c r="C403" t="s">
        <v>94</v>
      </c>
      <c r="D403" t="s">
        <v>95</v>
      </c>
      <c r="E403" t="s">
        <v>96</v>
      </c>
      <c r="F403" t="s">
        <v>913</v>
      </c>
    </row>
    <row r="404" spans="1:6" x14ac:dyDescent="0.25">
      <c r="A404" t="s">
        <v>914</v>
      </c>
      <c r="B404" t="s">
        <v>31</v>
      </c>
      <c r="C404" t="s">
        <v>32</v>
      </c>
      <c r="D404" t="s">
        <v>33</v>
      </c>
      <c r="E404" t="s">
        <v>34</v>
      </c>
      <c r="F404" t="s">
        <v>915</v>
      </c>
    </row>
    <row r="405" spans="1:6" x14ac:dyDescent="0.25">
      <c r="A405" t="s">
        <v>916</v>
      </c>
      <c r="B405" t="s">
        <v>31</v>
      </c>
      <c r="C405" t="s">
        <v>32</v>
      </c>
      <c r="D405" t="s">
        <v>33</v>
      </c>
      <c r="E405" t="s">
        <v>34</v>
      </c>
      <c r="F405" t="s">
        <v>917</v>
      </c>
    </row>
    <row r="406" spans="1:6" x14ac:dyDescent="0.25">
      <c r="A406" t="s">
        <v>918</v>
      </c>
      <c r="B406" t="s">
        <v>31</v>
      </c>
      <c r="C406" t="s">
        <v>32</v>
      </c>
      <c r="D406" t="s">
        <v>33</v>
      </c>
      <c r="E406" t="s">
        <v>34</v>
      </c>
      <c r="F406" t="s">
        <v>919</v>
      </c>
    </row>
    <row r="407" spans="1:6" x14ac:dyDescent="0.25">
      <c r="A407" t="s">
        <v>920</v>
      </c>
      <c r="B407" t="s">
        <v>25</v>
      </c>
      <c r="C407" t="s">
        <v>26</v>
      </c>
      <c r="D407" t="s">
        <v>27</v>
      </c>
      <c r="E407" t="s">
        <v>28</v>
      </c>
      <c r="F407" t="s">
        <v>921</v>
      </c>
    </row>
    <row r="408" spans="1:6" x14ac:dyDescent="0.25">
      <c r="A408" t="s">
        <v>922</v>
      </c>
      <c r="B408" t="s">
        <v>25</v>
      </c>
      <c r="C408" t="s">
        <v>26</v>
      </c>
      <c r="D408" t="s">
        <v>27</v>
      </c>
      <c r="E408" t="s">
        <v>28</v>
      </c>
      <c r="F408" t="s">
        <v>923</v>
      </c>
    </row>
    <row r="409" spans="1:6" x14ac:dyDescent="0.25">
      <c r="A409" t="s">
        <v>924</v>
      </c>
      <c r="B409" t="s">
        <v>65</v>
      </c>
      <c r="C409" t="s">
        <v>66</v>
      </c>
      <c r="D409" t="s">
        <v>67</v>
      </c>
      <c r="E409" t="s">
        <v>68</v>
      </c>
      <c r="F409" t="s">
        <v>925</v>
      </c>
    </row>
    <row r="410" spans="1:6" x14ac:dyDescent="0.25">
      <c r="A410" t="s">
        <v>926</v>
      </c>
      <c r="B410" t="s">
        <v>65</v>
      </c>
      <c r="C410" t="s">
        <v>66</v>
      </c>
      <c r="D410" t="s">
        <v>67</v>
      </c>
      <c r="E410" t="s">
        <v>68</v>
      </c>
      <c r="F410" t="s">
        <v>927</v>
      </c>
    </row>
    <row r="411" spans="1:6" x14ac:dyDescent="0.25">
      <c r="A411" t="s">
        <v>928</v>
      </c>
      <c r="B411" t="s">
        <v>65</v>
      </c>
      <c r="C411" t="s">
        <v>66</v>
      </c>
      <c r="D411" t="s">
        <v>67</v>
      </c>
      <c r="E411" t="s">
        <v>68</v>
      </c>
      <c r="F411" t="s">
        <v>929</v>
      </c>
    </row>
    <row r="412" spans="1:6" x14ac:dyDescent="0.25">
      <c r="A412" t="s">
        <v>930</v>
      </c>
      <c r="B412" t="s">
        <v>53</v>
      </c>
      <c r="C412" t="s">
        <v>54</v>
      </c>
      <c r="D412" t="s">
        <v>55</v>
      </c>
      <c r="E412" t="s">
        <v>56</v>
      </c>
      <c r="F412" t="s">
        <v>931</v>
      </c>
    </row>
    <row r="413" spans="1:6" x14ac:dyDescent="0.25">
      <c r="A413" t="s">
        <v>932</v>
      </c>
      <c r="B413" t="s">
        <v>65</v>
      </c>
      <c r="C413" t="s">
        <v>66</v>
      </c>
      <c r="D413" t="s">
        <v>67</v>
      </c>
      <c r="E413" t="s">
        <v>68</v>
      </c>
      <c r="F413" t="s">
        <v>933</v>
      </c>
    </row>
    <row r="414" spans="1:6" x14ac:dyDescent="0.25">
      <c r="A414" t="s">
        <v>934</v>
      </c>
      <c r="B414" t="s">
        <v>65</v>
      </c>
      <c r="C414" t="s">
        <v>66</v>
      </c>
      <c r="D414" t="s">
        <v>67</v>
      </c>
      <c r="E414" t="s">
        <v>68</v>
      </c>
      <c r="F414" t="s">
        <v>935</v>
      </c>
    </row>
    <row r="415" spans="1:6" x14ac:dyDescent="0.25">
      <c r="A415" t="s">
        <v>936</v>
      </c>
      <c r="B415" t="s">
        <v>65</v>
      </c>
      <c r="C415" t="s">
        <v>66</v>
      </c>
      <c r="D415" t="s">
        <v>67</v>
      </c>
      <c r="E415" t="s">
        <v>68</v>
      </c>
      <c r="F415" t="s">
        <v>937</v>
      </c>
    </row>
    <row r="416" spans="1:6" x14ac:dyDescent="0.25">
      <c r="A416" t="s">
        <v>938</v>
      </c>
      <c r="B416" t="s">
        <v>65</v>
      </c>
      <c r="C416" t="s">
        <v>66</v>
      </c>
      <c r="D416" t="s">
        <v>67</v>
      </c>
      <c r="E416" t="s">
        <v>68</v>
      </c>
      <c r="F416" t="s">
        <v>939</v>
      </c>
    </row>
    <row r="417" spans="1:6" x14ac:dyDescent="0.25">
      <c r="A417" t="s">
        <v>940</v>
      </c>
      <c r="B417" t="s">
        <v>10</v>
      </c>
      <c r="C417" t="s">
        <v>11</v>
      </c>
      <c r="D417" t="e">
        <v>#VALUE!</v>
      </c>
      <c r="E417" t="e">
        <v>#VALUE!</v>
      </c>
      <c r="F417" t="s">
        <v>941</v>
      </c>
    </row>
    <row r="418" spans="1:6" x14ac:dyDescent="0.25">
      <c r="A418" t="s">
        <v>942</v>
      </c>
      <c r="B418" t="s">
        <v>37</v>
      </c>
      <c r="C418" t="s">
        <v>38</v>
      </c>
      <c r="D418" t="s">
        <v>39</v>
      </c>
      <c r="E418" t="s">
        <v>40</v>
      </c>
      <c r="F418" t="s">
        <v>943</v>
      </c>
    </row>
    <row r="419" spans="1:6" x14ac:dyDescent="0.25">
      <c r="A419" t="s">
        <v>944</v>
      </c>
      <c r="B419" t="s">
        <v>310</v>
      </c>
      <c r="C419" t="s">
        <v>311</v>
      </c>
      <c r="D419" t="s">
        <v>312</v>
      </c>
      <c r="E419" t="s">
        <v>313</v>
      </c>
      <c r="F419" t="s">
        <v>945</v>
      </c>
    </row>
    <row r="420" spans="1:6" x14ac:dyDescent="0.25">
      <c r="A420" t="s">
        <v>946</v>
      </c>
      <c r="B420" t="s">
        <v>25</v>
      </c>
      <c r="C420" t="s">
        <v>26</v>
      </c>
      <c r="D420" t="s">
        <v>27</v>
      </c>
      <c r="E420" t="s">
        <v>28</v>
      </c>
      <c r="F420" t="s">
        <v>947</v>
      </c>
    </row>
    <row r="421" spans="1:6" x14ac:dyDescent="0.25">
      <c r="A421" t="s">
        <v>948</v>
      </c>
      <c r="B421" t="s">
        <v>25</v>
      </c>
      <c r="C421" t="s">
        <v>26</v>
      </c>
      <c r="D421" t="s">
        <v>27</v>
      </c>
      <c r="E421" t="s">
        <v>28</v>
      </c>
      <c r="F421" t="s">
        <v>949</v>
      </c>
    </row>
    <row r="422" spans="1:6" x14ac:dyDescent="0.25">
      <c r="A422" t="s">
        <v>950</v>
      </c>
      <c r="B422" t="s">
        <v>336</v>
      </c>
      <c r="C422" t="s">
        <v>337</v>
      </c>
      <c r="D422" t="s">
        <v>338</v>
      </c>
      <c r="E422" t="s">
        <v>339</v>
      </c>
      <c r="F422" t="s">
        <v>951</v>
      </c>
    </row>
    <row r="423" spans="1:6" x14ac:dyDescent="0.25">
      <c r="A423" t="s">
        <v>952</v>
      </c>
      <c r="B423" t="s">
        <v>65</v>
      </c>
      <c r="C423" t="s">
        <v>66</v>
      </c>
      <c r="D423" t="s">
        <v>67</v>
      </c>
      <c r="E423" t="s">
        <v>68</v>
      </c>
      <c r="F423" t="s">
        <v>953</v>
      </c>
    </row>
    <row r="424" spans="1:6" x14ac:dyDescent="0.25">
      <c r="A424" t="s">
        <v>954</v>
      </c>
      <c r="B424" t="s">
        <v>31</v>
      </c>
      <c r="C424" t="s">
        <v>32</v>
      </c>
      <c r="D424" t="s">
        <v>33</v>
      </c>
      <c r="E424" t="s">
        <v>34</v>
      </c>
      <c r="F424" t="s">
        <v>955</v>
      </c>
    </row>
    <row r="425" spans="1:6" x14ac:dyDescent="0.25">
      <c r="A425" t="s">
        <v>956</v>
      </c>
      <c r="B425" t="s">
        <v>31</v>
      </c>
      <c r="C425" t="s">
        <v>32</v>
      </c>
      <c r="D425" t="s">
        <v>33</v>
      </c>
      <c r="E425" t="s">
        <v>34</v>
      </c>
      <c r="F425" t="s">
        <v>957</v>
      </c>
    </row>
    <row r="426" spans="1:6" x14ac:dyDescent="0.25">
      <c r="A426" t="s">
        <v>958</v>
      </c>
      <c r="B426" t="s">
        <v>93</v>
      </c>
      <c r="C426" t="s">
        <v>94</v>
      </c>
      <c r="D426" t="s">
        <v>95</v>
      </c>
      <c r="E426" t="s">
        <v>96</v>
      </c>
      <c r="F426" t="s">
        <v>959</v>
      </c>
    </row>
    <row r="427" spans="1:6" x14ac:dyDescent="0.25">
      <c r="A427" t="s">
        <v>960</v>
      </c>
      <c r="B427" t="s">
        <v>65</v>
      </c>
      <c r="C427" t="s">
        <v>66</v>
      </c>
      <c r="D427" t="s">
        <v>67</v>
      </c>
      <c r="E427" t="s">
        <v>68</v>
      </c>
      <c r="F427" t="s">
        <v>961</v>
      </c>
    </row>
    <row r="428" spans="1:6" x14ac:dyDescent="0.25">
      <c r="A428" t="s">
        <v>962</v>
      </c>
      <c r="B428" t="s">
        <v>65</v>
      </c>
      <c r="C428" t="s">
        <v>66</v>
      </c>
      <c r="D428" t="s">
        <v>67</v>
      </c>
      <c r="E428" t="s">
        <v>68</v>
      </c>
      <c r="F428" t="s">
        <v>963</v>
      </c>
    </row>
    <row r="429" spans="1:6" x14ac:dyDescent="0.25">
      <c r="A429" t="s">
        <v>964</v>
      </c>
      <c r="B429" t="s">
        <v>965</v>
      </c>
      <c r="C429" t="s">
        <v>966</v>
      </c>
      <c r="D429" t="s">
        <v>967</v>
      </c>
      <c r="E429" t="s">
        <v>968</v>
      </c>
      <c r="F429" t="s">
        <v>969</v>
      </c>
    </row>
    <row r="430" spans="1:6" x14ac:dyDescent="0.25">
      <c r="A430" t="s">
        <v>970</v>
      </c>
      <c r="B430" t="s">
        <v>548</v>
      </c>
      <c r="C430" t="s">
        <v>549</v>
      </c>
      <c r="D430" t="s">
        <v>550</v>
      </c>
      <c r="E430" t="s">
        <v>551</v>
      </c>
      <c r="F430" t="s">
        <v>971</v>
      </c>
    </row>
    <row r="431" spans="1:6" x14ac:dyDescent="0.25">
      <c r="A431" t="s">
        <v>972</v>
      </c>
      <c r="B431" t="s">
        <v>25</v>
      </c>
      <c r="C431" t="s">
        <v>26</v>
      </c>
      <c r="D431" t="s">
        <v>27</v>
      </c>
      <c r="E431" t="s">
        <v>28</v>
      </c>
      <c r="F431" t="s">
        <v>973</v>
      </c>
    </row>
    <row r="432" spans="1:6" x14ac:dyDescent="0.25">
      <c r="A432" t="s">
        <v>974</v>
      </c>
      <c r="B432" t="s">
        <v>65</v>
      </c>
      <c r="C432" t="s">
        <v>66</v>
      </c>
      <c r="D432" t="s">
        <v>67</v>
      </c>
      <c r="E432" t="s">
        <v>68</v>
      </c>
      <c r="F432" t="s">
        <v>975</v>
      </c>
    </row>
    <row r="433" spans="1:6" x14ac:dyDescent="0.25">
      <c r="A433" t="s">
        <v>976</v>
      </c>
      <c r="B433" t="s">
        <v>65</v>
      </c>
      <c r="C433" t="s">
        <v>66</v>
      </c>
      <c r="D433" t="s">
        <v>67</v>
      </c>
      <c r="E433" t="s">
        <v>68</v>
      </c>
      <c r="F433" t="s">
        <v>977</v>
      </c>
    </row>
    <row r="434" spans="1:6" x14ac:dyDescent="0.25">
      <c r="A434" t="s">
        <v>978</v>
      </c>
      <c r="B434" t="s">
        <v>979</v>
      </c>
      <c r="C434" t="s">
        <v>980</v>
      </c>
      <c r="D434" t="s">
        <v>352</v>
      </c>
      <c r="E434" t="s">
        <v>353</v>
      </c>
      <c r="F434" t="e">
        <v>#VALUE!</v>
      </c>
    </row>
    <row r="435" spans="1:6" x14ac:dyDescent="0.25">
      <c r="A435" t="s">
        <v>981</v>
      </c>
      <c r="B435" t="s">
        <v>37</v>
      </c>
      <c r="C435" t="s">
        <v>38</v>
      </c>
      <c r="D435" t="s">
        <v>39</v>
      </c>
      <c r="E435" t="s">
        <v>40</v>
      </c>
      <c r="F435" t="s">
        <v>982</v>
      </c>
    </row>
    <row r="436" spans="1:6" x14ac:dyDescent="0.25">
      <c r="A436" t="s">
        <v>983</v>
      </c>
      <c r="B436" t="s">
        <v>65</v>
      </c>
      <c r="C436" t="s">
        <v>66</v>
      </c>
      <c r="D436" t="s">
        <v>67</v>
      </c>
      <c r="E436" t="s">
        <v>68</v>
      </c>
      <c r="F436" t="e">
        <v>#VALUE!</v>
      </c>
    </row>
    <row r="437" spans="1:6" x14ac:dyDescent="0.25">
      <c r="A437" t="s">
        <v>984</v>
      </c>
      <c r="B437" t="s">
        <v>53</v>
      </c>
      <c r="C437" t="s">
        <v>54</v>
      </c>
      <c r="D437" t="s">
        <v>55</v>
      </c>
      <c r="E437" t="s">
        <v>56</v>
      </c>
      <c r="F437" t="s">
        <v>985</v>
      </c>
    </row>
    <row r="438" spans="1:6" x14ac:dyDescent="0.25">
      <c r="A438" t="s">
        <v>986</v>
      </c>
      <c r="B438" t="s">
        <v>53</v>
      </c>
      <c r="C438" t="s">
        <v>54</v>
      </c>
      <c r="D438" t="s">
        <v>55</v>
      </c>
      <c r="E438" t="s">
        <v>56</v>
      </c>
      <c r="F438" t="s">
        <v>987</v>
      </c>
    </row>
    <row r="439" spans="1:6" x14ac:dyDescent="0.25">
      <c r="A439" t="s">
        <v>988</v>
      </c>
      <c r="B439" t="s">
        <v>10</v>
      </c>
      <c r="C439" t="s">
        <v>11</v>
      </c>
      <c r="D439" t="e">
        <v>#VALUE!</v>
      </c>
      <c r="E439" t="e">
        <v>#VALUE!</v>
      </c>
      <c r="F439" t="s">
        <v>989</v>
      </c>
    </row>
    <row r="440" spans="1:6" x14ac:dyDescent="0.25">
      <c r="A440" t="s">
        <v>990</v>
      </c>
      <c r="B440" t="s">
        <v>669</v>
      </c>
      <c r="C440" t="s">
        <v>670</v>
      </c>
      <c r="D440" t="e">
        <v>#VALUE!</v>
      </c>
      <c r="E440" t="e">
        <v>#VALUE!</v>
      </c>
      <c r="F440" t="s">
        <v>991</v>
      </c>
    </row>
    <row r="441" spans="1:6" x14ac:dyDescent="0.25">
      <c r="A441" t="s">
        <v>992</v>
      </c>
      <c r="B441" t="s">
        <v>45</v>
      </c>
      <c r="C441" t="s">
        <v>46</v>
      </c>
      <c r="D441" t="s">
        <v>47</v>
      </c>
      <c r="E441" t="s">
        <v>48</v>
      </c>
      <c r="F441" t="s">
        <v>993</v>
      </c>
    </row>
    <row r="442" spans="1:6" x14ac:dyDescent="0.25">
      <c r="A442" t="s">
        <v>994</v>
      </c>
      <c r="B442" t="s">
        <v>93</v>
      </c>
      <c r="C442" t="s">
        <v>94</v>
      </c>
      <c r="D442" t="s">
        <v>95</v>
      </c>
      <c r="E442" t="s">
        <v>96</v>
      </c>
      <c r="F442" t="s">
        <v>995</v>
      </c>
    </row>
    <row r="443" spans="1:6" x14ac:dyDescent="0.25">
      <c r="A443" t="s">
        <v>996</v>
      </c>
      <c r="B443" t="s">
        <v>31</v>
      </c>
      <c r="C443" t="s">
        <v>32</v>
      </c>
      <c r="D443" t="s">
        <v>33</v>
      </c>
      <c r="E443" t="s">
        <v>34</v>
      </c>
      <c r="F443" t="s">
        <v>997</v>
      </c>
    </row>
    <row r="444" spans="1:6" x14ac:dyDescent="0.25">
      <c r="A444" t="s">
        <v>998</v>
      </c>
      <c r="B444" t="s">
        <v>31</v>
      </c>
      <c r="C444" t="s">
        <v>32</v>
      </c>
      <c r="D444" t="s">
        <v>33</v>
      </c>
      <c r="E444" t="s">
        <v>34</v>
      </c>
      <c r="F444" t="s">
        <v>999</v>
      </c>
    </row>
    <row r="445" spans="1:6" x14ac:dyDescent="0.25">
      <c r="A445" t="s">
        <v>1000</v>
      </c>
      <c r="B445" t="s">
        <v>37</v>
      </c>
      <c r="C445" t="s">
        <v>38</v>
      </c>
      <c r="D445" t="s">
        <v>39</v>
      </c>
      <c r="E445" t="s">
        <v>40</v>
      </c>
      <c r="F445" t="s">
        <v>1001</v>
      </c>
    </row>
    <row r="446" spans="1:6" x14ac:dyDescent="0.25">
      <c r="A446" t="s">
        <v>1002</v>
      </c>
      <c r="B446" t="s">
        <v>37</v>
      </c>
      <c r="C446" t="s">
        <v>38</v>
      </c>
      <c r="D446" t="s">
        <v>39</v>
      </c>
      <c r="E446" t="s">
        <v>40</v>
      </c>
      <c r="F446" t="s">
        <v>1003</v>
      </c>
    </row>
    <row r="447" spans="1:6" x14ac:dyDescent="0.25">
      <c r="A447" t="s">
        <v>1004</v>
      </c>
      <c r="B447" t="s">
        <v>53</v>
      </c>
      <c r="C447" t="s">
        <v>54</v>
      </c>
      <c r="D447" t="s">
        <v>55</v>
      </c>
      <c r="E447" t="s">
        <v>56</v>
      </c>
      <c r="F447" t="s">
        <v>1005</v>
      </c>
    </row>
    <row r="448" spans="1:6" x14ac:dyDescent="0.25">
      <c r="A448" t="s">
        <v>1006</v>
      </c>
      <c r="B448" t="s">
        <v>582</v>
      </c>
      <c r="C448" t="s">
        <v>583</v>
      </c>
      <c r="D448" t="s">
        <v>584</v>
      </c>
      <c r="E448" t="s">
        <v>585</v>
      </c>
      <c r="F448" t="e">
        <v>#VALUE!</v>
      </c>
    </row>
    <row r="449" spans="1:6" x14ac:dyDescent="0.25">
      <c r="A449" t="s">
        <v>1007</v>
      </c>
      <c r="B449" t="s">
        <v>45</v>
      </c>
      <c r="C449" t="s">
        <v>46</v>
      </c>
      <c r="D449" t="s">
        <v>47</v>
      </c>
      <c r="E449" t="s">
        <v>48</v>
      </c>
      <c r="F449" t="s">
        <v>1008</v>
      </c>
    </row>
    <row r="450" spans="1:6" x14ac:dyDescent="0.25">
      <c r="A450" t="s">
        <v>1009</v>
      </c>
      <c r="B450" t="s">
        <v>53</v>
      </c>
      <c r="C450" t="s">
        <v>54</v>
      </c>
      <c r="D450" t="s">
        <v>55</v>
      </c>
      <c r="E450" t="s">
        <v>56</v>
      </c>
      <c r="F450" t="s">
        <v>1010</v>
      </c>
    </row>
    <row r="451" spans="1:6" x14ac:dyDescent="0.25">
      <c r="A451" t="s">
        <v>1011</v>
      </c>
      <c r="B451" t="s">
        <v>25</v>
      </c>
      <c r="C451" t="s">
        <v>26</v>
      </c>
      <c r="D451" t="s">
        <v>27</v>
      </c>
      <c r="E451" t="s">
        <v>28</v>
      </c>
      <c r="F451" t="s">
        <v>1012</v>
      </c>
    </row>
    <row r="452" spans="1:6" x14ac:dyDescent="0.25">
      <c r="A452" t="s">
        <v>1013</v>
      </c>
      <c r="B452" t="s">
        <v>45</v>
      </c>
      <c r="C452" t="s">
        <v>46</v>
      </c>
      <c r="D452" t="s">
        <v>47</v>
      </c>
      <c r="E452" t="s">
        <v>48</v>
      </c>
      <c r="F452" t="s">
        <v>1014</v>
      </c>
    </row>
    <row r="453" spans="1:6" x14ac:dyDescent="0.25">
      <c r="A453" t="s">
        <v>1015</v>
      </c>
      <c r="B453" t="s">
        <v>419</v>
      </c>
      <c r="C453" t="s">
        <v>420</v>
      </c>
      <c r="D453" t="s">
        <v>421</v>
      </c>
      <c r="E453" t="s">
        <v>422</v>
      </c>
      <c r="F453" t="s">
        <v>1016</v>
      </c>
    </row>
    <row r="454" spans="1:6" x14ac:dyDescent="0.25">
      <c r="A454" t="s">
        <v>1017</v>
      </c>
      <c r="B454" t="s">
        <v>901</v>
      </c>
      <c r="C454" t="s">
        <v>902</v>
      </c>
      <c r="D454" t="e">
        <v>#VALUE!</v>
      </c>
      <c r="E454" t="e">
        <v>#VALUE!</v>
      </c>
      <c r="F454" t="s">
        <v>1018</v>
      </c>
    </row>
    <row r="455" spans="1:6" x14ac:dyDescent="0.25">
      <c r="A455" t="s">
        <v>1019</v>
      </c>
      <c r="B455" t="s">
        <v>65</v>
      </c>
      <c r="C455" t="s">
        <v>66</v>
      </c>
      <c r="D455" t="s">
        <v>67</v>
      </c>
      <c r="E455" t="s">
        <v>68</v>
      </c>
      <c r="F455" t="s">
        <v>1020</v>
      </c>
    </row>
    <row r="456" spans="1:6" x14ac:dyDescent="0.25">
      <c r="A456" t="s">
        <v>1021</v>
      </c>
      <c r="B456" t="s">
        <v>31</v>
      </c>
      <c r="C456" t="s">
        <v>32</v>
      </c>
      <c r="D456" t="s">
        <v>33</v>
      </c>
      <c r="E456" t="s">
        <v>34</v>
      </c>
      <c r="F456" t="s">
        <v>1022</v>
      </c>
    </row>
    <row r="457" spans="1:6" x14ac:dyDescent="0.25">
      <c r="A457" t="s">
        <v>1023</v>
      </c>
      <c r="B457" t="s">
        <v>31</v>
      </c>
      <c r="C457" t="s">
        <v>32</v>
      </c>
      <c r="D457" t="s">
        <v>33</v>
      </c>
      <c r="E457" t="s">
        <v>34</v>
      </c>
      <c r="F457" t="s">
        <v>1024</v>
      </c>
    </row>
    <row r="458" spans="1:6" x14ac:dyDescent="0.25">
      <c r="A458" t="s">
        <v>1025</v>
      </c>
      <c r="B458" t="s">
        <v>31</v>
      </c>
      <c r="C458" t="s">
        <v>32</v>
      </c>
      <c r="D458" t="s">
        <v>33</v>
      </c>
      <c r="E458" t="s">
        <v>34</v>
      </c>
      <c r="F458" t="s">
        <v>1026</v>
      </c>
    </row>
    <row r="459" spans="1:6" x14ac:dyDescent="0.25">
      <c r="A459" t="s">
        <v>1027</v>
      </c>
      <c r="B459" t="s">
        <v>53</v>
      </c>
      <c r="C459" t="s">
        <v>54</v>
      </c>
      <c r="D459" t="s">
        <v>55</v>
      </c>
      <c r="E459" t="s">
        <v>56</v>
      </c>
      <c r="F459" t="s">
        <v>1028</v>
      </c>
    </row>
    <row r="460" spans="1:6" x14ac:dyDescent="0.25">
      <c r="A460" t="s">
        <v>1029</v>
      </c>
      <c r="B460" t="s">
        <v>93</v>
      </c>
      <c r="C460" t="s">
        <v>94</v>
      </c>
      <c r="D460" t="s">
        <v>95</v>
      </c>
      <c r="E460" t="s">
        <v>96</v>
      </c>
      <c r="F460" t="s">
        <v>1030</v>
      </c>
    </row>
    <row r="461" spans="1:6" x14ac:dyDescent="0.25">
      <c r="A461" t="s">
        <v>1031</v>
      </c>
      <c r="B461" t="s">
        <v>548</v>
      </c>
      <c r="C461" t="s">
        <v>549</v>
      </c>
      <c r="D461" t="s">
        <v>550</v>
      </c>
      <c r="E461" t="s">
        <v>551</v>
      </c>
      <c r="F461" t="s">
        <v>1032</v>
      </c>
    </row>
    <row r="462" spans="1:6" x14ac:dyDescent="0.25">
      <c r="A462" t="s">
        <v>1033</v>
      </c>
      <c r="B462" t="s">
        <v>394</v>
      </c>
      <c r="C462" t="s">
        <v>395</v>
      </c>
      <c r="D462" t="s">
        <v>396</v>
      </c>
      <c r="E462" t="s">
        <v>397</v>
      </c>
      <c r="F462" t="s">
        <v>1034</v>
      </c>
    </row>
    <row r="463" spans="1:6" x14ac:dyDescent="0.25">
      <c r="A463" t="s">
        <v>1035</v>
      </c>
      <c r="B463" t="s">
        <v>65</v>
      </c>
      <c r="C463" t="s">
        <v>66</v>
      </c>
      <c r="D463" t="s">
        <v>67</v>
      </c>
      <c r="E463" t="s">
        <v>68</v>
      </c>
      <c r="F463" t="s">
        <v>1036</v>
      </c>
    </row>
    <row r="464" spans="1:6" x14ac:dyDescent="0.25">
      <c r="A464" t="s">
        <v>1037</v>
      </c>
      <c r="B464" t="s">
        <v>45</v>
      </c>
      <c r="C464" t="s">
        <v>46</v>
      </c>
      <c r="D464" t="s">
        <v>47</v>
      </c>
      <c r="E464" t="s">
        <v>48</v>
      </c>
      <c r="F464" t="s">
        <v>1038</v>
      </c>
    </row>
    <row r="465" spans="1:6" x14ac:dyDescent="0.25">
      <c r="A465" t="s">
        <v>1039</v>
      </c>
      <c r="B465" t="s">
        <v>93</v>
      </c>
      <c r="C465" t="s">
        <v>94</v>
      </c>
      <c r="D465" t="s">
        <v>95</v>
      </c>
      <c r="E465" t="s">
        <v>96</v>
      </c>
      <c r="F465" t="s">
        <v>1040</v>
      </c>
    </row>
    <row r="466" spans="1:6" x14ac:dyDescent="0.25">
      <c r="A466" t="s">
        <v>1041</v>
      </c>
      <c r="B466" t="s">
        <v>31</v>
      </c>
      <c r="C466" t="s">
        <v>32</v>
      </c>
      <c r="D466" t="s">
        <v>33</v>
      </c>
      <c r="E466" t="s">
        <v>34</v>
      </c>
      <c r="F466" t="s">
        <v>1042</v>
      </c>
    </row>
    <row r="467" spans="1:6" x14ac:dyDescent="0.25">
      <c r="A467" t="s">
        <v>1043</v>
      </c>
      <c r="B467" t="s">
        <v>1044</v>
      </c>
      <c r="C467" t="s">
        <v>1045</v>
      </c>
      <c r="D467" t="s">
        <v>1046</v>
      </c>
      <c r="E467" t="s">
        <v>1047</v>
      </c>
      <c r="F467" t="s">
        <v>1048</v>
      </c>
    </row>
    <row r="468" spans="1:6" x14ac:dyDescent="0.25">
      <c r="A468" t="s">
        <v>1049</v>
      </c>
      <c r="B468" t="s">
        <v>65</v>
      </c>
      <c r="C468" t="s">
        <v>66</v>
      </c>
      <c r="D468" t="s">
        <v>67</v>
      </c>
      <c r="E468" t="s">
        <v>68</v>
      </c>
      <c r="F468" t="s">
        <v>1050</v>
      </c>
    </row>
    <row r="469" spans="1:6" x14ac:dyDescent="0.25">
      <c r="A469" t="s">
        <v>1051</v>
      </c>
      <c r="B469" t="s">
        <v>93</v>
      </c>
      <c r="C469" t="s">
        <v>94</v>
      </c>
      <c r="D469" t="s">
        <v>95</v>
      </c>
      <c r="E469" t="s">
        <v>96</v>
      </c>
      <c r="F469" t="s">
        <v>1052</v>
      </c>
    </row>
    <row r="470" spans="1:6" x14ac:dyDescent="0.25">
      <c r="A470" t="s">
        <v>1053</v>
      </c>
      <c r="B470" t="s">
        <v>93</v>
      </c>
      <c r="C470" t="s">
        <v>94</v>
      </c>
      <c r="D470" t="s">
        <v>95</v>
      </c>
      <c r="E470" t="s">
        <v>96</v>
      </c>
      <c r="F470" t="s">
        <v>1054</v>
      </c>
    </row>
    <row r="471" spans="1:6" x14ac:dyDescent="0.25">
      <c r="A471" t="s">
        <v>1055</v>
      </c>
      <c r="B471" t="s">
        <v>65</v>
      </c>
      <c r="C471" t="s">
        <v>66</v>
      </c>
      <c r="D471" t="s">
        <v>67</v>
      </c>
      <c r="E471" t="s">
        <v>68</v>
      </c>
      <c r="F471" t="s">
        <v>1056</v>
      </c>
    </row>
    <row r="472" spans="1:6" x14ac:dyDescent="0.25">
      <c r="A472" t="s">
        <v>1057</v>
      </c>
      <c r="B472" t="s">
        <v>65</v>
      </c>
      <c r="C472" t="s">
        <v>66</v>
      </c>
      <c r="D472" t="s">
        <v>67</v>
      </c>
      <c r="E472" t="s">
        <v>68</v>
      </c>
      <c r="F472" t="s">
        <v>1058</v>
      </c>
    </row>
    <row r="473" spans="1:6" x14ac:dyDescent="0.25">
      <c r="A473" t="s">
        <v>1059</v>
      </c>
      <c r="B473" t="s">
        <v>669</v>
      </c>
      <c r="C473" t="s">
        <v>670</v>
      </c>
      <c r="D473" t="e">
        <v>#VALUE!</v>
      </c>
      <c r="E473" t="e">
        <v>#VALUE!</v>
      </c>
      <c r="F473" t="s">
        <v>1060</v>
      </c>
    </row>
    <row r="474" spans="1:6" x14ac:dyDescent="0.25">
      <c r="A474" t="s">
        <v>1061</v>
      </c>
      <c r="B474" t="s">
        <v>65</v>
      </c>
      <c r="C474" t="s">
        <v>66</v>
      </c>
      <c r="D474" t="s">
        <v>67</v>
      </c>
      <c r="E474" t="s">
        <v>68</v>
      </c>
      <c r="F474" t="s">
        <v>1062</v>
      </c>
    </row>
    <row r="475" spans="1:6" x14ac:dyDescent="0.25">
      <c r="A475" t="s">
        <v>1063</v>
      </c>
      <c r="B475" t="s">
        <v>157</v>
      </c>
      <c r="C475" t="s">
        <v>158</v>
      </c>
      <c r="D475" t="s">
        <v>159</v>
      </c>
      <c r="E475" t="s">
        <v>160</v>
      </c>
      <c r="F475" t="s">
        <v>1064</v>
      </c>
    </row>
    <row r="476" spans="1:6" x14ac:dyDescent="0.25">
      <c r="A476" t="s">
        <v>1065</v>
      </c>
      <c r="B476" t="s">
        <v>45</v>
      </c>
      <c r="C476" t="s">
        <v>46</v>
      </c>
      <c r="D476" t="s">
        <v>47</v>
      </c>
      <c r="E476" t="s">
        <v>48</v>
      </c>
      <c r="F476" t="s">
        <v>1066</v>
      </c>
    </row>
    <row r="477" spans="1:6" x14ac:dyDescent="0.25">
      <c r="A477" t="s">
        <v>1067</v>
      </c>
      <c r="B477" t="s">
        <v>394</v>
      </c>
      <c r="C477" t="s">
        <v>395</v>
      </c>
      <c r="D477" t="s">
        <v>396</v>
      </c>
      <c r="E477" t="s">
        <v>397</v>
      </c>
      <c r="F477" t="s">
        <v>1068</v>
      </c>
    </row>
    <row r="478" spans="1:6" x14ac:dyDescent="0.25">
      <c r="A478" t="s">
        <v>1069</v>
      </c>
      <c r="B478" t="s">
        <v>53</v>
      </c>
      <c r="C478" t="s">
        <v>54</v>
      </c>
      <c r="D478" t="s">
        <v>55</v>
      </c>
      <c r="E478" t="s">
        <v>56</v>
      </c>
      <c r="F478" t="s">
        <v>1070</v>
      </c>
    </row>
    <row r="479" spans="1:6" x14ac:dyDescent="0.25">
      <c r="A479" t="s">
        <v>1071</v>
      </c>
      <c r="B479" t="s">
        <v>25</v>
      </c>
      <c r="C479" t="s">
        <v>26</v>
      </c>
      <c r="D479" t="s">
        <v>27</v>
      </c>
      <c r="E479" t="s">
        <v>28</v>
      </c>
      <c r="F479" t="s">
        <v>1072</v>
      </c>
    </row>
    <row r="480" spans="1:6" x14ac:dyDescent="0.25">
      <c r="A480" t="s">
        <v>1073</v>
      </c>
      <c r="B480" t="s">
        <v>65</v>
      </c>
      <c r="C480" t="s">
        <v>66</v>
      </c>
      <c r="D480" t="s">
        <v>67</v>
      </c>
      <c r="E480" t="s">
        <v>68</v>
      </c>
      <c r="F480" t="s">
        <v>1074</v>
      </c>
    </row>
    <row r="481" spans="1:6" x14ac:dyDescent="0.25">
      <c r="A481" t="s">
        <v>1075</v>
      </c>
      <c r="B481" t="s">
        <v>37</v>
      </c>
      <c r="C481" t="s">
        <v>38</v>
      </c>
      <c r="D481" t="s">
        <v>39</v>
      </c>
      <c r="E481" t="s">
        <v>40</v>
      </c>
      <c r="F481" t="s">
        <v>1076</v>
      </c>
    </row>
    <row r="482" spans="1:6" x14ac:dyDescent="0.25">
      <c r="A482" t="s">
        <v>1077</v>
      </c>
      <c r="B482" t="s">
        <v>65</v>
      </c>
      <c r="C482" t="s">
        <v>66</v>
      </c>
      <c r="D482" t="s">
        <v>67</v>
      </c>
      <c r="E482" t="s">
        <v>68</v>
      </c>
      <c r="F482" t="s">
        <v>1078</v>
      </c>
    </row>
    <row r="483" spans="1:6" x14ac:dyDescent="0.25">
      <c r="A483" t="s">
        <v>1079</v>
      </c>
      <c r="B483" t="s">
        <v>65</v>
      </c>
      <c r="C483" t="s">
        <v>66</v>
      </c>
      <c r="D483" t="s">
        <v>67</v>
      </c>
      <c r="E483" t="s">
        <v>68</v>
      </c>
      <c r="F483" t="s">
        <v>1080</v>
      </c>
    </row>
    <row r="484" spans="1:6" x14ac:dyDescent="0.25">
      <c r="A484" t="s">
        <v>1081</v>
      </c>
      <c r="B484" t="s">
        <v>53</v>
      </c>
      <c r="C484" t="s">
        <v>54</v>
      </c>
      <c r="D484" t="s">
        <v>55</v>
      </c>
      <c r="E484" t="s">
        <v>56</v>
      </c>
      <c r="F484" t="s">
        <v>1082</v>
      </c>
    </row>
    <row r="485" spans="1:6" x14ac:dyDescent="0.25">
      <c r="A485" t="s">
        <v>1083</v>
      </c>
      <c r="B485" t="s">
        <v>65</v>
      </c>
      <c r="C485" t="s">
        <v>66</v>
      </c>
      <c r="D485" t="s">
        <v>67</v>
      </c>
      <c r="E485" t="s">
        <v>68</v>
      </c>
      <c r="F485" t="e">
        <v>#VALUE!</v>
      </c>
    </row>
    <row r="486" spans="1:6" x14ac:dyDescent="0.25">
      <c r="A486" t="s">
        <v>1084</v>
      </c>
      <c r="B486" t="s">
        <v>65</v>
      </c>
      <c r="C486" t="s">
        <v>66</v>
      </c>
      <c r="D486" t="s">
        <v>67</v>
      </c>
      <c r="E486" t="s">
        <v>68</v>
      </c>
      <c r="F486" t="s">
        <v>1085</v>
      </c>
    </row>
    <row r="487" spans="1:6" x14ac:dyDescent="0.25">
      <c r="A487" t="s">
        <v>1086</v>
      </c>
      <c r="B487" t="s">
        <v>31</v>
      </c>
      <c r="C487" t="s">
        <v>32</v>
      </c>
      <c r="D487" t="s">
        <v>33</v>
      </c>
      <c r="E487" t="s">
        <v>34</v>
      </c>
      <c r="F487" t="s">
        <v>1087</v>
      </c>
    </row>
    <row r="488" spans="1:6" x14ac:dyDescent="0.25">
      <c r="A488" t="s">
        <v>1088</v>
      </c>
      <c r="B488" t="s">
        <v>669</v>
      </c>
      <c r="C488" t="s">
        <v>670</v>
      </c>
      <c r="D488" t="e">
        <v>#VALUE!</v>
      </c>
      <c r="E488" t="e">
        <v>#VALUE!</v>
      </c>
      <c r="F488" t="s">
        <v>1089</v>
      </c>
    </row>
    <row r="489" spans="1:6" x14ac:dyDescent="0.25">
      <c r="A489" t="s">
        <v>1090</v>
      </c>
      <c r="B489" t="s">
        <v>37</v>
      </c>
      <c r="C489" t="s">
        <v>38</v>
      </c>
      <c r="D489" t="s">
        <v>39</v>
      </c>
      <c r="E489" t="s">
        <v>40</v>
      </c>
      <c r="F489" t="s">
        <v>1091</v>
      </c>
    </row>
    <row r="490" spans="1:6" x14ac:dyDescent="0.25">
      <c r="A490" t="s">
        <v>1092</v>
      </c>
      <c r="B490" t="s">
        <v>65</v>
      </c>
      <c r="C490" t="s">
        <v>66</v>
      </c>
      <c r="D490" t="s">
        <v>67</v>
      </c>
      <c r="E490" t="s">
        <v>68</v>
      </c>
      <c r="F490" t="s">
        <v>1093</v>
      </c>
    </row>
    <row r="491" spans="1:6" x14ac:dyDescent="0.25">
      <c r="A491" t="s">
        <v>1094</v>
      </c>
      <c r="B491" t="s">
        <v>157</v>
      </c>
      <c r="C491" t="s">
        <v>158</v>
      </c>
      <c r="D491" t="s">
        <v>159</v>
      </c>
      <c r="E491" t="s">
        <v>160</v>
      </c>
      <c r="F491" t="s">
        <v>1095</v>
      </c>
    </row>
    <row r="492" spans="1:6" x14ac:dyDescent="0.25">
      <c r="A492" t="s">
        <v>1096</v>
      </c>
      <c r="B492" t="s">
        <v>31</v>
      </c>
      <c r="C492" t="s">
        <v>32</v>
      </c>
      <c r="D492" t="s">
        <v>33</v>
      </c>
      <c r="E492" t="s">
        <v>34</v>
      </c>
      <c r="F492" t="s">
        <v>1097</v>
      </c>
    </row>
    <row r="493" spans="1:6" x14ac:dyDescent="0.25">
      <c r="A493" t="s">
        <v>1098</v>
      </c>
      <c r="B493" t="s">
        <v>37</v>
      </c>
      <c r="C493" t="s">
        <v>38</v>
      </c>
      <c r="D493" t="s">
        <v>39</v>
      </c>
      <c r="E493" t="s">
        <v>40</v>
      </c>
      <c r="F493" t="s">
        <v>1099</v>
      </c>
    </row>
    <row r="494" spans="1:6" x14ac:dyDescent="0.25">
      <c r="A494" t="s">
        <v>1100</v>
      </c>
      <c r="B494" t="s">
        <v>37</v>
      </c>
      <c r="C494" t="s">
        <v>38</v>
      </c>
      <c r="D494" t="s">
        <v>39</v>
      </c>
      <c r="E494" t="s">
        <v>40</v>
      </c>
      <c r="F494" t="s">
        <v>1101</v>
      </c>
    </row>
    <row r="495" spans="1:6" x14ac:dyDescent="0.25">
      <c r="A495" t="s">
        <v>1102</v>
      </c>
      <c r="B495" t="s">
        <v>157</v>
      </c>
      <c r="C495" t="s">
        <v>158</v>
      </c>
      <c r="D495" t="s">
        <v>159</v>
      </c>
      <c r="E495" t="s">
        <v>160</v>
      </c>
      <c r="F495" t="s">
        <v>1103</v>
      </c>
    </row>
    <row r="496" spans="1:6" x14ac:dyDescent="0.25">
      <c r="A496" t="s">
        <v>1104</v>
      </c>
      <c r="B496" t="s">
        <v>25</v>
      </c>
      <c r="C496" t="s">
        <v>26</v>
      </c>
      <c r="D496" t="s">
        <v>27</v>
      </c>
      <c r="E496" t="s">
        <v>28</v>
      </c>
      <c r="F496" t="e">
        <v>#VALUE!</v>
      </c>
    </row>
    <row r="497" spans="1:6" x14ac:dyDescent="0.25">
      <c r="A497" t="s">
        <v>1105</v>
      </c>
      <c r="B497" t="s">
        <v>14</v>
      </c>
      <c r="C497" t="s">
        <v>15</v>
      </c>
      <c r="D497" t="s">
        <v>16</v>
      </c>
      <c r="E497" t="s">
        <v>17</v>
      </c>
      <c r="F497" t="s">
        <v>1106</v>
      </c>
    </row>
    <row r="498" spans="1:6" x14ac:dyDescent="0.25">
      <c r="A498" t="s">
        <v>1107</v>
      </c>
      <c r="B498" t="s">
        <v>93</v>
      </c>
      <c r="C498" t="s">
        <v>94</v>
      </c>
      <c r="D498" t="s">
        <v>95</v>
      </c>
      <c r="E498" t="s">
        <v>96</v>
      </c>
      <c r="F498" t="s">
        <v>1108</v>
      </c>
    </row>
    <row r="499" spans="1:6" x14ac:dyDescent="0.25">
      <c r="A499" t="s">
        <v>1109</v>
      </c>
      <c r="B499" t="s">
        <v>1110</v>
      </c>
      <c r="C499" t="s">
        <v>1111</v>
      </c>
      <c r="D499" t="s">
        <v>1112</v>
      </c>
      <c r="E499" t="s">
        <v>1113</v>
      </c>
      <c r="F499" t="s">
        <v>1114</v>
      </c>
    </row>
    <row r="500" spans="1:6" x14ac:dyDescent="0.25">
      <c r="A500" t="s">
        <v>1115</v>
      </c>
      <c r="B500" t="s">
        <v>20</v>
      </c>
      <c r="C500" t="s">
        <v>21</v>
      </c>
      <c r="D500" t="s">
        <v>22</v>
      </c>
      <c r="E500" t="s">
        <v>23</v>
      </c>
      <c r="F500" t="s">
        <v>1116</v>
      </c>
    </row>
    <row r="501" spans="1:6" x14ac:dyDescent="0.25">
      <c r="A501" t="s">
        <v>1117</v>
      </c>
      <c r="B501" t="s">
        <v>31</v>
      </c>
      <c r="C501" t="s">
        <v>32</v>
      </c>
      <c r="D501" t="s">
        <v>33</v>
      </c>
      <c r="E501" t="s">
        <v>34</v>
      </c>
      <c r="F501" t="s">
        <v>1118</v>
      </c>
    </row>
    <row r="502" spans="1:6" x14ac:dyDescent="0.25">
      <c r="A502" t="s">
        <v>1119</v>
      </c>
      <c r="B502" t="s">
        <v>31</v>
      </c>
      <c r="C502" t="s">
        <v>32</v>
      </c>
      <c r="D502" t="s">
        <v>33</v>
      </c>
      <c r="E502" t="s">
        <v>34</v>
      </c>
      <c r="F502" t="s">
        <v>1120</v>
      </c>
    </row>
    <row r="503" spans="1:6" x14ac:dyDescent="0.25">
      <c r="A503" t="s">
        <v>1121</v>
      </c>
      <c r="B503" t="s">
        <v>93</v>
      </c>
      <c r="C503" t="s">
        <v>94</v>
      </c>
      <c r="D503" t="s">
        <v>95</v>
      </c>
      <c r="E503" t="s">
        <v>96</v>
      </c>
      <c r="F503" t="s">
        <v>1122</v>
      </c>
    </row>
    <row r="504" spans="1:6" x14ac:dyDescent="0.25">
      <c r="A504" t="s">
        <v>1123</v>
      </c>
      <c r="B504" t="s">
        <v>419</v>
      </c>
      <c r="C504" t="s">
        <v>420</v>
      </c>
      <c r="D504" t="s">
        <v>421</v>
      </c>
      <c r="E504" t="s">
        <v>422</v>
      </c>
      <c r="F504" t="s">
        <v>1124</v>
      </c>
    </row>
    <row r="505" spans="1:6" x14ac:dyDescent="0.25">
      <c r="A505" t="s">
        <v>1125</v>
      </c>
      <c r="B505" t="s">
        <v>93</v>
      </c>
      <c r="C505" t="s">
        <v>94</v>
      </c>
      <c r="D505" t="s">
        <v>95</v>
      </c>
      <c r="E505" t="s">
        <v>96</v>
      </c>
      <c r="F505" t="s">
        <v>1126</v>
      </c>
    </row>
    <row r="506" spans="1:6" x14ac:dyDescent="0.25">
      <c r="A506" t="s">
        <v>1127</v>
      </c>
      <c r="B506" t="s">
        <v>53</v>
      </c>
      <c r="C506" t="s">
        <v>54</v>
      </c>
      <c r="D506" t="s">
        <v>55</v>
      </c>
      <c r="E506" t="s">
        <v>56</v>
      </c>
      <c r="F506" t="s">
        <v>1128</v>
      </c>
    </row>
    <row r="507" spans="1:6" x14ac:dyDescent="0.25">
      <c r="A507" t="s">
        <v>1129</v>
      </c>
      <c r="B507" t="s">
        <v>65</v>
      </c>
      <c r="C507" t="s">
        <v>66</v>
      </c>
      <c r="D507" t="s">
        <v>67</v>
      </c>
      <c r="E507" t="s">
        <v>68</v>
      </c>
      <c r="F507" t="s">
        <v>1130</v>
      </c>
    </row>
    <row r="508" spans="1:6" x14ac:dyDescent="0.25">
      <c r="A508" t="s">
        <v>1131</v>
      </c>
      <c r="B508" t="s">
        <v>1132</v>
      </c>
      <c r="C508" t="s">
        <v>1133</v>
      </c>
      <c r="D508" t="s">
        <v>1134</v>
      </c>
      <c r="E508" t="s">
        <v>1135</v>
      </c>
      <c r="F508" t="e">
        <v>#VALUE!</v>
      </c>
    </row>
    <row r="509" spans="1:6" x14ac:dyDescent="0.25">
      <c r="A509" t="s">
        <v>1136</v>
      </c>
      <c r="B509" t="s">
        <v>107</v>
      </c>
      <c r="C509" t="s">
        <v>108</v>
      </c>
      <c r="D509" t="s">
        <v>109</v>
      </c>
      <c r="E509" t="s">
        <v>110</v>
      </c>
      <c r="F509" t="s">
        <v>1137</v>
      </c>
    </row>
    <row r="510" spans="1:6" x14ac:dyDescent="0.25">
      <c r="A510" t="s">
        <v>1138</v>
      </c>
      <c r="B510" t="s">
        <v>65</v>
      </c>
      <c r="C510" t="s">
        <v>66</v>
      </c>
      <c r="D510" t="s">
        <v>67</v>
      </c>
      <c r="E510" t="s">
        <v>68</v>
      </c>
      <c r="F510" t="s">
        <v>1139</v>
      </c>
    </row>
    <row r="511" spans="1:6" x14ac:dyDescent="0.25">
      <c r="A511" t="s">
        <v>1140</v>
      </c>
      <c r="B511" t="s">
        <v>53</v>
      </c>
      <c r="C511" t="s">
        <v>54</v>
      </c>
      <c r="D511" t="s">
        <v>55</v>
      </c>
      <c r="E511" t="s">
        <v>56</v>
      </c>
      <c r="F511" t="s">
        <v>1141</v>
      </c>
    </row>
    <row r="512" spans="1:6" x14ac:dyDescent="0.25">
      <c r="A512" t="s">
        <v>1142</v>
      </c>
      <c r="B512" t="s">
        <v>25</v>
      </c>
      <c r="C512" t="s">
        <v>26</v>
      </c>
      <c r="D512" t="s">
        <v>27</v>
      </c>
      <c r="E512" t="s">
        <v>28</v>
      </c>
      <c r="F512" t="s">
        <v>1143</v>
      </c>
    </row>
    <row r="513" spans="1:6" x14ac:dyDescent="0.25">
      <c r="A513" t="s">
        <v>1144</v>
      </c>
      <c r="B513" t="s">
        <v>65</v>
      </c>
      <c r="C513" t="s">
        <v>66</v>
      </c>
      <c r="D513" t="s">
        <v>67</v>
      </c>
      <c r="E513" t="s">
        <v>68</v>
      </c>
      <c r="F513" t="s">
        <v>1145</v>
      </c>
    </row>
    <row r="514" spans="1:6" x14ac:dyDescent="0.25">
      <c r="A514" t="s">
        <v>1146</v>
      </c>
      <c r="B514" t="s">
        <v>65</v>
      </c>
      <c r="C514" t="s">
        <v>66</v>
      </c>
      <c r="D514" t="s">
        <v>67</v>
      </c>
      <c r="E514" t="s">
        <v>68</v>
      </c>
      <c r="F514" t="s">
        <v>1147</v>
      </c>
    </row>
    <row r="515" spans="1:6" x14ac:dyDescent="0.25">
      <c r="A515" t="s">
        <v>1148</v>
      </c>
      <c r="B515" t="s">
        <v>93</v>
      </c>
      <c r="C515" t="s">
        <v>94</v>
      </c>
      <c r="D515" t="s">
        <v>95</v>
      </c>
      <c r="E515" t="s">
        <v>96</v>
      </c>
      <c r="F515" t="s">
        <v>1149</v>
      </c>
    </row>
    <row r="516" spans="1:6" x14ac:dyDescent="0.25">
      <c r="A516" t="s">
        <v>1150</v>
      </c>
      <c r="B516" t="s">
        <v>65</v>
      </c>
      <c r="C516" t="s">
        <v>66</v>
      </c>
      <c r="D516" t="s">
        <v>67</v>
      </c>
      <c r="E516" t="s">
        <v>68</v>
      </c>
      <c r="F516" t="s">
        <v>1151</v>
      </c>
    </row>
    <row r="517" spans="1:6" x14ac:dyDescent="0.25">
      <c r="A517" t="s">
        <v>1152</v>
      </c>
      <c r="B517" t="s">
        <v>25</v>
      </c>
      <c r="C517" t="s">
        <v>26</v>
      </c>
      <c r="D517" t="s">
        <v>27</v>
      </c>
      <c r="E517" t="s">
        <v>28</v>
      </c>
      <c r="F517" t="s">
        <v>1153</v>
      </c>
    </row>
    <row r="518" spans="1:6" x14ac:dyDescent="0.25">
      <c r="A518" t="s">
        <v>1154</v>
      </c>
      <c r="B518" t="s">
        <v>20</v>
      </c>
      <c r="C518" t="s">
        <v>21</v>
      </c>
      <c r="D518" t="s">
        <v>22</v>
      </c>
      <c r="E518" t="s">
        <v>23</v>
      </c>
      <c r="F518" t="s">
        <v>1155</v>
      </c>
    </row>
    <row r="519" spans="1:6" x14ac:dyDescent="0.25">
      <c r="A519" t="s">
        <v>1156</v>
      </c>
      <c r="B519" t="s">
        <v>10</v>
      </c>
      <c r="C519" t="s">
        <v>11</v>
      </c>
      <c r="D519" t="e">
        <v>#VALUE!</v>
      </c>
      <c r="E519" t="e">
        <v>#VALUE!</v>
      </c>
      <c r="F519" t="s">
        <v>1157</v>
      </c>
    </row>
    <row r="520" spans="1:6" x14ac:dyDescent="0.25">
      <c r="A520" t="s">
        <v>1158</v>
      </c>
      <c r="B520" t="s">
        <v>37</v>
      </c>
      <c r="C520" t="s">
        <v>38</v>
      </c>
      <c r="D520" t="s">
        <v>39</v>
      </c>
      <c r="E520" t="s">
        <v>40</v>
      </c>
      <c r="F520" t="s">
        <v>1159</v>
      </c>
    </row>
    <row r="521" spans="1:6" x14ac:dyDescent="0.25">
      <c r="A521" t="s">
        <v>1160</v>
      </c>
      <c r="B521" t="s">
        <v>1161</v>
      </c>
      <c r="C521" t="s">
        <v>1162</v>
      </c>
      <c r="D521" t="s">
        <v>1163</v>
      </c>
      <c r="E521" t="s">
        <v>1164</v>
      </c>
      <c r="F521" t="s">
        <v>1165</v>
      </c>
    </row>
    <row r="522" spans="1:6" x14ac:dyDescent="0.25">
      <c r="A522" t="s">
        <v>1166</v>
      </c>
      <c r="B522" t="s">
        <v>65</v>
      </c>
      <c r="C522" t="s">
        <v>66</v>
      </c>
      <c r="D522" t="s">
        <v>67</v>
      </c>
      <c r="E522" t="s">
        <v>68</v>
      </c>
      <c r="F522" t="s">
        <v>1167</v>
      </c>
    </row>
    <row r="523" spans="1:6" x14ac:dyDescent="0.25">
      <c r="A523" t="s">
        <v>1168</v>
      </c>
      <c r="B523" t="s">
        <v>65</v>
      </c>
      <c r="C523" t="s">
        <v>66</v>
      </c>
      <c r="D523" t="s">
        <v>67</v>
      </c>
      <c r="E523" t="s">
        <v>68</v>
      </c>
      <c r="F523" t="s">
        <v>1169</v>
      </c>
    </row>
    <row r="524" spans="1:6" x14ac:dyDescent="0.25">
      <c r="A524" t="s">
        <v>1170</v>
      </c>
      <c r="B524" t="s">
        <v>37</v>
      </c>
      <c r="C524" t="s">
        <v>38</v>
      </c>
      <c r="D524" t="s">
        <v>39</v>
      </c>
      <c r="E524" t="s">
        <v>40</v>
      </c>
      <c r="F524" t="s">
        <v>1171</v>
      </c>
    </row>
    <row r="525" spans="1:6" x14ac:dyDescent="0.25">
      <c r="A525" t="s">
        <v>1172</v>
      </c>
      <c r="B525" t="s">
        <v>37</v>
      </c>
      <c r="C525" t="s">
        <v>38</v>
      </c>
      <c r="D525" t="s">
        <v>39</v>
      </c>
      <c r="E525" t="s">
        <v>40</v>
      </c>
      <c r="F525" t="s">
        <v>1173</v>
      </c>
    </row>
    <row r="526" spans="1:6" x14ac:dyDescent="0.25">
      <c r="A526" t="s">
        <v>1174</v>
      </c>
      <c r="B526" t="s">
        <v>20</v>
      </c>
      <c r="C526" t="s">
        <v>21</v>
      </c>
      <c r="D526" t="s">
        <v>22</v>
      </c>
      <c r="E526" t="s">
        <v>23</v>
      </c>
      <c r="F526" t="e">
        <v>#VALUE!</v>
      </c>
    </row>
    <row r="527" spans="1:6" x14ac:dyDescent="0.25">
      <c r="A527" t="s">
        <v>1175</v>
      </c>
      <c r="B527" t="s">
        <v>53</v>
      </c>
      <c r="C527" t="s">
        <v>54</v>
      </c>
      <c r="D527" t="s">
        <v>55</v>
      </c>
      <c r="E527" t="s">
        <v>56</v>
      </c>
      <c r="F527" t="s">
        <v>1176</v>
      </c>
    </row>
    <row r="528" spans="1:6" x14ac:dyDescent="0.25">
      <c r="A528" t="s">
        <v>1177</v>
      </c>
      <c r="B528" t="s">
        <v>65</v>
      </c>
      <c r="C528" t="s">
        <v>66</v>
      </c>
      <c r="D528" t="s">
        <v>67</v>
      </c>
      <c r="E528" t="s">
        <v>68</v>
      </c>
      <c r="F528" t="s">
        <v>1178</v>
      </c>
    </row>
    <row r="529" spans="1:6" x14ac:dyDescent="0.25">
      <c r="A529" t="s">
        <v>1179</v>
      </c>
      <c r="B529" t="s">
        <v>65</v>
      </c>
      <c r="C529" t="s">
        <v>66</v>
      </c>
      <c r="D529" t="s">
        <v>67</v>
      </c>
      <c r="E529" t="s">
        <v>68</v>
      </c>
      <c r="F529" t="s">
        <v>1180</v>
      </c>
    </row>
    <row r="530" spans="1:6" x14ac:dyDescent="0.25">
      <c r="A530" t="s">
        <v>1181</v>
      </c>
      <c r="B530" t="s">
        <v>53</v>
      </c>
      <c r="C530" t="s">
        <v>54</v>
      </c>
      <c r="D530" t="s">
        <v>55</v>
      </c>
      <c r="E530" t="s">
        <v>56</v>
      </c>
      <c r="F530" t="s">
        <v>1182</v>
      </c>
    </row>
    <row r="531" spans="1:6" x14ac:dyDescent="0.25">
      <c r="A531" t="s">
        <v>1183</v>
      </c>
      <c r="B531" t="s">
        <v>65</v>
      </c>
      <c r="C531" t="s">
        <v>66</v>
      </c>
      <c r="D531" t="s">
        <v>67</v>
      </c>
      <c r="E531" t="s">
        <v>68</v>
      </c>
      <c r="F531" t="s">
        <v>1184</v>
      </c>
    </row>
    <row r="532" spans="1:6" x14ac:dyDescent="0.25">
      <c r="A532" t="s">
        <v>1185</v>
      </c>
      <c r="B532" t="s">
        <v>25</v>
      </c>
      <c r="C532" t="s">
        <v>26</v>
      </c>
      <c r="D532" t="s">
        <v>27</v>
      </c>
      <c r="E532" t="s">
        <v>28</v>
      </c>
      <c r="F532" t="s">
        <v>1186</v>
      </c>
    </row>
    <row r="533" spans="1:6" x14ac:dyDescent="0.25">
      <c r="A533" t="s">
        <v>1187</v>
      </c>
      <c r="B533" t="s">
        <v>157</v>
      </c>
      <c r="C533" t="s">
        <v>158</v>
      </c>
      <c r="D533" t="s">
        <v>159</v>
      </c>
      <c r="E533" t="s">
        <v>160</v>
      </c>
      <c r="F533" t="s">
        <v>1188</v>
      </c>
    </row>
    <row r="534" spans="1:6" x14ac:dyDescent="0.25">
      <c r="A534" t="s">
        <v>1189</v>
      </c>
      <c r="B534" t="s">
        <v>53</v>
      </c>
      <c r="C534" t="s">
        <v>54</v>
      </c>
      <c r="D534" t="s">
        <v>55</v>
      </c>
      <c r="E534" t="s">
        <v>56</v>
      </c>
      <c r="F534" t="s">
        <v>1190</v>
      </c>
    </row>
    <row r="535" spans="1:6" x14ac:dyDescent="0.25">
      <c r="A535" t="s">
        <v>1191</v>
      </c>
      <c r="B535" t="s">
        <v>65</v>
      </c>
      <c r="C535" t="s">
        <v>66</v>
      </c>
      <c r="D535" t="s">
        <v>67</v>
      </c>
      <c r="E535" t="s">
        <v>68</v>
      </c>
      <c r="F535" t="s">
        <v>1192</v>
      </c>
    </row>
    <row r="536" spans="1:6" x14ac:dyDescent="0.25">
      <c r="A536" t="s">
        <v>1193</v>
      </c>
      <c r="B536" t="s">
        <v>53</v>
      </c>
      <c r="C536" t="s">
        <v>54</v>
      </c>
      <c r="D536" t="s">
        <v>55</v>
      </c>
      <c r="E536" t="s">
        <v>56</v>
      </c>
      <c r="F536" t="s">
        <v>1194</v>
      </c>
    </row>
    <row r="537" spans="1:6" x14ac:dyDescent="0.25">
      <c r="A537" t="s">
        <v>1195</v>
      </c>
      <c r="B537" t="s">
        <v>53</v>
      </c>
      <c r="C537" t="s">
        <v>54</v>
      </c>
      <c r="D537" t="s">
        <v>55</v>
      </c>
      <c r="E537" t="s">
        <v>56</v>
      </c>
      <c r="F537" t="s">
        <v>1196</v>
      </c>
    </row>
    <row r="538" spans="1:6" x14ac:dyDescent="0.25">
      <c r="A538" t="s">
        <v>1197</v>
      </c>
      <c r="B538" t="s">
        <v>37</v>
      </c>
      <c r="C538" t="s">
        <v>38</v>
      </c>
      <c r="D538" t="s">
        <v>39</v>
      </c>
      <c r="E538" t="s">
        <v>40</v>
      </c>
      <c r="F538" t="s">
        <v>1198</v>
      </c>
    </row>
    <row r="539" spans="1:6" x14ac:dyDescent="0.25">
      <c r="A539" t="s">
        <v>1199</v>
      </c>
      <c r="B539" t="s">
        <v>53</v>
      </c>
      <c r="C539" t="s">
        <v>54</v>
      </c>
      <c r="D539" t="s">
        <v>55</v>
      </c>
      <c r="E539" t="s">
        <v>56</v>
      </c>
      <c r="F539" t="s">
        <v>1200</v>
      </c>
    </row>
    <row r="540" spans="1:6" x14ac:dyDescent="0.25">
      <c r="A540" t="s">
        <v>1201</v>
      </c>
      <c r="B540" t="s">
        <v>53</v>
      </c>
      <c r="C540" t="s">
        <v>54</v>
      </c>
      <c r="D540" t="s">
        <v>55</v>
      </c>
      <c r="E540" t="s">
        <v>56</v>
      </c>
      <c r="F540" t="s">
        <v>815</v>
      </c>
    </row>
    <row r="541" spans="1:6" x14ac:dyDescent="0.25">
      <c r="A541" t="s">
        <v>1202</v>
      </c>
      <c r="B541" t="s">
        <v>25</v>
      </c>
      <c r="C541" t="s">
        <v>26</v>
      </c>
      <c r="D541" t="s">
        <v>27</v>
      </c>
      <c r="E541" t="s">
        <v>28</v>
      </c>
      <c r="F541" t="s">
        <v>1203</v>
      </c>
    </row>
    <row r="542" spans="1:6" x14ac:dyDescent="0.25">
      <c r="A542" t="s">
        <v>1204</v>
      </c>
      <c r="B542" t="s">
        <v>37</v>
      </c>
      <c r="C542" t="s">
        <v>38</v>
      </c>
      <c r="D542" t="s">
        <v>39</v>
      </c>
      <c r="E542" t="s">
        <v>40</v>
      </c>
      <c r="F542" t="s">
        <v>1205</v>
      </c>
    </row>
    <row r="543" spans="1:6" x14ac:dyDescent="0.25">
      <c r="A543" t="s">
        <v>1206</v>
      </c>
      <c r="B543" t="s">
        <v>37</v>
      </c>
      <c r="C543" t="s">
        <v>38</v>
      </c>
      <c r="D543" t="s">
        <v>39</v>
      </c>
      <c r="E543" t="s">
        <v>40</v>
      </c>
      <c r="F543" t="s">
        <v>1207</v>
      </c>
    </row>
    <row r="544" spans="1:6" x14ac:dyDescent="0.25">
      <c r="A544" t="s">
        <v>1208</v>
      </c>
      <c r="B544" t="s">
        <v>53</v>
      </c>
      <c r="C544" t="s">
        <v>54</v>
      </c>
      <c r="D544" t="s">
        <v>55</v>
      </c>
      <c r="E544" t="s">
        <v>56</v>
      </c>
      <c r="F544" t="s">
        <v>1209</v>
      </c>
    </row>
    <row r="545" spans="1:6" x14ac:dyDescent="0.25">
      <c r="A545" t="s">
        <v>1210</v>
      </c>
      <c r="B545" t="s">
        <v>25</v>
      </c>
      <c r="C545" t="s">
        <v>26</v>
      </c>
      <c r="D545" t="s">
        <v>27</v>
      </c>
      <c r="E545" t="s">
        <v>28</v>
      </c>
      <c r="F545" t="s">
        <v>1211</v>
      </c>
    </row>
    <row r="546" spans="1:6" x14ac:dyDescent="0.25">
      <c r="A546" t="s">
        <v>1212</v>
      </c>
      <c r="B546" t="s">
        <v>37</v>
      </c>
      <c r="C546" t="s">
        <v>38</v>
      </c>
      <c r="D546" t="s">
        <v>39</v>
      </c>
      <c r="E546" t="s">
        <v>40</v>
      </c>
      <c r="F546" t="s">
        <v>1213</v>
      </c>
    </row>
    <row r="547" spans="1:6" x14ac:dyDescent="0.25">
      <c r="A547" t="s">
        <v>1214</v>
      </c>
      <c r="B547" t="s">
        <v>53</v>
      </c>
      <c r="C547" t="s">
        <v>54</v>
      </c>
      <c r="D547" t="s">
        <v>55</v>
      </c>
      <c r="E547" t="s">
        <v>56</v>
      </c>
      <c r="F547" t="s">
        <v>1215</v>
      </c>
    </row>
    <row r="548" spans="1:6" x14ac:dyDescent="0.25">
      <c r="A548" t="s">
        <v>1216</v>
      </c>
      <c r="B548" t="s">
        <v>53</v>
      </c>
      <c r="C548" t="s">
        <v>54</v>
      </c>
      <c r="D548" t="s">
        <v>55</v>
      </c>
      <c r="E548" t="s">
        <v>56</v>
      </c>
      <c r="F548" t="s">
        <v>1217</v>
      </c>
    </row>
    <row r="549" spans="1:6" x14ac:dyDescent="0.25">
      <c r="A549" t="s">
        <v>1218</v>
      </c>
      <c r="B549" t="s">
        <v>1219</v>
      </c>
      <c r="C549" t="s">
        <v>1220</v>
      </c>
      <c r="D549" t="s">
        <v>1221</v>
      </c>
      <c r="E549" t="s">
        <v>1222</v>
      </c>
      <c r="F549" t="e">
        <v>#VALUE!</v>
      </c>
    </row>
    <row r="550" spans="1:6" x14ac:dyDescent="0.25">
      <c r="A550" t="s">
        <v>1223</v>
      </c>
      <c r="B550" t="s">
        <v>53</v>
      </c>
      <c r="C550" t="s">
        <v>54</v>
      </c>
      <c r="D550" t="s">
        <v>55</v>
      </c>
      <c r="E550" t="s">
        <v>56</v>
      </c>
      <c r="F550" t="s">
        <v>1224</v>
      </c>
    </row>
    <row r="551" spans="1:6" x14ac:dyDescent="0.25">
      <c r="A551" t="s">
        <v>1225</v>
      </c>
      <c r="B551" t="s">
        <v>93</v>
      </c>
      <c r="C551" t="s">
        <v>94</v>
      </c>
      <c r="D551" t="s">
        <v>95</v>
      </c>
      <c r="E551" t="s">
        <v>96</v>
      </c>
      <c r="F551" t="s">
        <v>1226</v>
      </c>
    </row>
    <row r="552" spans="1:6" x14ac:dyDescent="0.25">
      <c r="A552" t="s">
        <v>1227</v>
      </c>
      <c r="B552" t="s">
        <v>37</v>
      </c>
      <c r="C552" t="s">
        <v>38</v>
      </c>
      <c r="D552" t="s">
        <v>39</v>
      </c>
      <c r="E552" t="s">
        <v>40</v>
      </c>
      <c r="F552" t="s">
        <v>1228</v>
      </c>
    </row>
    <row r="553" spans="1:6" x14ac:dyDescent="0.25">
      <c r="A553" t="s">
        <v>1229</v>
      </c>
      <c r="B553" t="s">
        <v>53</v>
      </c>
      <c r="C553" t="s">
        <v>54</v>
      </c>
      <c r="D553" t="s">
        <v>55</v>
      </c>
      <c r="E553" t="s">
        <v>56</v>
      </c>
      <c r="F553" t="s">
        <v>1230</v>
      </c>
    </row>
    <row r="554" spans="1:6" x14ac:dyDescent="0.25">
      <c r="A554" t="s">
        <v>1231</v>
      </c>
      <c r="B554" t="s">
        <v>53</v>
      </c>
      <c r="C554" t="s">
        <v>54</v>
      </c>
      <c r="D554" t="s">
        <v>55</v>
      </c>
      <c r="E554" t="s">
        <v>56</v>
      </c>
      <c r="F554" t="s">
        <v>1232</v>
      </c>
    </row>
    <row r="555" spans="1:6" x14ac:dyDescent="0.25">
      <c r="A555" t="s">
        <v>1233</v>
      </c>
      <c r="B555" t="s">
        <v>65</v>
      </c>
      <c r="C555" t="s">
        <v>66</v>
      </c>
      <c r="D555" t="s">
        <v>67</v>
      </c>
      <c r="E555" t="s">
        <v>68</v>
      </c>
      <c r="F555" t="s">
        <v>1234</v>
      </c>
    </row>
    <row r="556" spans="1:6" x14ac:dyDescent="0.25">
      <c r="A556" t="s">
        <v>1235</v>
      </c>
      <c r="B556" t="s">
        <v>65</v>
      </c>
      <c r="C556" t="s">
        <v>66</v>
      </c>
      <c r="D556" t="s">
        <v>67</v>
      </c>
      <c r="E556" t="s">
        <v>68</v>
      </c>
      <c r="F556" t="s">
        <v>1236</v>
      </c>
    </row>
    <row r="557" spans="1:6" x14ac:dyDescent="0.25">
      <c r="A557" t="s">
        <v>1237</v>
      </c>
      <c r="B557" t="s">
        <v>65</v>
      </c>
      <c r="C557" t="s">
        <v>66</v>
      </c>
      <c r="D557" t="s">
        <v>67</v>
      </c>
      <c r="E557" t="s">
        <v>68</v>
      </c>
      <c r="F557" t="s">
        <v>1238</v>
      </c>
    </row>
    <row r="558" spans="1:6" x14ac:dyDescent="0.25">
      <c r="A558" t="s">
        <v>1239</v>
      </c>
      <c r="B558" t="s">
        <v>31</v>
      </c>
      <c r="C558" t="s">
        <v>32</v>
      </c>
      <c r="D558" t="s">
        <v>33</v>
      </c>
      <c r="E558" t="s">
        <v>34</v>
      </c>
      <c r="F558" t="s">
        <v>1240</v>
      </c>
    </row>
    <row r="559" spans="1:6" x14ac:dyDescent="0.25">
      <c r="A559" t="s">
        <v>1241</v>
      </c>
      <c r="B559" t="s">
        <v>53</v>
      </c>
      <c r="C559" t="s">
        <v>54</v>
      </c>
      <c r="D559" t="s">
        <v>55</v>
      </c>
      <c r="E559" t="s">
        <v>56</v>
      </c>
      <c r="F559" t="s">
        <v>1242</v>
      </c>
    </row>
    <row r="560" spans="1:6" x14ac:dyDescent="0.25">
      <c r="A560" t="s">
        <v>1243</v>
      </c>
      <c r="B560" t="s">
        <v>31</v>
      </c>
      <c r="C560" t="s">
        <v>32</v>
      </c>
      <c r="D560" t="s">
        <v>33</v>
      </c>
      <c r="E560" t="s">
        <v>34</v>
      </c>
      <c r="F560" t="s">
        <v>1244</v>
      </c>
    </row>
    <row r="561" spans="1:6" x14ac:dyDescent="0.25">
      <c r="A561" t="s">
        <v>1245</v>
      </c>
      <c r="B561" t="s">
        <v>65</v>
      </c>
      <c r="C561" t="s">
        <v>66</v>
      </c>
      <c r="D561" t="s">
        <v>67</v>
      </c>
      <c r="E561" t="s">
        <v>68</v>
      </c>
      <c r="F561" t="s">
        <v>1246</v>
      </c>
    </row>
    <row r="562" spans="1:6" x14ac:dyDescent="0.25">
      <c r="A562" t="s">
        <v>1247</v>
      </c>
      <c r="B562" t="s">
        <v>31</v>
      </c>
      <c r="C562" t="s">
        <v>32</v>
      </c>
      <c r="D562" t="s">
        <v>33</v>
      </c>
      <c r="E562" t="s">
        <v>34</v>
      </c>
      <c r="F562" t="s">
        <v>1248</v>
      </c>
    </row>
    <row r="563" spans="1:6" x14ac:dyDescent="0.25">
      <c r="A563" t="s">
        <v>1249</v>
      </c>
      <c r="B563" t="s">
        <v>25</v>
      </c>
      <c r="C563" t="s">
        <v>26</v>
      </c>
      <c r="D563" t="s">
        <v>27</v>
      </c>
      <c r="E563" t="s">
        <v>28</v>
      </c>
      <c r="F563" t="s">
        <v>1250</v>
      </c>
    </row>
    <row r="564" spans="1:6" x14ac:dyDescent="0.25">
      <c r="A564" t="s">
        <v>1251</v>
      </c>
      <c r="B564" t="s">
        <v>37</v>
      </c>
      <c r="C564" t="s">
        <v>38</v>
      </c>
      <c r="D564" t="s">
        <v>39</v>
      </c>
      <c r="E564" t="s">
        <v>40</v>
      </c>
      <c r="F564" t="s">
        <v>1252</v>
      </c>
    </row>
    <row r="565" spans="1:6" x14ac:dyDescent="0.25">
      <c r="A565" t="s">
        <v>1253</v>
      </c>
      <c r="B565" t="s">
        <v>31</v>
      </c>
      <c r="C565" t="s">
        <v>32</v>
      </c>
      <c r="D565" t="s">
        <v>33</v>
      </c>
      <c r="E565" t="s">
        <v>34</v>
      </c>
      <c r="F565" t="s">
        <v>1254</v>
      </c>
    </row>
    <row r="566" spans="1:6" x14ac:dyDescent="0.25">
      <c r="A566" t="s">
        <v>1255</v>
      </c>
      <c r="B566" t="s">
        <v>31</v>
      </c>
      <c r="C566" t="s">
        <v>32</v>
      </c>
      <c r="D566" t="s">
        <v>33</v>
      </c>
      <c r="E566" t="s">
        <v>34</v>
      </c>
      <c r="F566" t="s">
        <v>1256</v>
      </c>
    </row>
    <row r="567" spans="1:6" x14ac:dyDescent="0.25">
      <c r="A567" t="s">
        <v>1257</v>
      </c>
      <c r="B567" t="s">
        <v>31</v>
      </c>
      <c r="C567" t="s">
        <v>32</v>
      </c>
      <c r="D567" t="s">
        <v>33</v>
      </c>
      <c r="E567" t="s">
        <v>34</v>
      </c>
      <c r="F567" t="s">
        <v>1258</v>
      </c>
    </row>
    <row r="568" spans="1:6" x14ac:dyDescent="0.25">
      <c r="A568" t="s">
        <v>1259</v>
      </c>
      <c r="B568" t="s">
        <v>20</v>
      </c>
      <c r="C568" t="s">
        <v>21</v>
      </c>
      <c r="D568" t="s">
        <v>22</v>
      </c>
      <c r="E568" t="s">
        <v>23</v>
      </c>
      <c r="F568" t="s">
        <v>1260</v>
      </c>
    </row>
    <row r="569" spans="1:6" x14ac:dyDescent="0.25">
      <c r="A569" t="s">
        <v>1261</v>
      </c>
      <c r="B569" t="s">
        <v>20</v>
      </c>
      <c r="C569" t="s">
        <v>21</v>
      </c>
      <c r="D569" t="s">
        <v>22</v>
      </c>
      <c r="E569" t="s">
        <v>23</v>
      </c>
      <c r="F569" t="s">
        <v>1262</v>
      </c>
    </row>
    <row r="570" spans="1:6" x14ac:dyDescent="0.25">
      <c r="A570" t="s">
        <v>1263</v>
      </c>
      <c r="B570" t="s">
        <v>65</v>
      </c>
      <c r="C570" t="s">
        <v>66</v>
      </c>
      <c r="D570" t="s">
        <v>67</v>
      </c>
      <c r="E570" t="s">
        <v>68</v>
      </c>
      <c r="F570" t="s">
        <v>1264</v>
      </c>
    </row>
    <row r="571" spans="1:6" x14ac:dyDescent="0.25">
      <c r="A571" t="s">
        <v>1265</v>
      </c>
      <c r="B571" t="s">
        <v>53</v>
      </c>
      <c r="C571" t="s">
        <v>54</v>
      </c>
      <c r="D571" t="s">
        <v>55</v>
      </c>
      <c r="E571" t="s">
        <v>56</v>
      </c>
      <c r="F571" t="s">
        <v>1266</v>
      </c>
    </row>
    <row r="572" spans="1:6" x14ac:dyDescent="0.25">
      <c r="A572" t="s">
        <v>1267</v>
      </c>
      <c r="B572" t="s">
        <v>31</v>
      </c>
      <c r="C572" t="s">
        <v>32</v>
      </c>
      <c r="D572" t="s">
        <v>33</v>
      </c>
      <c r="E572" t="s">
        <v>34</v>
      </c>
      <c r="F572" t="s">
        <v>1268</v>
      </c>
    </row>
    <row r="573" spans="1:6" x14ac:dyDescent="0.25">
      <c r="A573" t="s">
        <v>1269</v>
      </c>
      <c r="B573" t="s">
        <v>93</v>
      </c>
      <c r="C573" t="s">
        <v>94</v>
      </c>
      <c r="D573" t="s">
        <v>95</v>
      </c>
      <c r="E573" t="s">
        <v>96</v>
      </c>
      <c r="F573" t="s">
        <v>1270</v>
      </c>
    </row>
    <row r="574" spans="1:6" x14ac:dyDescent="0.25">
      <c r="A574" t="s">
        <v>1271</v>
      </c>
      <c r="B574" t="s">
        <v>31</v>
      </c>
      <c r="C574" t="s">
        <v>32</v>
      </c>
      <c r="D574" t="s">
        <v>33</v>
      </c>
      <c r="E574" t="s">
        <v>34</v>
      </c>
      <c r="F574" t="s">
        <v>1272</v>
      </c>
    </row>
    <row r="575" spans="1:6" x14ac:dyDescent="0.25">
      <c r="A575" t="s">
        <v>1273</v>
      </c>
      <c r="B575" t="s">
        <v>37</v>
      </c>
      <c r="C575" t="s">
        <v>38</v>
      </c>
      <c r="D575" t="s">
        <v>39</v>
      </c>
      <c r="E575" t="s">
        <v>40</v>
      </c>
      <c r="F575" t="s">
        <v>1274</v>
      </c>
    </row>
    <row r="576" spans="1:6" x14ac:dyDescent="0.25">
      <c r="A576" t="s">
        <v>1275</v>
      </c>
      <c r="B576" t="s">
        <v>157</v>
      </c>
      <c r="C576" t="s">
        <v>158</v>
      </c>
      <c r="D576" t="s">
        <v>159</v>
      </c>
      <c r="E576" t="s">
        <v>160</v>
      </c>
      <c r="F576" t="s">
        <v>1276</v>
      </c>
    </row>
    <row r="577" spans="1:6" x14ac:dyDescent="0.25">
      <c r="A577" t="s">
        <v>1277</v>
      </c>
      <c r="B577" t="s">
        <v>25</v>
      </c>
      <c r="C577" t="s">
        <v>26</v>
      </c>
      <c r="D577" t="s">
        <v>27</v>
      </c>
      <c r="E577" t="s">
        <v>28</v>
      </c>
      <c r="F577" t="s">
        <v>1278</v>
      </c>
    </row>
    <row r="578" spans="1:6" x14ac:dyDescent="0.25">
      <c r="A578" t="s">
        <v>1279</v>
      </c>
      <c r="B578" t="s">
        <v>93</v>
      </c>
      <c r="C578" t="s">
        <v>94</v>
      </c>
      <c r="D578" t="s">
        <v>95</v>
      </c>
      <c r="E578" t="s">
        <v>96</v>
      </c>
      <c r="F578" t="s">
        <v>1280</v>
      </c>
    </row>
    <row r="579" spans="1:6" x14ac:dyDescent="0.25">
      <c r="A579" t="s">
        <v>1281</v>
      </c>
      <c r="B579" t="s">
        <v>37</v>
      </c>
      <c r="C579" t="s">
        <v>38</v>
      </c>
      <c r="D579" t="s">
        <v>39</v>
      </c>
      <c r="E579" t="s">
        <v>40</v>
      </c>
      <c r="F579" t="s">
        <v>1282</v>
      </c>
    </row>
    <row r="580" spans="1:6" x14ac:dyDescent="0.25">
      <c r="A580" t="s">
        <v>1283</v>
      </c>
      <c r="B580" t="s">
        <v>157</v>
      </c>
      <c r="C580" t="s">
        <v>158</v>
      </c>
      <c r="D580" t="s">
        <v>159</v>
      </c>
      <c r="E580" t="s">
        <v>160</v>
      </c>
      <c r="F580" t="s">
        <v>1284</v>
      </c>
    </row>
    <row r="581" spans="1:6" x14ac:dyDescent="0.25">
      <c r="A581" t="s">
        <v>1285</v>
      </c>
      <c r="B581" t="s">
        <v>31</v>
      </c>
      <c r="C581" t="s">
        <v>32</v>
      </c>
      <c r="D581" t="s">
        <v>33</v>
      </c>
      <c r="E581" t="s">
        <v>34</v>
      </c>
      <c r="F581" t="s">
        <v>1286</v>
      </c>
    </row>
    <row r="582" spans="1:6" x14ac:dyDescent="0.25">
      <c r="A582" t="s">
        <v>1287</v>
      </c>
      <c r="B582" t="s">
        <v>93</v>
      </c>
      <c r="C582" t="s">
        <v>94</v>
      </c>
      <c r="D582" t="s">
        <v>95</v>
      </c>
      <c r="E582" t="s">
        <v>96</v>
      </c>
      <c r="F582" t="s">
        <v>1288</v>
      </c>
    </row>
    <row r="583" spans="1:6" x14ac:dyDescent="0.25">
      <c r="A583" t="s">
        <v>1289</v>
      </c>
      <c r="B583" t="s">
        <v>31</v>
      </c>
      <c r="C583" t="s">
        <v>32</v>
      </c>
      <c r="D583" t="s">
        <v>33</v>
      </c>
      <c r="E583" t="s">
        <v>34</v>
      </c>
      <c r="F583" t="s">
        <v>1290</v>
      </c>
    </row>
    <row r="584" spans="1:6" x14ac:dyDescent="0.25">
      <c r="A584" t="s">
        <v>1291</v>
      </c>
      <c r="B584" t="s">
        <v>93</v>
      </c>
      <c r="C584" t="s">
        <v>94</v>
      </c>
      <c r="D584" t="s">
        <v>95</v>
      </c>
      <c r="E584" t="s">
        <v>96</v>
      </c>
      <c r="F584" t="s">
        <v>1292</v>
      </c>
    </row>
    <row r="585" spans="1:6" x14ac:dyDescent="0.25">
      <c r="A585" t="s">
        <v>1293</v>
      </c>
      <c r="B585" t="s">
        <v>37</v>
      </c>
      <c r="C585" t="s">
        <v>38</v>
      </c>
      <c r="D585" t="s">
        <v>39</v>
      </c>
      <c r="E585" t="s">
        <v>40</v>
      </c>
      <c r="F585" t="s">
        <v>1294</v>
      </c>
    </row>
    <row r="586" spans="1:6" x14ac:dyDescent="0.25">
      <c r="A586" t="s">
        <v>1295</v>
      </c>
      <c r="B586" t="s">
        <v>53</v>
      </c>
      <c r="C586" t="s">
        <v>54</v>
      </c>
      <c r="D586" t="s">
        <v>55</v>
      </c>
      <c r="E586" t="s">
        <v>56</v>
      </c>
      <c r="F586" t="s">
        <v>1296</v>
      </c>
    </row>
    <row r="587" spans="1:6" x14ac:dyDescent="0.25">
      <c r="A587" t="s">
        <v>1297</v>
      </c>
      <c r="B587" t="s">
        <v>350</v>
      </c>
      <c r="C587" t="s">
        <v>351</v>
      </c>
      <c r="D587" t="s">
        <v>352</v>
      </c>
      <c r="E587" t="s">
        <v>353</v>
      </c>
      <c r="F587" t="s">
        <v>1298</v>
      </c>
    </row>
    <row r="588" spans="1:6" x14ac:dyDescent="0.25">
      <c r="A588" t="s">
        <v>1299</v>
      </c>
      <c r="B588" t="s">
        <v>65</v>
      </c>
      <c r="C588" t="s">
        <v>66</v>
      </c>
      <c r="D588" t="s">
        <v>67</v>
      </c>
      <c r="E588" t="s">
        <v>68</v>
      </c>
      <c r="F588" t="s">
        <v>1300</v>
      </c>
    </row>
    <row r="589" spans="1:6" x14ac:dyDescent="0.25">
      <c r="A589" t="s">
        <v>1301</v>
      </c>
      <c r="B589" t="s">
        <v>25</v>
      </c>
      <c r="C589" t="s">
        <v>26</v>
      </c>
      <c r="D589" t="s">
        <v>27</v>
      </c>
      <c r="E589" t="s">
        <v>28</v>
      </c>
      <c r="F589" t="s">
        <v>1302</v>
      </c>
    </row>
    <row r="590" spans="1:6" x14ac:dyDescent="0.25">
      <c r="A590" t="s">
        <v>1303</v>
      </c>
      <c r="B590" t="s">
        <v>31</v>
      </c>
      <c r="C590" t="s">
        <v>32</v>
      </c>
      <c r="D590" t="s">
        <v>33</v>
      </c>
      <c r="E590" t="s">
        <v>34</v>
      </c>
      <c r="F590" t="s">
        <v>1304</v>
      </c>
    </row>
    <row r="591" spans="1:6" x14ac:dyDescent="0.25">
      <c r="A591" t="s">
        <v>1305</v>
      </c>
      <c r="B591" t="s">
        <v>53</v>
      </c>
      <c r="C591" t="s">
        <v>54</v>
      </c>
      <c r="D591" t="s">
        <v>55</v>
      </c>
      <c r="E591" t="s">
        <v>56</v>
      </c>
      <c r="F591" t="s">
        <v>1306</v>
      </c>
    </row>
    <row r="592" spans="1:6" x14ac:dyDescent="0.25">
      <c r="A592" t="s">
        <v>1307</v>
      </c>
      <c r="B592" t="s">
        <v>53</v>
      </c>
      <c r="C592" t="s">
        <v>54</v>
      </c>
      <c r="D592" t="s">
        <v>55</v>
      </c>
      <c r="E592" t="s">
        <v>56</v>
      </c>
      <c r="F592" t="s">
        <v>1308</v>
      </c>
    </row>
    <row r="593" spans="1:6" x14ac:dyDescent="0.25">
      <c r="A593" t="s">
        <v>1309</v>
      </c>
      <c r="B593" t="s">
        <v>93</v>
      </c>
      <c r="C593" t="s">
        <v>94</v>
      </c>
      <c r="D593" t="s">
        <v>95</v>
      </c>
      <c r="E593" t="s">
        <v>96</v>
      </c>
      <c r="F593" t="s">
        <v>1310</v>
      </c>
    </row>
    <row r="594" spans="1:6" x14ac:dyDescent="0.25">
      <c r="A594" t="s">
        <v>1311</v>
      </c>
      <c r="B594" t="s">
        <v>25</v>
      </c>
      <c r="C594" t="s">
        <v>26</v>
      </c>
      <c r="D594" t="s">
        <v>27</v>
      </c>
      <c r="E594" t="s">
        <v>28</v>
      </c>
      <c r="F594" t="s">
        <v>1312</v>
      </c>
    </row>
    <row r="595" spans="1:6" x14ac:dyDescent="0.25">
      <c r="A595" t="s">
        <v>1313</v>
      </c>
      <c r="B595" t="s">
        <v>31</v>
      </c>
      <c r="C595" t="s">
        <v>32</v>
      </c>
      <c r="D595" t="s">
        <v>33</v>
      </c>
      <c r="E595" t="s">
        <v>34</v>
      </c>
      <c r="F595" t="s">
        <v>1314</v>
      </c>
    </row>
    <row r="596" spans="1:6" x14ac:dyDescent="0.25">
      <c r="A596" t="s">
        <v>1315</v>
      </c>
      <c r="B596" t="s">
        <v>10</v>
      </c>
      <c r="C596" t="s">
        <v>11</v>
      </c>
      <c r="D596" t="e">
        <v>#VALUE!</v>
      </c>
      <c r="E596" t="e">
        <v>#VALUE!</v>
      </c>
      <c r="F596" t="s">
        <v>1316</v>
      </c>
    </row>
    <row r="597" spans="1:6" x14ac:dyDescent="0.25">
      <c r="A597" t="s">
        <v>1317</v>
      </c>
      <c r="B597" t="s">
        <v>263</v>
      </c>
      <c r="C597" t="s">
        <v>264</v>
      </c>
      <c r="D597" t="s">
        <v>265</v>
      </c>
      <c r="E597" t="s">
        <v>266</v>
      </c>
      <c r="F597" t="s">
        <v>1318</v>
      </c>
    </row>
    <row r="598" spans="1:6" x14ac:dyDescent="0.25">
      <c r="A598" t="s">
        <v>1319</v>
      </c>
      <c r="B598" t="s">
        <v>65</v>
      </c>
      <c r="C598" t="s">
        <v>66</v>
      </c>
      <c r="D598" t="s">
        <v>67</v>
      </c>
      <c r="E598" t="s">
        <v>68</v>
      </c>
      <c r="F598" t="s">
        <v>1320</v>
      </c>
    </row>
    <row r="599" spans="1:6" x14ac:dyDescent="0.25">
      <c r="A599" t="s">
        <v>1321</v>
      </c>
      <c r="B599" t="s">
        <v>65</v>
      </c>
      <c r="C599" t="s">
        <v>66</v>
      </c>
      <c r="D599" t="s">
        <v>67</v>
      </c>
      <c r="E599" t="s">
        <v>68</v>
      </c>
      <c r="F599" t="s">
        <v>1322</v>
      </c>
    </row>
    <row r="600" spans="1:6" x14ac:dyDescent="0.25">
      <c r="A600" t="s">
        <v>1323</v>
      </c>
      <c r="B600" t="s">
        <v>53</v>
      </c>
      <c r="C600" t="s">
        <v>54</v>
      </c>
      <c r="D600" t="s">
        <v>55</v>
      </c>
      <c r="E600" t="s">
        <v>56</v>
      </c>
      <c r="F600" t="s">
        <v>1324</v>
      </c>
    </row>
    <row r="601" spans="1:6" x14ac:dyDescent="0.25">
      <c r="A601" t="s">
        <v>1325</v>
      </c>
      <c r="B601" t="s">
        <v>134</v>
      </c>
      <c r="C601" t="s">
        <v>135</v>
      </c>
      <c r="D601" t="e">
        <v>#VALUE!</v>
      </c>
      <c r="E601" t="e">
        <v>#VALUE!</v>
      </c>
      <c r="F601" t="s">
        <v>1326</v>
      </c>
    </row>
    <row r="602" spans="1:6" x14ac:dyDescent="0.25">
      <c r="A602" t="s">
        <v>1327</v>
      </c>
      <c r="B602" t="s">
        <v>20</v>
      </c>
      <c r="C602" t="s">
        <v>21</v>
      </c>
      <c r="D602" t="s">
        <v>22</v>
      </c>
      <c r="E602" t="s">
        <v>23</v>
      </c>
      <c r="F602" t="s">
        <v>1328</v>
      </c>
    </row>
    <row r="603" spans="1:6" x14ac:dyDescent="0.25">
      <c r="A603" t="s">
        <v>1329</v>
      </c>
      <c r="B603" t="s">
        <v>65</v>
      </c>
      <c r="C603" t="s">
        <v>66</v>
      </c>
      <c r="D603" t="s">
        <v>67</v>
      </c>
      <c r="E603" t="s">
        <v>68</v>
      </c>
      <c r="F603" t="s">
        <v>1330</v>
      </c>
    </row>
    <row r="604" spans="1:6" x14ac:dyDescent="0.25">
      <c r="A604" t="s">
        <v>1331</v>
      </c>
      <c r="B604" t="s">
        <v>1332</v>
      </c>
      <c r="C604" t="s">
        <v>1333</v>
      </c>
      <c r="D604" t="s">
        <v>1334</v>
      </c>
      <c r="E604" t="s">
        <v>1335</v>
      </c>
      <c r="F604" t="s">
        <v>1336</v>
      </c>
    </row>
    <row r="605" spans="1:6" x14ac:dyDescent="0.25">
      <c r="A605" t="s">
        <v>1337</v>
      </c>
      <c r="B605" t="s">
        <v>20</v>
      </c>
      <c r="C605" t="s">
        <v>21</v>
      </c>
      <c r="D605" t="s">
        <v>22</v>
      </c>
      <c r="E605" t="s">
        <v>23</v>
      </c>
      <c r="F605" t="s">
        <v>1338</v>
      </c>
    </row>
    <row r="606" spans="1:6" x14ac:dyDescent="0.25">
      <c r="A606" t="s">
        <v>1339</v>
      </c>
      <c r="B606" t="s">
        <v>81</v>
      </c>
      <c r="C606" t="s">
        <v>82</v>
      </c>
      <c r="D606" t="s">
        <v>83</v>
      </c>
      <c r="E606" t="s">
        <v>84</v>
      </c>
      <c r="F606" t="s">
        <v>1340</v>
      </c>
    </row>
    <row r="607" spans="1:6" x14ac:dyDescent="0.25">
      <c r="A607" t="s">
        <v>1341</v>
      </c>
      <c r="B607" t="s">
        <v>53</v>
      </c>
      <c r="C607" t="s">
        <v>54</v>
      </c>
      <c r="D607" t="s">
        <v>55</v>
      </c>
      <c r="E607" t="s">
        <v>56</v>
      </c>
      <c r="F607" t="s">
        <v>1342</v>
      </c>
    </row>
    <row r="608" spans="1:6" x14ac:dyDescent="0.25">
      <c r="A608" t="s">
        <v>1343</v>
      </c>
      <c r="B608" t="s">
        <v>31</v>
      </c>
      <c r="C608" t="s">
        <v>32</v>
      </c>
      <c r="D608" t="s">
        <v>33</v>
      </c>
      <c r="E608" t="s">
        <v>34</v>
      </c>
      <c r="F608" t="s">
        <v>1344</v>
      </c>
    </row>
    <row r="609" spans="1:6" x14ac:dyDescent="0.25">
      <c r="A609" t="s">
        <v>1345</v>
      </c>
      <c r="B609" t="s">
        <v>31</v>
      </c>
      <c r="C609" t="s">
        <v>32</v>
      </c>
      <c r="D609" t="s">
        <v>33</v>
      </c>
      <c r="E609" t="s">
        <v>34</v>
      </c>
      <c r="F609" t="s">
        <v>1346</v>
      </c>
    </row>
    <row r="610" spans="1:6" x14ac:dyDescent="0.25">
      <c r="A610" t="s">
        <v>1347</v>
      </c>
      <c r="B610" t="s">
        <v>31</v>
      </c>
      <c r="C610" t="s">
        <v>32</v>
      </c>
      <c r="D610" t="s">
        <v>33</v>
      </c>
      <c r="E610" t="s">
        <v>34</v>
      </c>
      <c r="F610" t="s">
        <v>1348</v>
      </c>
    </row>
    <row r="611" spans="1:6" x14ac:dyDescent="0.25">
      <c r="A611" t="s">
        <v>1349</v>
      </c>
      <c r="B611" t="s">
        <v>65</v>
      </c>
      <c r="C611" t="s">
        <v>66</v>
      </c>
      <c r="D611" t="s">
        <v>67</v>
      </c>
      <c r="E611" t="s">
        <v>68</v>
      </c>
      <c r="F611" t="s">
        <v>1350</v>
      </c>
    </row>
    <row r="612" spans="1:6" x14ac:dyDescent="0.25">
      <c r="A612" t="s">
        <v>1351</v>
      </c>
      <c r="B612" t="s">
        <v>31</v>
      </c>
      <c r="C612" t="s">
        <v>32</v>
      </c>
      <c r="D612" t="s">
        <v>33</v>
      </c>
      <c r="E612" t="s">
        <v>34</v>
      </c>
      <c r="F612" t="s">
        <v>1352</v>
      </c>
    </row>
    <row r="613" spans="1:6" x14ac:dyDescent="0.25">
      <c r="A613" t="s">
        <v>1353</v>
      </c>
      <c r="B613" t="s">
        <v>107</v>
      </c>
      <c r="C613" t="s">
        <v>108</v>
      </c>
      <c r="D613" t="s">
        <v>109</v>
      </c>
      <c r="E613" t="s">
        <v>110</v>
      </c>
      <c r="F613" t="s">
        <v>1354</v>
      </c>
    </row>
    <row r="614" spans="1:6" x14ac:dyDescent="0.25">
      <c r="A614" t="s">
        <v>1355</v>
      </c>
      <c r="B614" t="s">
        <v>65</v>
      </c>
      <c r="C614" t="s">
        <v>66</v>
      </c>
      <c r="D614" t="s">
        <v>67</v>
      </c>
      <c r="E614" t="s">
        <v>68</v>
      </c>
      <c r="F614" t="e">
        <v>#VALUE!</v>
      </c>
    </row>
    <row r="615" spans="1:6" x14ac:dyDescent="0.25">
      <c r="A615" t="s">
        <v>1356</v>
      </c>
      <c r="B615" t="s">
        <v>93</v>
      </c>
      <c r="C615" t="s">
        <v>94</v>
      </c>
      <c r="D615" t="s">
        <v>95</v>
      </c>
      <c r="E615" t="s">
        <v>96</v>
      </c>
      <c r="F615" t="s">
        <v>1357</v>
      </c>
    </row>
    <row r="616" spans="1:6" x14ac:dyDescent="0.25">
      <c r="A616" t="s">
        <v>1358</v>
      </c>
      <c r="B616" t="s">
        <v>71</v>
      </c>
      <c r="C616" t="s">
        <v>72</v>
      </c>
      <c r="D616" t="s">
        <v>73</v>
      </c>
      <c r="E616" t="s">
        <v>74</v>
      </c>
      <c r="F616" t="s">
        <v>1359</v>
      </c>
    </row>
    <row r="617" spans="1:6" x14ac:dyDescent="0.25">
      <c r="A617" t="s">
        <v>1360</v>
      </c>
      <c r="B617" t="s">
        <v>93</v>
      </c>
      <c r="C617" t="s">
        <v>94</v>
      </c>
      <c r="D617" t="s">
        <v>95</v>
      </c>
      <c r="E617" t="s">
        <v>96</v>
      </c>
      <c r="F617" t="s">
        <v>1361</v>
      </c>
    </row>
    <row r="618" spans="1:6" x14ac:dyDescent="0.25">
      <c r="A618" t="s">
        <v>1362</v>
      </c>
      <c r="B618" t="s">
        <v>25</v>
      </c>
      <c r="C618" t="s">
        <v>26</v>
      </c>
      <c r="D618" t="s">
        <v>27</v>
      </c>
      <c r="E618" t="s">
        <v>28</v>
      </c>
      <c r="F618" t="s">
        <v>1363</v>
      </c>
    </row>
    <row r="619" spans="1:6" x14ac:dyDescent="0.25">
      <c r="A619" t="s">
        <v>1364</v>
      </c>
      <c r="B619" t="s">
        <v>31</v>
      </c>
      <c r="C619" t="s">
        <v>32</v>
      </c>
      <c r="D619" t="s">
        <v>33</v>
      </c>
      <c r="E619" t="s">
        <v>34</v>
      </c>
      <c r="F619" t="s">
        <v>1365</v>
      </c>
    </row>
    <row r="620" spans="1:6" x14ac:dyDescent="0.25">
      <c r="A620" t="s">
        <v>1366</v>
      </c>
      <c r="B620" t="s">
        <v>31</v>
      </c>
      <c r="C620" t="s">
        <v>32</v>
      </c>
      <c r="D620" t="s">
        <v>33</v>
      </c>
      <c r="E620" t="s">
        <v>34</v>
      </c>
      <c r="F620" t="s">
        <v>1367</v>
      </c>
    </row>
    <row r="621" spans="1:6" x14ac:dyDescent="0.25">
      <c r="A621" t="s">
        <v>1368</v>
      </c>
      <c r="B621" t="s">
        <v>65</v>
      </c>
      <c r="C621" t="s">
        <v>66</v>
      </c>
      <c r="D621" t="s">
        <v>67</v>
      </c>
      <c r="E621" t="s">
        <v>68</v>
      </c>
      <c r="F621" t="s">
        <v>1369</v>
      </c>
    </row>
    <row r="622" spans="1:6" x14ac:dyDescent="0.25">
      <c r="A622" t="s">
        <v>1370</v>
      </c>
      <c r="B622" t="s">
        <v>65</v>
      </c>
      <c r="C622" t="s">
        <v>66</v>
      </c>
      <c r="D622" t="s">
        <v>67</v>
      </c>
      <c r="E622" t="s">
        <v>68</v>
      </c>
      <c r="F622" t="s">
        <v>1371</v>
      </c>
    </row>
    <row r="623" spans="1:6" x14ac:dyDescent="0.25">
      <c r="A623" t="s">
        <v>1372</v>
      </c>
      <c r="B623" t="s">
        <v>157</v>
      </c>
      <c r="C623" t="s">
        <v>158</v>
      </c>
      <c r="D623" t="s">
        <v>159</v>
      </c>
      <c r="E623" t="s">
        <v>160</v>
      </c>
      <c r="F623" t="s">
        <v>1373</v>
      </c>
    </row>
    <row r="624" spans="1:6" x14ac:dyDescent="0.25">
      <c r="A624" t="s">
        <v>1374</v>
      </c>
      <c r="B624" t="s">
        <v>31</v>
      </c>
      <c r="C624" t="s">
        <v>32</v>
      </c>
      <c r="D624" t="s">
        <v>33</v>
      </c>
      <c r="E624" t="s">
        <v>34</v>
      </c>
      <c r="F624" t="s">
        <v>1375</v>
      </c>
    </row>
    <row r="625" spans="1:6" x14ac:dyDescent="0.25">
      <c r="A625" t="s">
        <v>1376</v>
      </c>
      <c r="B625" t="s">
        <v>65</v>
      </c>
      <c r="C625" t="s">
        <v>66</v>
      </c>
      <c r="D625" t="s">
        <v>67</v>
      </c>
      <c r="E625" t="s">
        <v>68</v>
      </c>
      <c r="F625" t="s">
        <v>1377</v>
      </c>
    </row>
    <row r="626" spans="1:6" x14ac:dyDescent="0.25">
      <c r="A626" t="s">
        <v>1378</v>
      </c>
      <c r="B626" t="s">
        <v>37</v>
      </c>
      <c r="C626" t="s">
        <v>38</v>
      </c>
      <c r="D626" t="s">
        <v>39</v>
      </c>
      <c r="E626" t="s">
        <v>40</v>
      </c>
      <c r="F626" t="s">
        <v>1379</v>
      </c>
    </row>
    <row r="627" spans="1:6" x14ac:dyDescent="0.25">
      <c r="A627" t="s">
        <v>1380</v>
      </c>
      <c r="B627" t="s">
        <v>37</v>
      </c>
      <c r="C627" t="s">
        <v>38</v>
      </c>
      <c r="D627" t="s">
        <v>39</v>
      </c>
      <c r="E627" t="s">
        <v>40</v>
      </c>
      <c r="F627" t="s">
        <v>1381</v>
      </c>
    </row>
    <row r="628" spans="1:6" x14ac:dyDescent="0.25">
      <c r="A628" t="s">
        <v>1382</v>
      </c>
      <c r="B628" t="s">
        <v>10</v>
      </c>
      <c r="C628" t="s">
        <v>11</v>
      </c>
      <c r="D628" t="e">
        <v>#VALUE!</v>
      </c>
      <c r="E628" t="e">
        <v>#VALUE!</v>
      </c>
      <c r="F628" t="s">
        <v>1383</v>
      </c>
    </row>
    <row r="629" spans="1:6" x14ac:dyDescent="0.25">
      <c r="A629" t="s">
        <v>1384</v>
      </c>
      <c r="B629" t="s">
        <v>45</v>
      </c>
      <c r="C629" t="s">
        <v>46</v>
      </c>
      <c r="D629" t="s">
        <v>47</v>
      </c>
      <c r="E629" t="s">
        <v>48</v>
      </c>
      <c r="F629" t="s">
        <v>1385</v>
      </c>
    </row>
    <row r="630" spans="1:6" x14ac:dyDescent="0.25">
      <c r="A630" t="s">
        <v>1386</v>
      </c>
      <c r="B630" t="s">
        <v>93</v>
      </c>
      <c r="C630" t="s">
        <v>94</v>
      </c>
      <c r="D630" t="s">
        <v>95</v>
      </c>
      <c r="E630" t="s">
        <v>96</v>
      </c>
      <c r="F630" t="s">
        <v>1387</v>
      </c>
    </row>
    <row r="631" spans="1:6" x14ac:dyDescent="0.25">
      <c r="A631" t="s">
        <v>1388</v>
      </c>
      <c r="B631" t="s">
        <v>31</v>
      </c>
      <c r="C631" t="s">
        <v>32</v>
      </c>
      <c r="D631" t="s">
        <v>33</v>
      </c>
      <c r="E631" t="s">
        <v>34</v>
      </c>
      <c r="F631" t="s">
        <v>1389</v>
      </c>
    </row>
    <row r="632" spans="1:6" x14ac:dyDescent="0.25">
      <c r="A632" t="s">
        <v>1390</v>
      </c>
      <c r="B632" t="s">
        <v>31</v>
      </c>
      <c r="C632" t="s">
        <v>32</v>
      </c>
      <c r="D632" t="s">
        <v>33</v>
      </c>
      <c r="E632" t="s">
        <v>34</v>
      </c>
      <c r="F632" t="s">
        <v>1391</v>
      </c>
    </row>
    <row r="633" spans="1:6" x14ac:dyDescent="0.25">
      <c r="A633" t="s">
        <v>1392</v>
      </c>
      <c r="B633" t="s">
        <v>65</v>
      </c>
      <c r="C633" t="s">
        <v>66</v>
      </c>
      <c r="D633" t="s">
        <v>67</v>
      </c>
      <c r="E633" t="s">
        <v>68</v>
      </c>
      <c r="F633" t="s">
        <v>1393</v>
      </c>
    </row>
    <row r="634" spans="1:6" x14ac:dyDescent="0.25">
      <c r="A634" t="s">
        <v>1394</v>
      </c>
      <c r="B634" t="s">
        <v>65</v>
      </c>
      <c r="C634" t="s">
        <v>66</v>
      </c>
      <c r="D634" t="s">
        <v>67</v>
      </c>
      <c r="E634" t="s">
        <v>68</v>
      </c>
      <c r="F634" t="s">
        <v>1395</v>
      </c>
    </row>
    <row r="635" spans="1:6" x14ac:dyDescent="0.25">
      <c r="A635" t="s">
        <v>1396</v>
      </c>
      <c r="B635" t="s">
        <v>65</v>
      </c>
      <c r="C635" t="s">
        <v>66</v>
      </c>
      <c r="D635" t="s">
        <v>67</v>
      </c>
      <c r="E635" t="s">
        <v>68</v>
      </c>
      <c r="F635" t="s">
        <v>1397</v>
      </c>
    </row>
    <row r="636" spans="1:6" x14ac:dyDescent="0.25">
      <c r="A636" t="s">
        <v>1398</v>
      </c>
      <c r="B636" t="s">
        <v>65</v>
      </c>
      <c r="C636" t="s">
        <v>66</v>
      </c>
      <c r="D636" t="s">
        <v>67</v>
      </c>
      <c r="E636" t="s">
        <v>68</v>
      </c>
      <c r="F636" t="s">
        <v>1399</v>
      </c>
    </row>
    <row r="637" spans="1:6" x14ac:dyDescent="0.25">
      <c r="A637" t="s">
        <v>1400</v>
      </c>
      <c r="B637" t="s">
        <v>394</v>
      </c>
      <c r="C637" t="s">
        <v>395</v>
      </c>
      <c r="D637" t="s">
        <v>396</v>
      </c>
      <c r="E637" t="s">
        <v>397</v>
      </c>
      <c r="F637" t="s">
        <v>1401</v>
      </c>
    </row>
    <row r="638" spans="1:6" x14ac:dyDescent="0.25">
      <c r="A638" t="s">
        <v>1402</v>
      </c>
      <c r="B638" t="s">
        <v>157</v>
      </c>
      <c r="C638" t="s">
        <v>158</v>
      </c>
      <c r="D638" t="s">
        <v>159</v>
      </c>
      <c r="E638" t="s">
        <v>160</v>
      </c>
      <c r="F638" t="s">
        <v>1403</v>
      </c>
    </row>
    <row r="639" spans="1:6" x14ac:dyDescent="0.25">
      <c r="A639" t="s">
        <v>1404</v>
      </c>
      <c r="B639" t="s">
        <v>65</v>
      </c>
      <c r="C639" t="s">
        <v>66</v>
      </c>
      <c r="D639" t="s">
        <v>67</v>
      </c>
      <c r="E639" t="s">
        <v>68</v>
      </c>
      <c r="F639" t="s">
        <v>1405</v>
      </c>
    </row>
    <row r="640" spans="1:6" x14ac:dyDescent="0.25">
      <c r="A640" t="s">
        <v>1406</v>
      </c>
      <c r="B640" t="s">
        <v>10</v>
      </c>
      <c r="C640" t="s">
        <v>11</v>
      </c>
      <c r="D640" t="e">
        <v>#VALUE!</v>
      </c>
      <c r="E640" t="e">
        <v>#VALUE!</v>
      </c>
      <c r="F640" t="s">
        <v>1407</v>
      </c>
    </row>
    <row r="641" spans="1:6" x14ac:dyDescent="0.25">
      <c r="A641" t="s">
        <v>1408</v>
      </c>
      <c r="B641" t="s">
        <v>25</v>
      </c>
      <c r="C641" t="s">
        <v>26</v>
      </c>
      <c r="D641" t="s">
        <v>27</v>
      </c>
      <c r="E641" t="s">
        <v>28</v>
      </c>
      <c r="F641" t="s">
        <v>1409</v>
      </c>
    </row>
    <row r="642" spans="1:6" x14ac:dyDescent="0.25">
      <c r="A642" t="s">
        <v>1410</v>
      </c>
      <c r="B642" t="s">
        <v>93</v>
      </c>
      <c r="C642" t="s">
        <v>94</v>
      </c>
      <c r="D642" t="s">
        <v>95</v>
      </c>
      <c r="E642" t="s">
        <v>96</v>
      </c>
      <c r="F642" t="s">
        <v>1411</v>
      </c>
    </row>
    <row r="643" spans="1:6" x14ac:dyDescent="0.25">
      <c r="A643" t="s">
        <v>1412</v>
      </c>
      <c r="B643" t="s">
        <v>65</v>
      </c>
      <c r="C643" t="s">
        <v>66</v>
      </c>
      <c r="D643" t="s">
        <v>67</v>
      </c>
      <c r="E643" t="s">
        <v>68</v>
      </c>
      <c r="F643" t="s">
        <v>1413</v>
      </c>
    </row>
    <row r="644" spans="1:6" x14ac:dyDescent="0.25">
      <c r="A644" t="s">
        <v>1414</v>
      </c>
      <c r="B644" t="s">
        <v>65</v>
      </c>
      <c r="C644" t="s">
        <v>66</v>
      </c>
      <c r="D644" t="s">
        <v>67</v>
      </c>
      <c r="E644" t="s">
        <v>68</v>
      </c>
      <c r="F644" t="s">
        <v>1415</v>
      </c>
    </row>
    <row r="645" spans="1:6" x14ac:dyDescent="0.25">
      <c r="A645" t="s">
        <v>1416</v>
      </c>
      <c r="B645" t="s">
        <v>157</v>
      </c>
      <c r="C645" t="s">
        <v>158</v>
      </c>
      <c r="D645" t="s">
        <v>159</v>
      </c>
      <c r="E645" t="s">
        <v>160</v>
      </c>
      <c r="F645" t="s">
        <v>1417</v>
      </c>
    </row>
    <row r="646" spans="1:6" x14ac:dyDescent="0.25">
      <c r="A646" t="s">
        <v>1418</v>
      </c>
      <c r="B646" t="s">
        <v>65</v>
      </c>
      <c r="C646" t="s">
        <v>66</v>
      </c>
      <c r="D646" t="s">
        <v>67</v>
      </c>
      <c r="E646" t="s">
        <v>68</v>
      </c>
      <c r="F646" t="s">
        <v>1419</v>
      </c>
    </row>
    <row r="647" spans="1:6" x14ac:dyDescent="0.25">
      <c r="A647" t="s">
        <v>1420</v>
      </c>
      <c r="B647" t="s">
        <v>65</v>
      </c>
      <c r="C647" t="s">
        <v>66</v>
      </c>
      <c r="D647" t="s">
        <v>67</v>
      </c>
      <c r="E647" t="s">
        <v>68</v>
      </c>
      <c r="F647" t="s">
        <v>1421</v>
      </c>
    </row>
    <row r="648" spans="1:6" x14ac:dyDescent="0.25">
      <c r="A648" t="s">
        <v>1422</v>
      </c>
      <c r="B648" t="s">
        <v>901</v>
      </c>
      <c r="C648" t="s">
        <v>902</v>
      </c>
      <c r="D648" t="e">
        <v>#VALUE!</v>
      </c>
      <c r="E648" t="e">
        <v>#VALUE!</v>
      </c>
      <c r="F648" t="s">
        <v>1423</v>
      </c>
    </row>
    <row r="649" spans="1:6" x14ac:dyDescent="0.25">
      <c r="A649" t="s">
        <v>1424</v>
      </c>
      <c r="B649" t="s">
        <v>37</v>
      </c>
      <c r="C649" t="s">
        <v>38</v>
      </c>
      <c r="D649" t="s">
        <v>39</v>
      </c>
      <c r="E649" t="s">
        <v>40</v>
      </c>
      <c r="F649" t="s">
        <v>1425</v>
      </c>
    </row>
    <row r="650" spans="1:6" x14ac:dyDescent="0.25">
      <c r="A650" t="s">
        <v>1426</v>
      </c>
      <c r="B650" t="s">
        <v>53</v>
      </c>
      <c r="C650" t="s">
        <v>54</v>
      </c>
      <c r="D650" t="s">
        <v>55</v>
      </c>
      <c r="E650" t="s">
        <v>56</v>
      </c>
      <c r="F650" t="s">
        <v>1427</v>
      </c>
    </row>
    <row r="651" spans="1:6" x14ac:dyDescent="0.25">
      <c r="A651" t="s">
        <v>1428</v>
      </c>
      <c r="B651" t="s">
        <v>65</v>
      </c>
      <c r="C651" t="s">
        <v>66</v>
      </c>
      <c r="D651" t="s">
        <v>67</v>
      </c>
      <c r="E651" t="s">
        <v>68</v>
      </c>
      <c r="F651" t="s">
        <v>1429</v>
      </c>
    </row>
    <row r="652" spans="1:6" x14ac:dyDescent="0.25">
      <c r="A652" t="s">
        <v>1430</v>
      </c>
      <c r="B652" t="s">
        <v>65</v>
      </c>
      <c r="C652" t="s">
        <v>66</v>
      </c>
      <c r="D652" t="s">
        <v>67</v>
      </c>
      <c r="E652" t="s">
        <v>68</v>
      </c>
      <c r="F652" t="s">
        <v>1431</v>
      </c>
    </row>
    <row r="653" spans="1:6" x14ac:dyDescent="0.25">
      <c r="A653" t="s">
        <v>1432</v>
      </c>
      <c r="B653" t="s">
        <v>45</v>
      </c>
      <c r="C653" t="s">
        <v>46</v>
      </c>
      <c r="D653" t="s">
        <v>47</v>
      </c>
      <c r="E653" t="s">
        <v>48</v>
      </c>
      <c r="F653" t="s">
        <v>1433</v>
      </c>
    </row>
    <row r="654" spans="1:6" x14ac:dyDescent="0.25">
      <c r="A654" t="s">
        <v>1434</v>
      </c>
      <c r="B654" t="s">
        <v>31</v>
      </c>
      <c r="C654" t="s">
        <v>32</v>
      </c>
      <c r="D654" t="s">
        <v>33</v>
      </c>
      <c r="E654" t="s">
        <v>34</v>
      </c>
      <c r="F654" t="s">
        <v>1435</v>
      </c>
    </row>
    <row r="655" spans="1:6" x14ac:dyDescent="0.25">
      <c r="A655" t="s">
        <v>1436</v>
      </c>
      <c r="B655" t="s">
        <v>31</v>
      </c>
      <c r="C655" t="s">
        <v>32</v>
      </c>
      <c r="D655" t="s">
        <v>33</v>
      </c>
      <c r="E655" t="s">
        <v>34</v>
      </c>
      <c r="F655" t="s">
        <v>1437</v>
      </c>
    </row>
    <row r="656" spans="1:6" x14ac:dyDescent="0.25">
      <c r="A656" t="s">
        <v>1438</v>
      </c>
      <c r="B656" t="s">
        <v>31</v>
      </c>
      <c r="C656" t="s">
        <v>32</v>
      </c>
      <c r="D656" t="s">
        <v>33</v>
      </c>
      <c r="E656" t="s">
        <v>34</v>
      </c>
      <c r="F656" t="s">
        <v>1439</v>
      </c>
    </row>
    <row r="657" spans="1:6" x14ac:dyDescent="0.25">
      <c r="A657" t="s">
        <v>1440</v>
      </c>
      <c r="B657" t="s">
        <v>31</v>
      </c>
      <c r="C657" t="s">
        <v>32</v>
      </c>
      <c r="D657" t="s">
        <v>33</v>
      </c>
      <c r="E657" t="s">
        <v>34</v>
      </c>
      <c r="F657" t="s">
        <v>1441</v>
      </c>
    </row>
    <row r="658" spans="1:6" x14ac:dyDescent="0.25">
      <c r="A658" t="s">
        <v>1442</v>
      </c>
      <c r="B658" t="s">
        <v>93</v>
      </c>
      <c r="C658" t="s">
        <v>94</v>
      </c>
      <c r="D658" t="s">
        <v>95</v>
      </c>
      <c r="E658" t="s">
        <v>96</v>
      </c>
      <c r="F658" t="s">
        <v>1443</v>
      </c>
    </row>
    <row r="659" spans="1:6" x14ac:dyDescent="0.25">
      <c r="A659" t="s">
        <v>1444</v>
      </c>
      <c r="B659" t="s">
        <v>31</v>
      </c>
      <c r="C659" t="s">
        <v>32</v>
      </c>
      <c r="D659" t="s">
        <v>33</v>
      </c>
      <c r="E659" t="s">
        <v>34</v>
      </c>
      <c r="F659" t="s">
        <v>1445</v>
      </c>
    </row>
    <row r="660" spans="1:6" x14ac:dyDescent="0.25">
      <c r="A660" t="s">
        <v>1446</v>
      </c>
      <c r="B660" t="s">
        <v>107</v>
      </c>
      <c r="C660" t="s">
        <v>108</v>
      </c>
      <c r="D660" t="s">
        <v>109</v>
      </c>
      <c r="E660" t="s">
        <v>110</v>
      </c>
      <c r="F660" t="s">
        <v>1447</v>
      </c>
    </row>
    <row r="661" spans="1:6" x14ac:dyDescent="0.25">
      <c r="A661" t="s">
        <v>1448</v>
      </c>
      <c r="B661" t="s">
        <v>157</v>
      </c>
      <c r="C661" t="s">
        <v>158</v>
      </c>
      <c r="D661" t="s">
        <v>159</v>
      </c>
      <c r="E661" t="s">
        <v>160</v>
      </c>
      <c r="F661" t="s">
        <v>1449</v>
      </c>
    </row>
    <row r="662" spans="1:6" x14ac:dyDescent="0.25">
      <c r="A662" t="s">
        <v>1450</v>
      </c>
      <c r="B662" t="s">
        <v>310</v>
      </c>
      <c r="C662" t="s">
        <v>311</v>
      </c>
      <c r="D662" t="s">
        <v>312</v>
      </c>
      <c r="E662" t="s">
        <v>313</v>
      </c>
      <c r="F662" t="s">
        <v>1451</v>
      </c>
    </row>
    <row r="663" spans="1:6" x14ac:dyDescent="0.25">
      <c r="A663" t="s">
        <v>1452</v>
      </c>
      <c r="B663" t="s">
        <v>65</v>
      </c>
      <c r="C663" t="s">
        <v>66</v>
      </c>
      <c r="D663" t="s">
        <v>67</v>
      </c>
      <c r="E663" t="s">
        <v>68</v>
      </c>
      <c r="F663" t="s">
        <v>1453</v>
      </c>
    </row>
    <row r="664" spans="1:6" x14ac:dyDescent="0.25">
      <c r="A664" t="s">
        <v>1454</v>
      </c>
      <c r="B664" t="s">
        <v>65</v>
      </c>
      <c r="C664" t="s">
        <v>66</v>
      </c>
      <c r="D664" t="s">
        <v>67</v>
      </c>
      <c r="E664" t="s">
        <v>68</v>
      </c>
      <c r="F664" t="s">
        <v>1455</v>
      </c>
    </row>
    <row r="665" spans="1:6" x14ac:dyDescent="0.25">
      <c r="A665" t="s">
        <v>1456</v>
      </c>
      <c r="B665" t="s">
        <v>157</v>
      </c>
      <c r="C665" t="s">
        <v>158</v>
      </c>
      <c r="D665" t="s">
        <v>159</v>
      </c>
      <c r="E665" t="s">
        <v>160</v>
      </c>
      <c r="F665" t="s">
        <v>1457</v>
      </c>
    </row>
    <row r="666" spans="1:6" x14ac:dyDescent="0.25">
      <c r="A666" t="s">
        <v>1458</v>
      </c>
      <c r="B666" t="s">
        <v>548</v>
      </c>
      <c r="C666" t="s">
        <v>549</v>
      </c>
      <c r="D666" t="s">
        <v>550</v>
      </c>
      <c r="E666" t="s">
        <v>551</v>
      </c>
      <c r="F666" t="s">
        <v>1459</v>
      </c>
    </row>
    <row r="667" spans="1:6" x14ac:dyDescent="0.25">
      <c r="A667" t="s">
        <v>1460</v>
      </c>
      <c r="B667" t="s">
        <v>10</v>
      </c>
      <c r="C667" t="s">
        <v>11</v>
      </c>
      <c r="D667" t="e">
        <v>#VALUE!</v>
      </c>
      <c r="E667" t="e">
        <v>#VALUE!</v>
      </c>
      <c r="F667" t="s">
        <v>1461</v>
      </c>
    </row>
    <row r="668" spans="1:6" x14ac:dyDescent="0.25">
      <c r="A668" t="s">
        <v>1462</v>
      </c>
      <c r="B668" t="s">
        <v>65</v>
      </c>
      <c r="C668" t="s">
        <v>66</v>
      </c>
      <c r="D668" t="s">
        <v>67</v>
      </c>
      <c r="E668" t="s">
        <v>68</v>
      </c>
      <c r="F668" t="s">
        <v>1463</v>
      </c>
    </row>
    <row r="669" spans="1:6" x14ac:dyDescent="0.25">
      <c r="A669" t="s">
        <v>1464</v>
      </c>
      <c r="B669" t="s">
        <v>10</v>
      </c>
      <c r="C669" t="s">
        <v>11</v>
      </c>
      <c r="D669" t="e">
        <v>#VALUE!</v>
      </c>
      <c r="E669" t="e">
        <v>#VALUE!</v>
      </c>
      <c r="F669" t="s">
        <v>1465</v>
      </c>
    </row>
    <row r="670" spans="1:6" x14ac:dyDescent="0.25">
      <c r="A670" t="s">
        <v>1466</v>
      </c>
      <c r="B670" t="s">
        <v>65</v>
      </c>
      <c r="C670" t="s">
        <v>66</v>
      </c>
      <c r="D670" t="s">
        <v>67</v>
      </c>
      <c r="E670" t="s">
        <v>68</v>
      </c>
      <c r="F670" t="s">
        <v>1467</v>
      </c>
    </row>
    <row r="671" spans="1:6" x14ac:dyDescent="0.25">
      <c r="A671" t="s">
        <v>1468</v>
      </c>
      <c r="B671" t="s">
        <v>10</v>
      </c>
      <c r="C671" t="s">
        <v>11</v>
      </c>
      <c r="D671" t="e">
        <v>#VALUE!</v>
      </c>
      <c r="E671" t="e">
        <v>#VALUE!</v>
      </c>
      <c r="F671" t="s">
        <v>1469</v>
      </c>
    </row>
    <row r="672" spans="1:6" x14ac:dyDescent="0.25">
      <c r="A672" t="s">
        <v>1470</v>
      </c>
      <c r="B672" t="s">
        <v>93</v>
      </c>
      <c r="C672" t="s">
        <v>94</v>
      </c>
      <c r="D672" t="s">
        <v>95</v>
      </c>
      <c r="E672" t="s">
        <v>96</v>
      </c>
      <c r="F672" t="s">
        <v>1471</v>
      </c>
    </row>
    <row r="673" spans="1:6" x14ac:dyDescent="0.25">
      <c r="A673" t="s">
        <v>1472</v>
      </c>
      <c r="B673" t="s">
        <v>336</v>
      </c>
      <c r="C673" t="s">
        <v>337</v>
      </c>
      <c r="D673" t="s">
        <v>338</v>
      </c>
      <c r="E673" t="s">
        <v>339</v>
      </c>
      <c r="F673" t="s">
        <v>1473</v>
      </c>
    </row>
    <row r="674" spans="1:6" x14ac:dyDescent="0.25">
      <c r="A674" t="s">
        <v>1474</v>
      </c>
      <c r="B674" t="s">
        <v>81</v>
      </c>
      <c r="C674" t="s">
        <v>82</v>
      </c>
      <c r="D674" t="s">
        <v>83</v>
      </c>
      <c r="E674" t="s">
        <v>84</v>
      </c>
      <c r="F674" t="s">
        <v>1475</v>
      </c>
    </row>
    <row r="675" spans="1:6" x14ac:dyDescent="0.25">
      <c r="A675" t="s">
        <v>1476</v>
      </c>
      <c r="B675" t="s">
        <v>128</v>
      </c>
      <c r="C675" t="s">
        <v>129</v>
      </c>
      <c r="D675" t="s">
        <v>130</v>
      </c>
      <c r="E675" t="s">
        <v>131</v>
      </c>
      <c r="F675" t="s">
        <v>1477</v>
      </c>
    </row>
    <row r="676" spans="1:6" x14ac:dyDescent="0.25">
      <c r="A676" t="s">
        <v>1478</v>
      </c>
      <c r="B676" t="s">
        <v>65</v>
      </c>
      <c r="C676" t="s">
        <v>66</v>
      </c>
      <c r="D676" t="s">
        <v>67</v>
      </c>
      <c r="E676" t="s">
        <v>68</v>
      </c>
      <c r="F676" t="s">
        <v>1479</v>
      </c>
    </row>
    <row r="677" spans="1:6" x14ac:dyDescent="0.25">
      <c r="A677" t="s">
        <v>1480</v>
      </c>
      <c r="B677" t="s">
        <v>93</v>
      </c>
      <c r="C677" t="s">
        <v>94</v>
      </c>
      <c r="D677" t="s">
        <v>95</v>
      </c>
      <c r="E677" t="s">
        <v>96</v>
      </c>
      <c r="F677" t="s">
        <v>1481</v>
      </c>
    </row>
    <row r="678" spans="1:6" x14ac:dyDescent="0.25">
      <c r="A678" t="s">
        <v>1482</v>
      </c>
      <c r="B678" t="s">
        <v>37</v>
      </c>
      <c r="C678" t="s">
        <v>38</v>
      </c>
      <c r="D678" t="s">
        <v>39</v>
      </c>
      <c r="E678" t="s">
        <v>40</v>
      </c>
      <c r="F678" t="s">
        <v>1483</v>
      </c>
    </row>
    <row r="679" spans="1:6" x14ac:dyDescent="0.25">
      <c r="A679" t="s">
        <v>1484</v>
      </c>
      <c r="B679" t="s">
        <v>1332</v>
      </c>
      <c r="C679" t="s">
        <v>1333</v>
      </c>
      <c r="D679" t="s">
        <v>1334</v>
      </c>
      <c r="E679" t="s">
        <v>1335</v>
      </c>
      <c r="F679" t="s">
        <v>1485</v>
      </c>
    </row>
    <row r="680" spans="1:6" x14ac:dyDescent="0.25">
      <c r="A680" t="s">
        <v>1486</v>
      </c>
      <c r="B680" t="s">
        <v>229</v>
      </c>
      <c r="C680" t="s">
        <v>230</v>
      </c>
      <c r="D680" t="s">
        <v>231</v>
      </c>
      <c r="E680" t="s">
        <v>232</v>
      </c>
      <c r="F680" t="s">
        <v>1487</v>
      </c>
    </row>
    <row r="681" spans="1:6" x14ac:dyDescent="0.25">
      <c r="A681" t="s">
        <v>1488</v>
      </c>
      <c r="B681" t="s">
        <v>65</v>
      </c>
      <c r="C681" t="s">
        <v>66</v>
      </c>
      <c r="D681" t="s">
        <v>67</v>
      </c>
      <c r="E681" t="s">
        <v>68</v>
      </c>
      <c r="F681" t="e">
        <v>#VALUE!</v>
      </c>
    </row>
    <row r="682" spans="1:6" x14ac:dyDescent="0.25">
      <c r="A682" t="s">
        <v>1489</v>
      </c>
      <c r="B682" t="s">
        <v>65</v>
      </c>
      <c r="C682" t="s">
        <v>66</v>
      </c>
      <c r="D682" t="s">
        <v>67</v>
      </c>
      <c r="E682" t="s">
        <v>68</v>
      </c>
      <c r="F682" t="s">
        <v>1490</v>
      </c>
    </row>
    <row r="683" spans="1:6" x14ac:dyDescent="0.25">
      <c r="A683" t="s">
        <v>1491</v>
      </c>
      <c r="B683" t="s">
        <v>93</v>
      </c>
      <c r="C683" t="s">
        <v>94</v>
      </c>
      <c r="D683" t="s">
        <v>95</v>
      </c>
      <c r="E683" t="s">
        <v>96</v>
      </c>
      <c r="F683" t="s">
        <v>1492</v>
      </c>
    </row>
    <row r="684" spans="1:6" x14ac:dyDescent="0.25">
      <c r="A684" t="s">
        <v>1493</v>
      </c>
      <c r="B684" t="s">
        <v>336</v>
      </c>
      <c r="C684" t="s">
        <v>337</v>
      </c>
      <c r="D684" t="s">
        <v>338</v>
      </c>
      <c r="E684" t="s">
        <v>339</v>
      </c>
      <c r="F684" t="s">
        <v>1494</v>
      </c>
    </row>
    <row r="685" spans="1:6" x14ac:dyDescent="0.25">
      <c r="A685" t="s">
        <v>1495</v>
      </c>
      <c r="B685" t="s">
        <v>65</v>
      </c>
      <c r="C685" t="s">
        <v>66</v>
      </c>
      <c r="D685" t="s">
        <v>67</v>
      </c>
      <c r="E685" t="s">
        <v>68</v>
      </c>
      <c r="F685" t="s">
        <v>1496</v>
      </c>
    </row>
    <row r="686" spans="1:6" x14ac:dyDescent="0.25">
      <c r="A686" t="s">
        <v>1497</v>
      </c>
      <c r="B686" t="s">
        <v>540</v>
      </c>
      <c r="C686" t="s">
        <v>541</v>
      </c>
      <c r="D686" t="s">
        <v>542</v>
      </c>
      <c r="E686" t="s">
        <v>543</v>
      </c>
      <c r="F686" t="s">
        <v>1498</v>
      </c>
    </row>
    <row r="687" spans="1:6" x14ac:dyDescent="0.25">
      <c r="A687" t="s">
        <v>1499</v>
      </c>
      <c r="B687" t="s">
        <v>45</v>
      </c>
      <c r="C687" t="s">
        <v>46</v>
      </c>
      <c r="D687" t="s">
        <v>47</v>
      </c>
      <c r="E687" t="s">
        <v>48</v>
      </c>
      <c r="F687" t="s">
        <v>1500</v>
      </c>
    </row>
    <row r="688" spans="1:6" x14ac:dyDescent="0.25">
      <c r="A688" t="s">
        <v>1501</v>
      </c>
      <c r="B688" t="s">
        <v>548</v>
      </c>
      <c r="C688" t="s">
        <v>549</v>
      </c>
      <c r="D688" t="s">
        <v>550</v>
      </c>
      <c r="E688" t="s">
        <v>551</v>
      </c>
      <c r="F688" t="s">
        <v>1502</v>
      </c>
    </row>
    <row r="689" spans="1:6" x14ac:dyDescent="0.25">
      <c r="A689" t="s">
        <v>1503</v>
      </c>
      <c r="B689" t="s">
        <v>65</v>
      </c>
      <c r="C689" t="s">
        <v>66</v>
      </c>
      <c r="D689" t="s">
        <v>67</v>
      </c>
      <c r="E689" t="s">
        <v>68</v>
      </c>
      <c r="F689" t="s">
        <v>1504</v>
      </c>
    </row>
    <row r="690" spans="1:6" x14ac:dyDescent="0.25">
      <c r="A690" t="s">
        <v>1505</v>
      </c>
      <c r="B690" t="s">
        <v>93</v>
      </c>
      <c r="C690" t="s">
        <v>94</v>
      </c>
      <c r="D690" t="s">
        <v>95</v>
      </c>
      <c r="E690" t="s">
        <v>96</v>
      </c>
      <c r="F690" t="s">
        <v>1506</v>
      </c>
    </row>
    <row r="691" spans="1:6" x14ac:dyDescent="0.25">
      <c r="A691" t="s">
        <v>1507</v>
      </c>
      <c r="B691" t="s">
        <v>20</v>
      </c>
      <c r="C691" t="s">
        <v>21</v>
      </c>
      <c r="D691" t="s">
        <v>22</v>
      </c>
      <c r="E691" t="s">
        <v>23</v>
      </c>
      <c r="F691" t="s">
        <v>1508</v>
      </c>
    </row>
    <row r="692" spans="1:6" x14ac:dyDescent="0.25">
      <c r="A692" t="s">
        <v>1509</v>
      </c>
      <c r="B692" t="s">
        <v>901</v>
      </c>
      <c r="C692" t="s">
        <v>902</v>
      </c>
      <c r="D692" t="e">
        <v>#VALUE!</v>
      </c>
      <c r="E692" t="e">
        <v>#VALUE!</v>
      </c>
      <c r="F692" t="s">
        <v>1510</v>
      </c>
    </row>
    <row r="693" spans="1:6" x14ac:dyDescent="0.25">
      <c r="A693" t="s">
        <v>1511</v>
      </c>
      <c r="B693" t="s">
        <v>310</v>
      </c>
      <c r="C693" t="s">
        <v>311</v>
      </c>
      <c r="D693" t="s">
        <v>312</v>
      </c>
      <c r="E693" t="s">
        <v>313</v>
      </c>
      <c r="F693" t="s">
        <v>1512</v>
      </c>
    </row>
    <row r="694" spans="1:6" x14ac:dyDescent="0.25">
      <c r="A694" t="s">
        <v>1513</v>
      </c>
      <c r="B694" t="s">
        <v>65</v>
      </c>
      <c r="C694" t="s">
        <v>66</v>
      </c>
      <c r="D694" t="s">
        <v>67</v>
      </c>
      <c r="E694" t="s">
        <v>68</v>
      </c>
      <c r="F694" t="s">
        <v>1514</v>
      </c>
    </row>
    <row r="695" spans="1:6" x14ac:dyDescent="0.25">
      <c r="A695" t="s">
        <v>1515</v>
      </c>
      <c r="B695" t="s">
        <v>53</v>
      </c>
      <c r="C695" t="s">
        <v>54</v>
      </c>
      <c r="D695" t="s">
        <v>55</v>
      </c>
      <c r="E695" t="s">
        <v>56</v>
      </c>
      <c r="F695" t="s">
        <v>1260</v>
      </c>
    </row>
    <row r="696" spans="1:6" x14ac:dyDescent="0.25">
      <c r="A696" t="s">
        <v>1516</v>
      </c>
      <c r="B696" t="s">
        <v>93</v>
      </c>
      <c r="C696" t="s">
        <v>94</v>
      </c>
      <c r="D696" t="s">
        <v>95</v>
      </c>
      <c r="E696" t="s">
        <v>96</v>
      </c>
      <c r="F696" t="s">
        <v>1517</v>
      </c>
    </row>
    <row r="697" spans="1:6" x14ac:dyDescent="0.25">
      <c r="A697" t="s">
        <v>1518</v>
      </c>
      <c r="B697" t="s">
        <v>93</v>
      </c>
      <c r="C697" t="s">
        <v>94</v>
      </c>
      <c r="D697" t="s">
        <v>95</v>
      </c>
      <c r="E697" t="s">
        <v>96</v>
      </c>
      <c r="F697" t="s">
        <v>1519</v>
      </c>
    </row>
    <row r="698" spans="1:6" x14ac:dyDescent="0.25">
      <c r="A698" t="s">
        <v>1520</v>
      </c>
      <c r="B698" t="s">
        <v>93</v>
      </c>
      <c r="C698" t="s">
        <v>94</v>
      </c>
      <c r="D698" t="s">
        <v>95</v>
      </c>
      <c r="E698" t="s">
        <v>96</v>
      </c>
      <c r="F698" t="s">
        <v>1521</v>
      </c>
    </row>
    <row r="699" spans="1:6" x14ac:dyDescent="0.25">
      <c r="A699" t="s">
        <v>1522</v>
      </c>
      <c r="B699" t="s">
        <v>93</v>
      </c>
      <c r="C699" t="s">
        <v>94</v>
      </c>
      <c r="D699" t="s">
        <v>95</v>
      </c>
      <c r="E699" t="s">
        <v>96</v>
      </c>
      <c r="F699" t="s">
        <v>1523</v>
      </c>
    </row>
    <row r="700" spans="1:6" x14ac:dyDescent="0.25">
      <c r="A700" t="s">
        <v>1524</v>
      </c>
      <c r="B700" t="s">
        <v>65</v>
      </c>
      <c r="C700" t="s">
        <v>66</v>
      </c>
      <c r="D700" t="s">
        <v>67</v>
      </c>
      <c r="E700" t="s">
        <v>68</v>
      </c>
      <c r="F700" t="s">
        <v>1525</v>
      </c>
    </row>
    <row r="701" spans="1:6" x14ac:dyDescent="0.25">
      <c r="A701" t="s">
        <v>1526</v>
      </c>
      <c r="B701" t="s">
        <v>10</v>
      </c>
      <c r="C701" t="s">
        <v>11</v>
      </c>
      <c r="D701" t="e">
        <v>#VALUE!</v>
      </c>
      <c r="E701" t="e">
        <v>#VALUE!</v>
      </c>
      <c r="F701" t="s">
        <v>1527</v>
      </c>
    </row>
    <row r="702" spans="1:6" x14ac:dyDescent="0.25">
      <c r="A702" t="s">
        <v>1528</v>
      </c>
      <c r="B702" t="s">
        <v>901</v>
      </c>
      <c r="C702" t="s">
        <v>902</v>
      </c>
      <c r="D702" t="e">
        <v>#VALUE!</v>
      </c>
      <c r="E702" t="e">
        <v>#VALUE!</v>
      </c>
      <c r="F702" t="s">
        <v>1529</v>
      </c>
    </row>
    <row r="703" spans="1:6" x14ac:dyDescent="0.25">
      <c r="A703" t="s">
        <v>1530</v>
      </c>
      <c r="B703" t="s">
        <v>65</v>
      </c>
      <c r="C703" t="s">
        <v>66</v>
      </c>
      <c r="D703" t="s">
        <v>67</v>
      </c>
      <c r="E703" t="s">
        <v>68</v>
      </c>
      <c r="F703" t="s">
        <v>1531</v>
      </c>
    </row>
    <row r="704" spans="1:6" x14ac:dyDescent="0.25">
      <c r="A704" t="s">
        <v>1532</v>
      </c>
      <c r="B704" t="s">
        <v>65</v>
      </c>
      <c r="C704" t="s">
        <v>66</v>
      </c>
      <c r="D704" t="s">
        <v>67</v>
      </c>
      <c r="E704" t="s">
        <v>68</v>
      </c>
      <c r="F704" t="s">
        <v>1533</v>
      </c>
    </row>
    <row r="705" spans="1:6" x14ac:dyDescent="0.25">
      <c r="A705" t="s">
        <v>1534</v>
      </c>
      <c r="B705" t="s">
        <v>107</v>
      </c>
      <c r="C705" t="s">
        <v>108</v>
      </c>
      <c r="D705" t="s">
        <v>109</v>
      </c>
      <c r="E705" t="s">
        <v>110</v>
      </c>
      <c r="F705" t="s">
        <v>1535</v>
      </c>
    </row>
    <row r="706" spans="1:6" x14ac:dyDescent="0.25">
      <c r="A706" t="s">
        <v>1536</v>
      </c>
      <c r="B706" t="s">
        <v>336</v>
      </c>
      <c r="C706" t="s">
        <v>337</v>
      </c>
      <c r="D706" t="s">
        <v>338</v>
      </c>
      <c r="E706" t="s">
        <v>339</v>
      </c>
      <c r="F706" t="s">
        <v>1537</v>
      </c>
    </row>
    <row r="707" spans="1:6" x14ac:dyDescent="0.25">
      <c r="A707" t="s">
        <v>1538</v>
      </c>
      <c r="B707" t="s">
        <v>45</v>
      </c>
      <c r="C707" t="s">
        <v>46</v>
      </c>
      <c r="D707" t="s">
        <v>47</v>
      </c>
      <c r="E707" t="s">
        <v>48</v>
      </c>
      <c r="F707" t="s">
        <v>1539</v>
      </c>
    </row>
    <row r="708" spans="1:6" x14ac:dyDescent="0.25">
      <c r="A708" t="s">
        <v>1540</v>
      </c>
      <c r="B708" t="s">
        <v>31</v>
      </c>
      <c r="C708" t="s">
        <v>32</v>
      </c>
      <c r="D708" t="s">
        <v>33</v>
      </c>
      <c r="E708" t="s">
        <v>34</v>
      </c>
      <c r="F708" t="s">
        <v>1541</v>
      </c>
    </row>
    <row r="709" spans="1:6" x14ac:dyDescent="0.25">
      <c r="A709" t="s">
        <v>1542</v>
      </c>
      <c r="B709" t="s">
        <v>93</v>
      </c>
      <c r="C709" t="s">
        <v>94</v>
      </c>
      <c r="D709" t="s">
        <v>95</v>
      </c>
      <c r="E709" t="s">
        <v>96</v>
      </c>
      <c r="F709" t="s">
        <v>1543</v>
      </c>
    </row>
    <row r="710" spans="1:6" x14ac:dyDescent="0.25">
      <c r="A710" t="s">
        <v>1544</v>
      </c>
      <c r="B710" t="s">
        <v>31</v>
      </c>
      <c r="C710" t="s">
        <v>32</v>
      </c>
      <c r="D710" t="s">
        <v>33</v>
      </c>
      <c r="E710" t="s">
        <v>34</v>
      </c>
      <c r="F710" t="s">
        <v>1545</v>
      </c>
    </row>
    <row r="711" spans="1:6" x14ac:dyDescent="0.25">
      <c r="A711" t="s">
        <v>1546</v>
      </c>
      <c r="B711" t="s">
        <v>31</v>
      </c>
      <c r="C711" t="s">
        <v>32</v>
      </c>
      <c r="D711" t="s">
        <v>33</v>
      </c>
      <c r="E711" t="s">
        <v>34</v>
      </c>
      <c r="F711" t="s">
        <v>1547</v>
      </c>
    </row>
    <row r="712" spans="1:6" x14ac:dyDescent="0.25">
      <c r="A712" t="s">
        <v>1548</v>
      </c>
      <c r="B712" t="s">
        <v>65</v>
      </c>
      <c r="C712" t="s">
        <v>66</v>
      </c>
      <c r="D712" t="s">
        <v>67</v>
      </c>
      <c r="E712" t="s">
        <v>68</v>
      </c>
      <c r="F712" t="s">
        <v>1549</v>
      </c>
    </row>
    <row r="713" spans="1:6" x14ac:dyDescent="0.25">
      <c r="A713" t="s">
        <v>1550</v>
      </c>
      <c r="B713" t="s">
        <v>157</v>
      </c>
      <c r="C713" t="s">
        <v>158</v>
      </c>
      <c r="D713" t="s">
        <v>159</v>
      </c>
      <c r="E713" t="s">
        <v>160</v>
      </c>
      <c r="F713" t="s">
        <v>1551</v>
      </c>
    </row>
    <row r="714" spans="1:6" x14ac:dyDescent="0.25">
      <c r="A714" t="s">
        <v>1552</v>
      </c>
      <c r="B714" t="s">
        <v>669</v>
      </c>
      <c r="C714" t="s">
        <v>670</v>
      </c>
      <c r="D714" t="e">
        <v>#VALUE!</v>
      </c>
      <c r="E714" t="e">
        <v>#VALUE!</v>
      </c>
      <c r="F714" t="s">
        <v>1553</v>
      </c>
    </row>
    <row r="715" spans="1:6" x14ac:dyDescent="0.25">
      <c r="A715" t="s">
        <v>1554</v>
      </c>
      <c r="B715" t="s">
        <v>65</v>
      </c>
      <c r="C715" t="s">
        <v>66</v>
      </c>
      <c r="D715" t="s">
        <v>67</v>
      </c>
      <c r="E715" t="s">
        <v>68</v>
      </c>
      <c r="F715" t="s">
        <v>1555</v>
      </c>
    </row>
    <row r="716" spans="1:6" x14ac:dyDescent="0.25">
      <c r="A716" t="s">
        <v>1556</v>
      </c>
      <c r="B716" t="s">
        <v>65</v>
      </c>
      <c r="C716" t="s">
        <v>66</v>
      </c>
      <c r="D716" t="s">
        <v>67</v>
      </c>
      <c r="E716" t="s">
        <v>68</v>
      </c>
      <c r="F716" t="s">
        <v>1557</v>
      </c>
    </row>
    <row r="717" spans="1:6" x14ac:dyDescent="0.25">
      <c r="A717" t="s">
        <v>1558</v>
      </c>
      <c r="B717" t="s">
        <v>65</v>
      </c>
      <c r="C717" t="s">
        <v>66</v>
      </c>
      <c r="D717" t="s">
        <v>67</v>
      </c>
      <c r="E717" t="s">
        <v>68</v>
      </c>
      <c r="F717" t="s">
        <v>1559</v>
      </c>
    </row>
    <row r="718" spans="1:6" x14ac:dyDescent="0.25">
      <c r="A718" t="s">
        <v>1560</v>
      </c>
      <c r="B718" t="s">
        <v>25</v>
      </c>
      <c r="C718" t="s">
        <v>26</v>
      </c>
      <c r="D718" t="s">
        <v>27</v>
      </c>
      <c r="E718" t="s">
        <v>28</v>
      </c>
      <c r="F718" t="s">
        <v>1561</v>
      </c>
    </row>
    <row r="719" spans="1:6" x14ac:dyDescent="0.25">
      <c r="A719" t="s">
        <v>1562</v>
      </c>
      <c r="B719" t="s">
        <v>25</v>
      </c>
      <c r="C719" t="s">
        <v>26</v>
      </c>
      <c r="D719" t="s">
        <v>27</v>
      </c>
      <c r="E719" t="s">
        <v>28</v>
      </c>
      <c r="F719" t="s">
        <v>1563</v>
      </c>
    </row>
    <row r="720" spans="1:6" x14ac:dyDescent="0.25">
      <c r="A720" t="s">
        <v>1564</v>
      </c>
      <c r="B720" t="s">
        <v>25</v>
      </c>
      <c r="C720" t="s">
        <v>26</v>
      </c>
      <c r="D720" t="s">
        <v>27</v>
      </c>
      <c r="E720" t="s">
        <v>28</v>
      </c>
      <c r="F720" t="s">
        <v>1565</v>
      </c>
    </row>
    <row r="721" spans="1:6" x14ac:dyDescent="0.25">
      <c r="A721" t="s">
        <v>1566</v>
      </c>
      <c r="B721" t="s">
        <v>65</v>
      </c>
      <c r="C721" t="s">
        <v>66</v>
      </c>
      <c r="D721" t="s">
        <v>67</v>
      </c>
      <c r="E721" t="s">
        <v>68</v>
      </c>
      <c r="F721" t="s">
        <v>1567</v>
      </c>
    </row>
    <row r="722" spans="1:6" x14ac:dyDescent="0.25">
      <c r="A722" t="s">
        <v>1568</v>
      </c>
      <c r="B722" t="s">
        <v>31</v>
      </c>
      <c r="C722" t="s">
        <v>32</v>
      </c>
      <c r="D722" t="s">
        <v>33</v>
      </c>
      <c r="E722" t="s">
        <v>34</v>
      </c>
      <c r="F722" t="s">
        <v>1569</v>
      </c>
    </row>
    <row r="723" spans="1:6" x14ac:dyDescent="0.25">
      <c r="A723" t="s">
        <v>1570</v>
      </c>
      <c r="B723" t="s">
        <v>93</v>
      </c>
      <c r="C723" t="s">
        <v>94</v>
      </c>
      <c r="D723" t="s">
        <v>95</v>
      </c>
      <c r="E723" t="s">
        <v>96</v>
      </c>
      <c r="F723" t="s">
        <v>1571</v>
      </c>
    </row>
    <row r="724" spans="1:6" x14ac:dyDescent="0.25">
      <c r="A724" t="s">
        <v>1572</v>
      </c>
      <c r="B724" t="s">
        <v>31</v>
      </c>
      <c r="C724" t="s">
        <v>32</v>
      </c>
      <c r="D724" t="s">
        <v>33</v>
      </c>
      <c r="E724" t="s">
        <v>34</v>
      </c>
      <c r="F724" t="s">
        <v>1573</v>
      </c>
    </row>
    <row r="725" spans="1:6" x14ac:dyDescent="0.25">
      <c r="A725" t="s">
        <v>1574</v>
      </c>
      <c r="B725" t="s">
        <v>65</v>
      </c>
      <c r="C725" t="s">
        <v>66</v>
      </c>
      <c r="D725" t="s">
        <v>67</v>
      </c>
      <c r="E725" t="s">
        <v>68</v>
      </c>
      <c r="F725" t="e">
        <v>#VALUE!</v>
      </c>
    </row>
    <row r="726" spans="1:6" x14ac:dyDescent="0.25">
      <c r="A726" t="s">
        <v>1575</v>
      </c>
      <c r="B726" t="s">
        <v>310</v>
      </c>
      <c r="C726" t="s">
        <v>311</v>
      </c>
      <c r="D726" t="s">
        <v>312</v>
      </c>
      <c r="E726" t="s">
        <v>313</v>
      </c>
      <c r="F726" t="s">
        <v>1576</v>
      </c>
    </row>
    <row r="727" spans="1:6" x14ac:dyDescent="0.25">
      <c r="A727" t="s">
        <v>1577</v>
      </c>
      <c r="B727" t="s">
        <v>65</v>
      </c>
      <c r="C727" t="s">
        <v>66</v>
      </c>
      <c r="D727" t="s">
        <v>67</v>
      </c>
      <c r="E727" t="s">
        <v>68</v>
      </c>
      <c r="F727" t="s">
        <v>1578</v>
      </c>
    </row>
    <row r="728" spans="1:6" x14ac:dyDescent="0.25">
      <c r="A728" t="s">
        <v>1579</v>
      </c>
      <c r="B728" t="s">
        <v>53</v>
      </c>
      <c r="C728" t="s">
        <v>54</v>
      </c>
      <c r="D728" t="s">
        <v>55</v>
      </c>
      <c r="E728" t="s">
        <v>56</v>
      </c>
      <c r="F728" t="s">
        <v>1580</v>
      </c>
    </row>
    <row r="729" spans="1:6" x14ac:dyDescent="0.25">
      <c r="A729" t="s">
        <v>1581</v>
      </c>
      <c r="B729" t="s">
        <v>65</v>
      </c>
      <c r="C729" t="s">
        <v>66</v>
      </c>
      <c r="D729" t="s">
        <v>67</v>
      </c>
      <c r="E729" t="s">
        <v>68</v>
      </c>
      <c r="F729" t="s">
        <v>1582</v>
      </c>
    </row>
    <row r="730" spans="1:6" x14ac:dyDescent="0.25">
      <c r="A730" t="s">
        <v>1583</v>
      </c>
      <c r="B730" t="s">
        <v>45</v>
      </c>
      <c r="C730" t="s">
        <v>46</v>
      </c>
      <c r="D730" t="s">
        <v>47</v>
      </c>
      <c r="E730" t="s">
        <v>48</v>
      </c>
      <c r="F730" t="s">
        <v>1584</v>
      </c>
    </row>
    <row r="731" spans="1:6" x14ac:dyDescent="0.25">
      <c r="A731" t="s">
        <v>1585</v>
      </c>
      <c r="B731" t="s">
        <v>31</v>
      </c>
      <c r="C731" t="s">
        <v>32</v>
      </c>
      <c r="D731" t="s">
        <v>33</v>
      </c>
      <c r="E731" t="s">
        <v>34</v>
      </c>
      <c r="F731" t="e">
        <v>#VALUE!</v>
      </c>
    </row>
    <row r="732" spans="1:6" x14ac:dyDescent="0.25">
      <c r="A732" t="s">
        <v>1586</v>
      </c>
      <c r="B732" t="s">
        <v>31</v>
      </c>
      <c r="C732" t="s">
        <v>32</v>
      </c>
      <c r="D732" t="s">
        <v>33</v>
      </c>
      <c r="E732" t="s">
        <v>34</v>
      </c>
      <c r="F732" t="s">
        <v>1587</v>
      </c>
    </row>
    <row r="733" spans="1:6" x14ac:dyDescent="0.25">
      <c r="A733" t="s">
        <v>1588</v>
      </c>
      <c r="B733" t="s">
        <v>65</v>
      </c>
      <c r="C733" t="s">
        <v>66</v>
      </c>
      <c r="D733" t="s">
        <v>67</v>
      </c>
      <c r="E733" t="s">
        <v>68</v>
      </c>
      <c r="F733" t="e">
        <v>#VALUE!</v>
      </c>
    </row>
    <row r="734" spans="1:6" x14ac:dyDescent="0.25">
      <c r="A734" t="s">
        <v>1589</v>
      </c>
      <c r="B734" t="s">
        <v>394</v>
      </c>
      <c r="C734" t="s">
        <v>395</v>
      </c>
      <c r="D734" t="s">
        <v>396</v>
      </c>
      <c r="E734" t="s">
        <v>397</v>
      </c>
      <c r="F734" t="s">
        <v>1590</v>
      </c>
    </row>
    <row r="735" spans="1:6" x14ac:dyDescent="0.25">
      <c r="A735" t="s">
        <v>1591</v>
      </c>
      <c r="B735" t="s">
        <v>10</v>
      </c>
      <c r="C735" t="s">
        <v>11</v>
      </c>
      <c r="D735" t="e">
        <v>#VALUE!</v>
      </c>
      <c r="E735" t="e">
        <v>#VALUE!</v>
      </c>
      <c r="F735" t="s">
        <v>1592</v>
      </c>
    </row>
    <row r="736" spans="1:6" x14ac:dyDescent="0.25">
      <c r="A736" t="s">
        <v>1593</v>
      </c>
      <c r="B736" t="s">
        <v>93</v>
      </c>
      <c r="C736" t="s">
        <v>94</v>
      </c>
      <c r="D736" t="s">
        <v>95</v>
      </c>
      <c r="E736" t="s">
        <v>96</v>
      </c>
      <c r="F736" t="s">
        <v>1594</v>
      </c>
    </row>
    <row r="737" spans="1:6" x14ac:dyDescent="0.25">
      <c r="A737" t="s">
        <v>1595</v>
      </c>
      <c r="B737" t="s">
        <v>65</v>
      </c>
      <c r="C737" t="s">
        <v>66</v>
      </c>
      <c r="D737" t="s">
        <v>67</v>
      </c>
      <c r="E737" t="s">
        <v>68</v>
      </c>
      <c r="F737" t="s">
        <v>1596</v>
      </c>
    </row>
    <row r="738" spans="1:6" x14ac:dyDescent="0.25">
      <c r="A738" t="s">
        <v>1597</v>
      </c>
      <c r="B738" t="s">
        <v>669</v>
      </c>
      <c r="C738" t="s">
        <v>670</v>
      </c>
      <c r="D738" t="e">
        <v>#VALUE!</v>
      </c>
      <c r="E738" t="e">
        <v>#VALUE!</v>
      </c>
      <c r="F738" t="s">
        <v>691</v>
      </c>
    </row>
    <row r="739" spans="1:6" x14ac:dyDescent="0.25">
      <c r="A739" t="s">
        <v>1598</v>
      </c>
      <c r="B739" t="s">
        <v>65</v>
      </c>
      <c r="C739" t="s">
        <v>66</v>
      </c>
      <c r="D739" t="s">
        <v>67</v>
      </c>
      <c r="E739" t="s">
        <v>68</v>
      </c>
      <c r="F739" t="s">
        <v>1599</v>
      </c>
    </row>
    <row r="740" spans="1:6" x14ac:dyDescent="0.25">
      <c r="A740" t="s">
        <v>1600</v>
      </c>
      <c r="B740" t="s">
        <v>65</v>
      </c>
      <c r="C740" t="s">
        <v>66</v>
      </c>
      <c r="D740" t="s">
        <v>67</v>
      </c>
      <c r="E740" t="s">
        <v>68</v>
      </c>
      <c r="F740" t="s">
        <v>1601</v>
      </c>
    </row>
    <row r="741" spans="1:6" x14ac:dyDescent="0.25">
      <c r="A741" t="s">
        <v>1602</v>
      </c>
      <c r="B741" t="s">
        <v>37</v>
      </c>
      <c r="C741" t="s">
        <v>38</v>
      </c>
      <c r="D741" t="s">
        <v>39</v>
      </c>
      <c r="E741" t="s">
        <v>40</v>
      </c>
      <c r="F741" t="s">
        <v>1603</v>
      </c>
    </row>
    <row r="742" spans="1:6" x14ac:dyDescent="0.25">
      <c r="A742" t="s">
        <v>1604</v>
      </c>
      <c r="B742" t="s">
        <v>93</v>
      </c>
      <c r="C742" t="s">
        <v>94</v>
      </c>
      <c r="D742" t="s">
        <v>95</v>
      </c>
      <c r="E742" t="s">
        <v>96</v>
      </c>
      <c r="F742" t="s">
        <v>1605</v>
      </c>
    </row>
    <row r="743" spans="1:6" x14ac:dyDescent="0.25">
      <c r="A743" t="s">
        <v>1606</v>
      </c>
      <c r="B743" t="s">
        <v>31</v>
      </c>
      <c r="C743" t="s">
        <v>32</v>
      </c>
      <c r="D743" t="s">
        <v>33</v>
      </c>
      <c r="E743" t="s">
        <v>34</v>
      </c>
      <c r="F743" t="s">
        <v>1607</v>
      </c>
    </row>
    <row r="744" spans="1:6" x14ac:dyDescent="0.25">
      <c r="A744" t="s">
        <v>1608</v>
      </c>
      <c r="B744" t="s">
        <v>45</v>
      </c>
      <c r="C744" t="s">
        <v>46</v>
      </c>
      <c r="D744" t="s">
        <v>47</v>
      </c>
      <c r="E744" t="s">
        <v>48</v>
      </c>
      <c r="F744" t="s">
        <v>1609</v>
      </c>
    </row>
    <row r="745" spans="1:6" x14ac:dyDescent="0.25">
      <c r="A745" t="s">
        <v>1610</v>
      </c>
      <c r="B745" t="s">
        <v>53</v>
      </c>
      <c r="C745" t="s">
        <v>54</v>
      </c>
      <c r="D745" t="s">
        <v>55</v>
      </c>
      <c r="E745" t="s">
        <v>56</v>
      </c>
      <c r="F745" t="s">
        <v>1611</v>
      </c>
    </row>
    <row r="746" spans="1:6" x14ac:dyDescent="0.25">
      <c r="A746" t="s">
        <v>1612</v>
      </c>
      <c r="B746" t="s">
        <v>229</v>
      </c>
      <c r="C746" t="s">
        <v>230</v>
      </c>
      <c r="D746" t="s">
        <v>231</v>
      </c>
      <c r="E746" t="s">
        <v>232</v>
      </c>
      <c r="F746" t="s">
        <v>1613</v>
      </c>
    </row>
    <row r="747" spans="1:6" x14ac:dyDescent="0.25">
      <c r="A747" t="s">
        <v>1614</v>
      </c>
      <c r="B747" t="s">
        <v>65</v>
      </c>
      <c r="C747" t="s">
        <v>66</v>
      </c>
      <c r="D747" t="s">
        <v>67</v>
      </c>
      <c r="E747" t="s">
        <v>68</v>
      </c>
      <c r="F747" t="s">
        <v>1615</v>
      </c>
    </row>
    <row r="748" spans="1:6" x14ac:dyDescent="0.25">
      <c r="A748" t="s">
        <v>1616</v>
      </c>
      <c r="B748" t="s">
        <v>53</v>
      </c>
      <c r="C748" t="s">
        <v>54</v>
      </c>
      <c r="D748" t="s">
        <v>55</v>
      </c>
      <c r="E748" t="s">
        <v>56</v>
      </c>
      <c r="F748" t="s">
        <v>1617</v>
      </c>
    </row>
    <row r="749" spans="1:6" x14ac:dyDescent="0.25">
      <c r="A749" t="s">
        <v>1618</v>
      </c>
      <c r="B749" t="s">
        <v>65</v>
      </c>
      <c r="C749" t="s">
        <v>66</v>
      </c>
      <c r="D749" t="s">
        <v>67</v>
      </c>
      <c r="E749" t="s">
        <v>68</v>
      </c>
      <c r="F749" t="s">
        <v>1619</v>
      </c>
    </row>
    <row r="750" spans="1:6" x14ac:dyDescent="0.25">
      <c r="A750" t="s">
        <v>1620</v>
      </c>
      <c r="B750" t="s">
        <v>31</v>
      </c>
      <c r="C750" t="s">
        <v>32</v>
      </c>
      <c r="D750" t="s">
        <v>33</v>
      </c>
      <c r="E750" t="s">
        <v>34</v>
      </c>
      <c r="F750" t="s">
        <v>1621</v>
      </c>
    </row>
    <row r="751" spans="1:6" x14ac:dyDescent="0.25">
      <c r="A751" t="s">
        <v>1622</v>
      </c>
      <c r="B751" t="s">
        <v>31</v>
      </c>
      <c r="C751" t="s">
        <v>32</v>
      </c>
      <c r="D751" t="s">
        <v>33</v>
      </c>
      <c r="E751" t="s">
        <v>34</v>
      </c>
      <c r="F751" t="s">
        <v>1623</v>
      </c>
    </row>
    <row r="752" spans="1:6" x14ac:dyDescent="0.25">
      <c r="A752" t="s">
        <v>1624</v>
      </c>
      <c r="B752" t="s">
        <v>65</v>
      </c>
      <c r="C752" t="s">
        <v>66</v>
      </c>
      <c r="D752" t="s">
        <v>67</v>
      </c>
      <c r="E752" t="s">
        <v>68</v>
      </c>
      <c r="F752" t="s">
        <v>1625</v>
      </c>
    </row>
    <row r="753" spans="1:6" x14ac:dyDescent="0.25">
      <c r="A753" t="s">
        <v>1626</v>
      </c>
      <c r="B753" t="s">
        <v>93</v>
      </c>
      <c r="C753" t="s">
        <v>94</v>
      </c>
      <c r="D753" t="s">
        <v>95</v>
      </c>
      <c r="E753" t="s">
        <v>96</v>
      </c>
      <c r="F753" t="s">
        <v>1627</v>
      </c>
    </row>
    <row r="754" spans="1:6" x14ac:dyDescent="0.25">
      <c r="A754" t="s">
        <v>1628</v>
      </c>
      <c r="B754" t="s">
        <v>20</v>
      </c>
      <c r="C754" t="s">
        <v>21</v>
      </c>
      <c r="D754" t="s">
        <v>22</v>
      </c>
      <c r="E754" t="s">
        <v>23</v>
      </c>
      <c r="F754" t="s">
        <v>1629</v>
      </c>
    </row>
    <row r="755" spans="1:6" x14ac:dyDescent="0.25">
      <c r="A755" t="s">
        <v>1630</v>
      </c>
      <c r="B755" t="s">
        <v>157</v>
      </c>
      <c r="C755" t="s">
        <v>158</v>
      </c>
      <c r="D755" t="s">
        <v>159</v>
      </c>
      <c r="E755" t="s">
        <v>160</v>
      </c>
      <c r="F755" t="s">
        <v>1631</v>
      </c>
    </row>
    <row r="756" spans="1:6" x14ac:dyDescent="0.25">
      <c r="A756" t="s">
        <v>1632</v>
      </c>
      <c r="B756" t="s">
        <v>31</v>
      </c>
      <c r="C756" t="s">
        <v>32</v>
      </c>
      <c r="D756" t="s">
        <v>33</v>
      </c>
      <c r="E756" t="s">
        <v>34</v>
      </c>
      <c r="F756" t="s">
        <v>1633</v>
      </c>
    </row>
    <row r="757" spans="1:6" x14ac:dyDescent="0.25">
      <c r="A757" t="s">
        <v>1634</v>
      </c>
      <c r="B757" t="s">
        <v>31</v>
      </c>
      <c r="C757" t="s">
        <v>32</v>
      </c>
      <c r="D757" t="s">
        <v>33</v>
      </c>
      <c r="E757" t="s">
        <v>34</v>
      </c>
      <c r="F757" t="s">
        <v>1635</v>
      </c>
    </row>
    <row r="758" spans="1:6" x14ac:dyDescent="0.25">
      <c r="A758" t="s">
        <v>1636</v>
      </c>
      <c r="B758" t="s">
        <v>53</v>
      </c>
      <c r="C758" t="s">
        <v>54</v>
      </c>
      <c r="D758" t="s">
        <v>55</v>
      </c>
      <c r="E758" t="s">
        <v>56</v>
      </c>
      <c r="F758" t="s">
        <v>1637</v>
      </c>
    </row>
    <row r="759" spans="1:6" x14ac:dyDescent="0.25">
      <c r="A759" t="s">
        <v>1638</v>
      </c>
      <c r="B759" t="s">
        <v>65</v>
      </c>
      <c r="C759" t="s">
        <v>66</v>
      </c>
      <c r="D759" t="s">
        <v>67</v>
      </c>
      <c r="E759" t="s">
        <v>68</v>
      </c>
      <c r="F759" t="s">
        <v>1639</v>
      </c>
    </row>
    <row r="760" spans="1:6" x14ac:dyDescent="0.25">
      <c r="A760" t="s">
        <v>1640</v>
      </c>
      <c r="B760" t="s">
        <v>65</v>
      </c>
      <c r="C760" t="s">
        <v>66</v>
      </c>
      <c r="D760" t="s">
        <v>67</v>
      </c>
      <c r="E760" t="s">
        <v>68</v>
      </c>
      <c r="F760" t="s">
        <v>1641</v>
      </c>
    </row>
    <row r="761" spans="1:6" x14ac:dyDescent="0.25">
      <c r="A761" t="s">
        <v>1642</v>
      </c>
      <c r="B761" t="s">
        <v>37</v>
      </c>
      <c r="C761" t="s">
        <v>38</v>
      </c>
      <c r="D761" t="s">
        <v>39</v>
      </c>
      <c r="E761" t="s">
        <v>40</v>
      </c>
      <c r="F761" t="s">
        <v>1643</v>
      </c>
    </row>
    <row r="762" spans="1:6" x14ac:dyDescent="0.25">
      <c r="A762" t="s">
        <v>1644</v>
      </c>
      <c r="B762" t="s">
        <v>25</v>
      </c>
      <c r="C762" t="s">
        <v>26</v>
      </c>
      <c r="D762" t="s">
        <v>27</v>
      </c>
      <c r="E762" t="s">
        <v>28</v>
      </c>
      <c r="F762" t="s">
        <v>1645</v>
      </c>
    </row>
    <row r="763" spans="1:6" x14ac:dyDescent="0.25">
      <c r="A763" t="s">
        <v>1646</v>
      </c>
      <c r="B763" t="s">
        <v>93</v>
      </c>
      <c r="C763" t="s">
        <v>94</v>
      </c>
      <c r="D763" t="s">
        <v>95</v>
      </c>
      <c r="E763" t="s">
        <v>96</v>
      </c>
      <c r="F763" t="s">
        <v>1647</v>
      </c>
    </row>
    <row r="764" spans="1:6" x14ac:dyDescent="0.25">
      <c r="A764" t="s">
        <v>1648</v>
      </c>
      <c r="B764" t="s">
        <v>37</v>
      </c>
      <c r="C764" t="s">
        <v>38</v>
      </c>
      <c r="D764" t="s">
        <v>39</v>
      </c>
      <c r="E764" t="s">
        <v>40</v>
      </c>
      <c r="F764" t="s">
        <v>1649</v>
      </c>
    </row>
    <row r="765" spans="1:6" x14ac:dyDescent="0.25">
      <c r="A765" t="s">
        <v>1650</v>
      </c>
      <c r="B765" t="s">
        <v>53</v>
      </c>
      <c r="C765" t="s">
        <v>54</v>
      </c>
      <c r="D765" t="s">
        <v>55</v>
      </c>
      <c r="E765" t="s">
        <v>56</v>
      </c>
      <c r="F765" t="s">
        <v>1617</v>
      </c>
    </row>
    <row r="766" spans="1:6" x14ac:dyDescent="0.25">
      <c r="A766" t="s">
        <v>1651</v>
      </c>
      <c r="B766" t="s">
        <v>53</v>
      </c>
      <c r="C766" t="s">
        <v>54</v>
      </c>
      <c r="D766" t="s">
        <v>55</v>
      </c>
      <c r="E766" t="s">
        <v>56</v>
      </c>
      <c r="F766" t="s">
        <v>1652</v>
      </c>
    </row>
    <row r="767" spans="1:6" x14ac:dyDescent="0.25">
      <c r="A767" t="s">
        <v>1653</v>
      </c>
      <c r="B767" t="s">
        <v>53</v>
      </c>
      <c r="C767" t="s">
        <v>54</v>
      </c>
      <c r="D767" t="s">
        <v>55</v>
      </c>
      <c r="E767" t="s">
        <v>56</v>
      </c>
      <c r="F767" t="s">
        <v>1654</v>
      </c>
    </row>
    <row r="768" spans="1:6" x14ac:dyDescent="0.25">
      <c r="A768" t="s">
        <v>1655</v>
      </c>
      <c r="B768" t="s">
        <v>25</v>
      </c>
      <c r="C768" t="s">
        <v>26</v>
      </c>
      <c r="D768" t="s">
        <v>27</v>
      </c>
      <c r="E768" t="s">
        <v>28</v>
      </c>
      <c r="F768" t="s">
        <v>1656</v>
      </c>
    </row>
    <row r="769" spans="1:6" x14ac:dyDescent="0.25">
      <c r="A769" t="s">
        <v>1657</v>
      </c>
      <c r="B769" t="s">
        <v>93</v>
      </c>
      <c r="C769" t="s">
        <v>94</v>
      </c>
      <c r="D769" t="s">
        <v>95</v>
      </c>
      <c r="E769" t="s">
        <v>96</v>
      </c>
      <c r="F769" t="s">
        <v>1658</v>
      </c>
    </row>
    <row r="770" spans="1:6" x14ac:dyDescent="0.25">
      <c r="A770" t="s">
        <v>1659</v>
      </c>
      <c r="B770" t="s">
        <v>65</v>
      </c>
      <c r="C770" t="s">
        <v>66</v>
      </c>
      <c r="D770" t="s">
        <v>67</v>
      </c>
      <c r="E770" t="s">
        <v>68</v>
      </c>
      <c r="F770" t="s">
        <v>1660</v>
      </c>
    </row>
    <row r="771" spans="1:6" x14ac:dyDescent="0.25">
      <c r="A771" t="s">
        <v>1661</v>
      </c>
      <c r="B771" t="s">
        <v>20</v>
      </c>
      <c r="C771" t="s">
        <v>21</v>
      </c>
      <c r="D771" t="s">
        <v>22</v>
      </c>
      <c r="E771" t="s">
        <v>23</v>
      </c>
      <c r="F771" t="s">
        <v>1662</v>
      </c>
    </row>
    <row r="772" spans="1:6" x14ac:dyDescent="0.25">
      <c r="A772" t="s">
        <v>1663</v>
      </c>
      <c r="B772" t="s">
        <v>31</v>
      </c>
      <c r="C772" t="s">
        <v>32</v>
      </c>
      <c r="D772" t="s">
        <v>33</v>
      </c>
      <c r="E772" t="s">
        <v>34</v>
      </c>
      <c r="F772" t="s">
        <v>1664</v>
      </c>
    </row>
    <row r="773" spans="1:6" x14ac:dyDescent="0.25">
      <c r="A773" t="s">
        <v>1665</v>
      </c>
      <c r="B773" t="s">
        <v>25</v>
      </c>
      <c r="C773" t="s">
        <v>26</v>
      </c>
      <c r="D773" t="s">
        <v>27</v>
      </c>
      <c r="E773" t="s">
        <v>28</v>
      </c>
      <c r="F773" t="s">
        <v>1666</v>
      </c>
    </row>
    <row r="774" spans="1:6" x14ac:dyDescent="0.25">
      <c r="A774" t="s">
        <v>1667</v>
      </c>
      <c r="B774" t="s">
        <v>31</v>
      </c>
      <c r="C774" t="s">
        <v>32</v>
      </c>
      <c r="D774" t="s">
        <v>33</v>
      </c>
      <c r="E774" t="s">
        <v>34</v>
      </c>
      <c r="F774" t="s">
        <v>1668</v>
      </c>
    </row>
    <row r="775" spans="1:6" x14ac:dyDescent="0.25">
      <c r="A775" t="s">
        <v>1669</v>
      </c>
      <c r="B775" t="s">
        <v>37</v>
      </c>
      <c r="C775" t="s">
        <v>38</v>
      </c>
      <c r="D775" t="s">
        <v>39</v>
      </c>
      <c r="E775" t="s">
        <v>40</v>
      </c>
      <c r="F775" t="s">
        <v>1670</v>
      </c>
    </row>
    <row r="776" spans="1:6" x14ac:dyDescent="0.25">
      <c r="A776" t="s">
        <v>1671</v>
      </c>
      <c r="B776" t="s">
        <v>107</v>
      </c>
      <c r="C776" t="s">
        <v>108</v>
      </c>
      <c r="D776" t="s">
        <v>109</v>
      </c>
      <c r="E776" t="s">
        <v>110</v>
      </c>
      <c r="F776" t="s">
        <v>1672</v>
      </c>
    </row>
    <row r="777" spans="1:6" x14ac:dyDescent="0.25">
      <c r="A777" t="s">
        <v>1673</v>
      </c>
      <c r="B777" t="s">
        <v>93</v>
      </c>
      <c r="C777" t="s">
        <v>94</v>
      </c>
      <c r="D777" t="s">
        <v>95</v>
      </c>
      <c r="E777" t="s">
        <v>96</v>
      </c>
      <c r="F777" t="s">
        <v>1674</v>
      </c>
    </row>
    <row r="778" spans="1:6" x14ac:dyDescent="0.25">
      <c r="A778" t="s">
        <v>1675</v>
      </c>
      <c r="B778" t="s">
        <v>53</v>
      </c>
      <c r="C778" t="s">
        <v>54</v>
      </c>
      <c r="D778" t="s">
        <v>55</v>
      </c>
      <c r="E778" t="s">
        <v>56</v>
      </c>
      <c r="F778" t="s">
        <v>1676</v>
      </c>
    </row>
    <row r="779" spans="1:6" x14ac:dyDescent="0.25">
      <c r="A779" t="s">
        <v>1677</v>
      </c>
      <c r="B779" t="s">
        <v>31</v>
      </c>
      <c r="C779" t="s">
        <v>32</v>
      </c>
      <c r="D779" t="s">
        <v>33</v>
      </c>
      <c r="E779" t="s">
        <v>34</v>
      </c>
      <c r="F779" t="s">
        <v>1678</v>
      </c>
    </row>
    <row r="780" spans="1:6" x14ac:dyDescent="0.25">
      <c r="A780" t="s">
        <v>1679</v>
      </c>
      <c r="B780" t="s">
        <v>65</v>
      </c>
      <c r="C780" t="s">
        <v>66</v>
      </c>
      <c r="D780" t="s">
        <v>67</v>
      </c>
      <c r="E780" t="s">
        <v>68</v>
      </c>
      <c r="F780" t="e">
        <v>#VALUE!</v>
      </c>
    </row>
    <row r="781" spans="1:6" x14ac:dyDescent="0.25">
      <c r="A781" t="s">
        <v>1680</v>
      </c>
      <c r="B781" t="s">
        <v>107</v>
      </c>
      <c r="C781" t="s">
        <v>108</v>
      </c>
      <c r="D781" t="s">
        <v>109</v>
      </c>
      <c r="E781" t="s">
        <v>110</v>
      </c>
      <c r="F781" t="s">
        <v>1681</v>
      </c>
    </row>
    <row r="782" spans="1:6" x14ac:dyDescent="0.25">
      <c r="A782" t="s">
        <v>1682</v>
      </c>
      <c r="B782" t="s">
        <v>65</v>
      </c>
      <c r="C782" t="s">
        <v>66</v>
      </c>
      <c r="D782" t="s">
        <v>67</v>
      </c>
      <c r="E782" t="s">
        <v>68</v>
      </c>
      <c r="F782" t="s">
        <v>1683</v>
      </c>
    </row>
    <row r="783" spans="1:6" x14ac:dyDescent="0.25">
      <c r="A783" t="s">
        <v>1684</v>
      </c>
      <c r="B783" t="s">
        <v>31</v>
      </c>
      <c r="C783" t="s">
        <v>32</v>
      </c>
      <c r="D783" t="s">
        <v>33</v>
      </c>
      <c r="E783" t="s">
        <v>34</v>
      </c>
      <c r="F783" t="s">
        <v>1685</v>
      </c>
    </row>
    <row r="784" spans="1:6" x14ac:dyDescent="0.25">
      <c r="A784" t="s">
        <v>1686</v>
      </c>
      <c r="B784" t="s">
        <v>65</v>
      </c>
      <c r="C784" t="s">
        <v>66</v>
      </c>
      <c r="D784" t="s">
        <v>67</v>
      </c>
      <c r="E784" t="s">
        <v>68</v>
      </c>
      <c r="F784" t="s">
        <v>1687</v>
      </c>
    </row>
    <row r="785" spans="1:6" x14ac:dyDescent="0.25">
      <c r="A785" t="s">
        <v>1688</v>
      </c>
      <c r="B785" t="s">
        <v>25</v>
      </c>
      <c r="C785" t="s">
        <v>26</v>
      </c>
      <c r="D785" t="s">
        <v>27</v>
      </c>
      <c r="E785" t="s">
        <v>28</v>
      </c>
      <c r="F785" t="s">
        <v>1689</v>
      </c>
    </row>
    <row r="786" spans="1:6" x14ac:dyDescent="0.25">
      <c r="A786" t="s">
        <v>1690</v>
      </c>
      <c r="B786" t="s">
        <v>53</v>
      </c>
      <c r="C786" t="s">
        <v>54</v>
      </c>
      <c r="D786" t="s">
        <v>55</v>
      </c>
      <c r="E786" t="s">
        <v>56</v>
      </c>
      <c r="F786" t="s">
        <v>1691</v>
      </c>
    </row>
    <row r="787" spans="1:6" x14ac:dyDescent="0.25">
      <c r="A787" t="s">
        <v>1692</v>
      </c>
      <c r="B787" t="s">
        <v>53</v>
      </c>
      <c r="C787" t="s">
        <v>54</v>
      </c>
      <c r="D787" t="s">
        <v>55</v>
      </c>
      <c r="E787" t="s">
        <v>56</v>
      </c>
      <c r="F787" t="s">
        <v>1693</v>
      </c>
    </row>
    <row r="788" spans="1:6" x14ac:dyDescent="0.25">
      <c r="A788" t="s">
        <v>1694</v>
      </c>
      <c r="B788" t="s">
        <v>65</v>
      </c>
      <c r="C788" t="s">
        <v>66</v>
      </c>
      <c r="D788" t="s">
        <v>67</v>
      </c>
      <c r="E788" t="s">
        <v>68</v>
      </c>
      <c r="F788" t="s">
        <v>1695</v>
      </c>
    </row>
    <row r="789" spans="1:6" x14ac:dyDescent="0.25">
      <c r="A789" t="s">
        <v>1696</v>
      </c>
      <c r="B789" t="s">
        <v>157</v>
      </c>
      <c r="C789" t="s">
        <v>158</v>
      </c>
      <c r="D789" t="s">
        <v>159</v>
      </c>
      <c r="E789" t="s">
        <v>160</v>
      </c>
      <c r="F789" t="s">
        <v>1697</v>
      </c>
    </row>
    <row r="790" spans="1:6" x14ac:dyDescent="0.25">
      <c r="A790" t="s">
        <v>1698</v>
      </c>
      <c r="B790" t="s">
        <v>25</v>
      </c>
      <c r="C790" t="s">
        <v>26</v>
      </c>
      <c r="D790" t="s">
        <v>27</v>
      </c>
      <c r="E790" t="s">
        <v>28</v>
      </c>
      <c r="F790" t="s">
        <v>1699</v>
      </c>
    </row>
    <row r="791" spans="1:6" x14ac:dyDescent="0.25">
      <c r="A791" t="s">
        <v>1700</v>
      </c>
      <c r="B791" t="s">
        <v>93</v>
      </c>
      <c r="C791" t="s">
        <v>94</v>
      </c>
      <c r="D791" t="s">
        <v>95</v>
      </c>
      <c r="E791" t="s">
        <v>96</v>
      </c>
      <c r="F791" t="s">
        <v>1701</v>
      </c>
    </row>
    <row r="792" spans="1:6" x14ac:dyDescent="0.25">
      <c r="A792" t="s">
        <v>1702</v>
      </c>
      <c r="B792" t="s">
        <v>31</v>
      </c>
      <c r="C792" t="s">
        <v>32</v>
      </c>
      <c r="D792" t="s">
        <v>33</v>
      </c>
      <c r="E792" t="s">
        <v>34</v>
      </c>
      <c r="F792" t="s">
        <v>1703</v>
      </c>
    </row>
    <row r="793" spans="1:6" x14ac:dyDescent="0.25">
      <c r="A793" t="s">
        <v>1704</v>
      </c>
      <c r="B793" t="s">
        <v>25</v>
      </c>
      <c r="C793" t="s">
        <v>26</v>
      </c>
      <c r="D793" t="s">
        <v>27</v>
      </c>
      <c r="E793" t="s">
        <v>28</v>
      </c>
      <c r="F793" t="s">
        <v>1705</v>
      </c>
    </row>
    <row r="794" spans="1:6" x14ac:dyDescent="0.25">
      <c r="A794" t="s">
        <v>1706</v>
      </c>
      <c r="B794" t="s">
        <v>93</v>
      </c>
      <c r="C794" t="s">
        <v>94</v>
      </c>
      <c r="D794" t="s">
        <v>95</v>
      </c>
      <c r="E794" t="s">
        <v>96</v>
      </c>
      <c r="F794" t="s">
        <v>1707</v>
      </c>
    </row>
    <row r="795" spans="1:6" x14ac:dyDescent="0.25">
      <c r="A795" t="s">
        <v>1708</v>
      </c>
      <c r="B795" t="s">
        <v>53</v>
      </c>
      <c r="C795" t="s">
        <v>54</v>
      </c>
      <c r="D795" t="s">
        <v>55</v>
      </c>
      <c r="E795" t="s">
        <v>56</v>
      </c>
      <c r="F795" t="s">
        <v>1709</v>
      </c>
    </row>
    <row r="796" spans="1:6" x14ac:dyDescent="0.25">
      <c r="A796" t="s">
        <v>1710</v>
      </c>
      <c r="B796" t="s">
        <v>31</v>
      </c>
      <c r="C796" t="s">
        <v>32</v>
      </c>
      <c r="D796" t="s">
        <v>33</v>
      </c>
      <c r="E796" t="s">
        <v>34</v>
      </c>
      <c r="F796" t="s">
        <v>1711</v>
      </c>
    </row>
    <row r="797" spans="1:6" x14ac:dyDescent="0.25">
      <c r="A797" t="s">
        <v>1712</v>
      </c>
      <c r="B797" t="s">
        <v>31</v>
      </c>
      <c r="C797" t="s">
        <v>32</v>
      </c>
      <c r="D797" t="s">
        <v>33</v>
      </c>
      <c r="E797" t="s">
        <v>34</v>
      </c>
      <c r="F797" t="s">
        <v>1713</v>
      </c>
    </row>
    <row r="798" spans="1:6" x14ac:dyDescent="0.25">
      <c r="A798" t="s">
        <v>1714</v>
      </c>
      <c r="B798" t="s">
        <v>37</v>
      </c>
      <c r="C798" t="s">
        <v>38</v>
      </c>
      <c r="D798" t="s">
        <v>39</v>
      </c>
      <c r="E798" t="s">
        <v>40</v>
      </c>
      <c r="F798" t="s">
        <v>1715</v>
      </c>
    </row>
    <row r="799" spans="1:6" x14ac:dyDescent="0.25">
      <c r="A799" t="s">
        <v>1716</v>
      </c>
      <c r="B799" t="s">
        <v>53</v>
      </c>
      <c r="C799" t="s">
        <v>54</v>
      </c>
      <c r="D799" t="s">
        <v>55</v>
      </c>
      <c r="E799" t="s">
        <v>56</v>
      </c>
      <c r="F799" t="s">
        <v>1717</v>
      </c>
    </row>
    <row r="800" spans="1:6" x14ac:dyDescent="0.25">
      <c r="A800" t="s">
        <v>1718</v>
      </c>
      <c r="B800" t="s">
        <v>25</v>
      </c>
      <c r="C800" t="s">
        <v>26</v>
      </c>
      <c r="D800" t="s">
        <v>27</v>
      </c>
      <c r="E800" t="s">
        <v>28</v>
      </c>
      <c r="F800" t="s">
        <v>1719</v>
      </c>
    </row>
    <row r="801" spans="1:6" x14ac:dyDescent="0.25">
      <c r="A801" t="s">
        <v>1720</v>
      </c>
      <c r="B801" t="s">
        <v>37</v>
      </c>
      <c r="C801" t="s">
        <v>38</v>
      </c>
      <c r="D801" t="s">
        <v>39</v>
      </c>
      <c r="E801" t="s">
        <v>40</v>
      </c>
      <c r="F801" t="e">
        <v>#VALUE!</v>
      </c>
    </row>
    <row r="802" spans="1:6" x14ac:dyDescent="0.25">
      <c r="A802" t="s">
        <v>1721</v>
      </c>
      <c r="B802" t="s">
        <v>10</v>
      </c>
      <c r="C802" t="s">
        <v>11</v>
      </c>
      <c r="D802" t="e">
        <v>#VALUE!</v>
      </c>
      <c r="E802" t="e">
        <v>#VALUE!</v>
      </c>
      <c r="F802" t="s">
        <v>1722</v>
      </c>
    </row>
    <row r="803" spans="1:6" x14ac:dyDescent="0.25">
      <c r="A803" t="s">
        <v>1723</v>
      </c>
      <c r="B803" t="s">
        <v>31</v>
      </c>
      <c r="C803" t="s">
        <v>32</v>
      </c>
      <c r="D803" t="s">
        <v>33</v>
      </c>
      <c r="E803" t="s">
        <v>34</v>
      </c>
      <c r="F803" t="s">
        <v>1724</v>
      </c>
    </row>
    <row r="804" spans="1:6" x14ac:dyDescent="0.25">
      <c r="A804" t="s">
        <v>1725</v>
      </c>
      <c r="B804" t="s">
        <v>53</v>
      </c>
      <c r="C804" t="s">
        <v>54</v>
      </c>
      <c r="D804" t="s">
        <v>55</v>
      </c>
      <c r="E804" t="s">
        <v>56</v>
      </c>
      <c r="F804" t="s">
        <v>1726</v>
      </c>
    </row>
    <row r="805" spans="1:6" x14ac:dyDescent="0.25">
      <c r="A805" t="s">
        <v>1727</v>
      </c>
      <c r="B805" t="s">
        <v>25</v>
      </c>
      <c r="C805" t="s">
        <v>26</v>
      </c>
      <c r="D805" t="s">
        <v>27</v>
      </c>
      <c r="E805" t="s">
        <v>28</v>
      </c>
      <c r="F805" t="s">
        <v>1728</v>
      </c>
    </row>
    <row r="806" spans="1:6" x14ac:dyDescent="0.25">
      <c r="A806" t="s">
        <v>1729</v>
      </c>
      <c r="B806" t="s">
        <v>45</v>
      </c>
      <c r="C806" t="s">
        <v>46</v>
      </c>
      <c r="D806" t="s">
        <v>47</v>
      </c>
      <c r="E806" t="s">
        <v>48</v>
      </c>
      <c r="F806" t="s">
        <v>1730</v>
      </c>
    </row>
    <row r="807" spans="1:6" x14ac:dyDescent="0.25">
      <c r="A807" t="s">
        <v>1731</v>
      </c>
      <c r="B807" t="s">
        <v>65</v>
      </c>
      <c r="C807" t="s">
        <v>66</v>
      </c>
      <c r="D807" t="s">
        <v>67</v>
      </c>
      <c r="E807" t="s">
        <v>68</v>
      </c>
      <c r="F807" t="s">
        <v>1732</v>
      </c>
    </row>
    <row r="808" spans="1:6" x14ac:dyDescent="0.25">
      <c r="A808" t="s">
        <v>1733</v>
      </c>
      <c r="B808" t="s">
        <v>25</v>
      </c>
      <c r="C808" t="s">
        <v>26</v>
      </c>
      <c r="D808" t="s">
        <v>27</v>
      </c>
      <c r="E808" t="s">
        <v>28</v>
      </c>
      <c r="F808" t="s">
        <v>1734</v>
      </c>
    </row>
    <row r="809" spans="1:6" x14ac:dyDescent="0.25">
      <c r="A809" t="s">
        <v>1735</v>
      </c>
      <c r="B809" t="s">
        <v>31</v>
      </c>
      <c r="C809" t="s">
        <v>32</v>
      </c>
      <c r="D809" t="s">
        <v>33</v>
      </c>
      <c r="E809" t="s">
        <v>34</v>
      </c>
      <c r="F809" t="s">
        <v>1736</v>
      </c>
    </row>
    <row r="810" spans="1:6" x14ac:dyDescent="0.25">
      <c r="A810" t="s">
        <v>1737</v>
      </c>
      <c r="B810" t="s">
        <v>31</v>
      </c>
      <c r="C810" t="s">
        <v>32</v>
      </c>
      <c r="D810" t="s">
        <v>33</v>
      </c>
      <c r="E810" t="s">
        <v>34</v>
      </c>
      <c r="F810" t="s">
        <v>1738</v>
      </c>
    </row>
    <row r="811" spans="1:6" x14ac:dyDescent="0.25">
      <c r="A811" t="s">
        <v>1739</v>
      </c>
      <c r="B811" t="s">
        <v>31</v>
      </c>
      <c r="C811" t="s">
        <v>32</v>
      </c>
      <c r="D811" t="s">
        <v>33</v>
      </c>
      <c r="E811" t="s">
        <v>34</v>
      </c>
      <c r="F811" t="s">
        <v>1740</v>
      </c>
    </row>
    <row r="812" spans="1:6" x14ac:dyDescent="0.25">
      <c r="A812" t="s">
        <v>1741</v>
      </c>
      <c r="B812" t="s">
        <v>10</v>
      </c>
      <c r="C812" t="s">
        <v>11</v>
      </c>
      <c r="D812" t="e">
        <v>#VALUE!</v>
      </c>
      <c r="E812" t="e">
        <v>#VALUE!</v>
      </c>
      <c r="F812" t="s">
        <v>1742</v>
      </c>
    </row>
    <row r="813" spans="1:6" x14ac:dyDescent="0.25">
      <c r="A813" t="s">
        <v>1743</v>
      </c>
      <c r="B813" t="s">
        <v>31</v>
      </c>
      <c r="C813" t="s">
        <v>32</v>
      </c>
      <c r="D813" t="s">
        <v>33</v>
      </c>
      <c r="E813" t="s">
        <v>34</v>
      </c>
      <c r="F813" t="s">
        <v>1744</v>
      </c>
    </row>
    <row r="814" spans="1:6" x14ac:dyDescent="0.25">
      <c r="A814" t="s">
        <v>1745</v>
      </c>
      <c r="B814" t="s">
        <v>37</v>
      </c>
      <c r="C814" t="s">
        <v>38</v>
      </c>
      <c r="D814" t="s">
        <v>39</v>
      </c>
      <c r="E814" t="s">
        <v>40</v>
      </c>
      <c r="F814" t="s">
        <v>1746</v>
      </c>
    </row>
    <row r="815" spans="1:6" x14ac:dyDescent="0.25">
      <c r="A815" t="s">
        <v>1747</v>
      </c>
      <c r="B815" t="s">
        <v>65</v>
      </c>
      <c r="C815" t="s">
        <v>66</v>
      </c>
      <c r="D815" t="s">
        <v>67</v>
      </c>
      <c r="E815" t="s">
        <v>68</v>
      </c>
      <c r="F815" t="s">
        <v>1748</v>
      </c>
    </row>
    <row r="816" spans="1:6" x14ac:dyDescent="0.25">
      <c r="A816" t="s">
        <v>1749</v>
      </c>
      <c r="B816" t="s">
        <v>65</v>
      </c>
      <c r="C816" t="s">
        <v>66</v>
      </c>
      <c r="D816" t="s">
        <v>67</v>
      </c>
      <c r="E816" t="s">
        <v>68</v>
      </c>
      <c r="F816" t="s">
        <v>1750</v>
      </c>
    </row>
    <row r="817" spans="1:6" x14ac:dyDescent="0.25">
      <c r="A817" t="s">
        <v>1751</v>
      </c>
      <c r="B817" t="s">
        <v>53</v>
      </c>
      <c r="C817" t="s">
        <v>54</v>
      </c>
      <c r="D817" t="s">
        <v>55</v>
      </c>
      <c r="E817" t="s">
        <v>56</v>
      </c>
      <c r="F817" t="s">
        <v>1752</v>
      </c>
    </row>
    <row r="818" spans="1:6" x14ac:dyDescent="0.25">
      <c r="A818" t="s">
        <v>1753</v>
      </c>
      <c r="B818" t="s">
        <v>65</v>
      </c>
      <c r="C818" t="s">
        <v>66</v>
      </c>
      <c r="D818" t="s">
        <v>67</v>
      </c>
      <c r="E818" t="s">
        <v>68</v>
      </c>
      <c r="F818" t="s">
        <v>1754</v>
      </c>
    </row>
    <row r="819" spans="1:6" x14ac:dyDescent="0.25">
      <c r="A819" t="s">
        <v>1755</v>
      </c>
      <c r="B819" t="s">
        <v>25</v>
      </c>
      <c r="C819" t="s">
        <v>26</v>
      </c>
      <c r="D819" t="s">
        <v>27</v>
      </c>
      <c r="E819" t="s">
        <v>28</v>
      </c>
      <c r="F819" t="s">
        <v>1756</v>
      </c>
    </row>
    <row r="820" spans="1:6" x14ac:dyDescent="0.25">
      <c r="A820" t="s">
        <v>1757</v>
      </c>
      <c r="B820" t="s">
        <v>65</v>
      </c>
      <c r="C820" t="s">
        <v>66</v>
      </c>
      <c r="D820" t="s">
        <v>67</v>
      </c>
      <c r="E820" t="s">
        <v>68</v>
      </c>
      <c r="F820" t="s">
        <v>1758</v>
      </c>
    </row>
    <row r="821" spans="1:6" x14ac:dyDescent="0.25">
      <c r="A821" t="s">
        <v>1759</v>
      </c>
      <c r="B821" t="s">
        <v>37</v>
      </c>
      <c r="C821" t="s">
        <v>38</v>
      </c>
      <c r="D821" t="s">
        <v>39</v>
      </c>
      <c r="E821" t="s">
        <v>40</v>
      </c>
      <c r="F821" t="s">
        <v>1760</v>
      </c>
    </row>
    <row r="822" spans="1:6" x14ac:dyDescent="0.25">
      <c r="A822" t="s">
        <v>1761</v>
      </c>
      <c r="B822" t="s">
        <v>53</v>
      </c>
      <c r="C822" t="s">
        <v>54</v>
      </c>
      <c r="D822" t="s">
        <v>55</v>
      </c>
      <c r="E822" t="s">
        <v>56</v>
      </c>
      <c r="F822" t="s">
        <v>1762</v>
      </c>
    </row>
    <row r="823" spans="1:6" x14ac:dyDescent="0.25">
      <c r="A823" t="s">
        <v>1763</v>
      </c>
      <c r="B823" t="s">
        <v>31</v>
      </c>
      <c r="C823" t="s">
        <v>32</v>
      </c>
      <c r="D823" t="s">
        <v>33</v>
      </c>
      <c r="E823" t="s">
        <v>34</v>
      </c>
      <c r="F823" t="s">
        <v>1764</v>
      </c>
    </row>
    <row r="824" spans="1:6" x14ac:dyDescent="0.25">
      <c r="A824" t="s">
        <v>1765</v>
      </c>
      <c r="B824" t="s">
        <v>65</v>
      </c>
      <c r="C824" t="s">
        <v>66</v>
      </c>
      <c r="D824" t="s">
        <v>67</v>
      </c>
      <c r="E824" t="s">
        <v>68</v>
      </c>
      <c r="F824" t="e">
        <v>#VALUE!</v>
      </c>
    </row>
    <row r="825" spans="1:6" x14ac:dyDescent="0.25">
      <c r="A825" t="s">
        <v>1766</v>
      </c>
      <c r="B825" t="s">
        <v>37</v>
      </c>
      <c r="C825" t="s">
        <v>38</v>
      </c>
      <c r="D825" t="s">
        <v>39</v>
      </c>
      <c r="E825" t="s">
        <v>40</v>
      </c>
      <c r="F825" t="s">
        <v>1767</v>
      </c>
    </row>
    <row r="826" spans="1:6" x14ac:dyDescent="0.25">
      <c r="A826" t="s">
        <v>1768</v>
      </c>
      <c r="B826" t="s">
        <v>37</v>
      </c>
      <c r="C826" t="s">
        <v>38</v>
      </c>
      <c r="D826" t="s">
        <v>39</v>
      </c>
      <c r="E826" t="s">
        <v>40</v>
      </c>
      <c r="F826" t="s">
        <v>1769</v>
      </c>
    </row>
    <row r="827" spans="1:6" x14ac:dyDescent="0.25">
      <c r="A827" t="s">
        <v>1770</v>
      </c>
      <c r="B827" t="s">
        <v>37</v>
      </c>
      <c r="C827" t="s">
        <v>38</v>
      </c>
      <c r="D827" t="s">
        <v>39</v>
      </c>
      <c r="E827" t="s">
        <v>40</v>
      </c>
      <c r="F827" t="s">
        <v>1771</v>
      </c>
    </row>
    <row r="828" spans="1:6" x14ac:dyDescent="0.25">
      <c r="A828" t="s">
        <v>1772</v>
      </c>
      <c r="B828" t="s">
        <v>37</v>
      </c>
      <c r="C828" t="s">
        <v>38</v>
      </c>
      <c r="D828" t="s">
        <v>39</v>
      </c>
      <c r="E828" t="s">
        <v>40</v>
      </c>
      <c r="F828" t="s">
        <v>1773</v>
      </c>
    </row>
    <row r="829" spans="1:6" x14ac:dyDescent="0.25">
      <c r="A829" t="s">
        <v>1774</v>
      </c>
      <c r="B829" t="s">
        <v>65</v>
      </c>
      <c r="C829" t="s">
        <v>66</v>
      </c>
      <c r="D829" t="s">
        <v>67</v>
      </c>
      <c r="E829" t="s">
        <v>68</v>
      </c>
      <c r="F829" t="s">
        <v>1775</v>
      </c>
    </row>
    <row r="830" spans="1:6" x14ac:dyDescent="0.25">
      <c r="A830" t="s">
        <v>1776</v>
      </c>
      <c r="B830" t="s">
        <v>31</v>
      </c>
      <c r="C830" t="s">
        <v>32</v>
      </c>
      <c r="D830" t="s">
        <v>33</v>
      </c>
      <c r="E830" t="s">
        <v>34</v>
      </c>
      <c r="F830" t="s">
        <v>1777</v>
      </c>
    </row>
    <row r="831" spans="1:6" x14ac:dyDescent="0.25">
      <c r="A831" t="s">
        <v>1778</v>
      </c>
      <c r="B831" t="s">
        <v>31</v>
      </c>
      <c r="C831" t="s">
        <v>32</v>
      </c>
      <c r="D831" t="s">
        <v>33</v>
      </c>
      <c r="E831" t="s">
        <v>34</v>
      </c>
      <c r="F831" t="s">
        <v>1779</v>
      </c>
    </row>
    <row r="832" spans="1:6" x14ac:dyDescent="0.25">
      <c r="A832" t="s">
        <v>1780</v>
      </c>
      <c r="B832" t="s">
        <v>93</v>
      </c>
      <c r="C832" t="s">
        <v>94</v>
      </c>
      <c r="D832" t="s">
        <v>95</v>
      </c>
      <c r="E832" t="s">
        <v>96</v>
      </c>
      <c r="F832" t="s">
        <v>1781</v>
      </c>
    </row>
    <row r="833" spans="1:6" x14ac:dyDescent="0.25">
      <c r="A833" t="s">
        <v>1782</v>
      </c>
      <c r="B833" t="s">
        <v>65</v>
      </c>
      <c r="C833" t="s">
        <v>66</v>
      </c>
      <c r="D833" t="s">
        <v>67</v>
      </c>
      <c r="E833" t="s">
        <v>68</v>
      </c>
      <c r="F833" t="s">
        <v>1783</v>
      </c>
    </row>
    <row r="834" spans="1:6" x14ac:dyDescent="0.25">
      <c r="A834" t="s">
        <v>1784</v>
      </c>
      <c r="B834" t="s">
        <v>157</v>
      </c>
      <c r="C834" t="s">
        <v>158</v>
      </c>
      <c r="D834" t="s">
        <v>159</v>
      </c>
      <c r="E834" t="s">
        <v>160</v>
      </c>
      <c r="F834" t="s">
        <v>1785</v>
      </c>
    </row>
    <row r="835" spans="1:6" x14ac:dyDescent="0.25">
      <c r="A835" t="s">
        <v>1786</v>
      </c>
      <c r="B835" t="s">
        <v>53</v>
      </c>
      <c r="C835" t="s">
        <v>54</v>
      </c>
      <c r="D835" t="s">
        <v>55</v>
      </c>
      <c r="E835" t="s">
        <v>56</v>
      </c>
      <c r="F835" t="s">
        <v>1787</v>
      </c>
    </row>
    <row r="836" spans="1:6" x14ac:dyDescent="0.25">
      <c r="A836" t="s">
        <v>1788</v>
      </c>
      <c r="B836" t="s">
        <v>65</v>
      </c>
      <c r="C836" t="s">
        <v>66</v>
      </c>
      <c r="D836" t="s">
        <v>67</v>
      </c>
      <c r="E836" t="s">
        <v>68</v>
      </c>
      <c r="F836" t="s">
        <v>1789</v>
      </c>
    </row>
    <row r="837" spans="1:6" x14ac:dyDescent="0.25">
      <c r="A837" t="s">
        <v>1790</v>
      </c>
      <c r="B837" t="s">
        <v>53</v>
      </c>
      <c r="C837" t="s">
        <v>54</v>
      </c>
      <c r="D837" t="s">
        <v>55</v>
      </c>
      <c r="E837" t="s">
        <v>56</v>
      </c>
      <c r="F837" t="s">
        <v>1791</v>
      </c>
    </row>
    <row r="838" spans="1:6" x14ac:dyDescent="0.25">
      <c r="A838" t="s">
        <v>1792</v>
      </c>
      <c r="B838" t="s">
        <v>25</v>
      </c>
      <c r="C838" t="s">
        <v>26</v>
      </c>
      <c r="D838" t="s">
        <v>27</v>
      </c>
      <c r="E838" t="s">
        <v>28</v>
      </c>
      <c r="F838" t="s">
        <v>1793</v>
      </c>
    </row>
    <row r="839" spans="1:6" x14ac:dyDescent="0.25">
      <c r="A839" t="s">
        <v>1794</v>
      </c>
      <c r="B839" t="s">
        <v>65</v>
      </c>
      <c r="C839" t="s">
        <v>66</v>
      </c>
      <c r="D839" t="s">
        <v>67</v>
      </c>
      <c r="E839" t="s">
        <v>68</v>
      </c>
      <c r="F839" t="s">
        <v>1795</v>
      </c>
    </row>
    <row r="840" spans="1:6" x14ac:dyDescent="0.25">
      <c r="A840" t="s">
        <v>1796</v>
      </c>
      <c r="B840" t="s">
        <v>31</v>
      </c>
      <c r="C840" t="s">
        <v>32</v>
      </c>
      <c r="D840" t="s">
        <v>33</v>
      </c>
      <c r="E840" t="s">
        <v>34</v>
      </c>
      <c r="F840" t="s">
        <v>1797</v>
      </c>
    </row>
    <row r="841" spans="1:6" x14ac:dyDescent="0.25">
      <c r="A841" t="s">
        <v>1798</v>
      </c>
      <c r="B841" t="s">
        <v>128</v>
      </c>
      <c r="C841" t="s">
        <v>129</v>
      </c>
      <c r="D841" t="s">
        <v>130</v>
      </c>
      <c r="E841" t="s">
        <v>131</v>
      </c>
      <c r="F841" t="s">
        <v>1799</v>
      </c>
    </row>
    <row r="842" spans="1:6" x14ac:dyDescent="0.25">
      <c r="A842" t="s">
        <v>1800</v>
      </c>
      <c r="B842" t="s">
        <v>25</v>
      </c>
      <c r="C842" t="s">
        <v>26</v>
      </c>
      <c r="D842" t="s">
        <v>27</v>
      </c>
      <c r="E842" t="s">
        <v>28</v>
      </c>
      <c r="F842" t="s">
        <v>1801</v>
      </c>
    </row>
    <row r="843" spans="1:6" x14ac:dyDescent="0.25">
      <c r="A843" t="s">
        <v>1802</v>
      </c>
      <c r="B843" t="s">
        <v>25</v>
      </c>
      <c r="C843" t="s">
        <v>26</v>
      </c>
      <c r="D843" t="s">
        <v>27</v>
      </c>
      <c r="E843" t="s">
        <v>28</v>
      </c>
      <c r="F843" t="s">
        <v>1803</v>
      </c>
    </row>
    <row r="844" spans="1:6" x14ac:dyDescent="0.25">
      <c r="A844" t="s">
        <v>1804</v>
      </c>
      <c r="B844" t="s">
        <v>65</v>
      </c>
      <c r="C844" t="s">
        <v>66</v>
      </c>
      <c r="D844" t="s">
        <v>67</v>
      </c>
      <c r="E844" t="s">
        <v>68</v>
      </c>
      <c r="F844" t="s">
        <v>1805</v>
      </c>
    </row>
    <row r="845" spans="1:6" x14ac:dyDescent="0.25">
      <c r="A845" t="s">
        <v>1806</v>
      </c>
      <c r="B845" t="s">
        <v>31</v>
      </c>
      <c r="C845" t="s">
        <v>32</v>
      </c>
      <c r="D845" t="s">
        <v>33</v>
      </c>
      <c r="E845" t="s">
        <v>34</v>
      </c>
      <c r="F845" t="s">
        <v>1807</v>
      </c>
    </row>
    <row r="846" spans="1:6" x14ac:dyDescent="0.25">
      <c r="A846" t="s">
        <v>1808</v>
      </c>
      <c r="B846" t="s">
        <v>107</v>
      </c>
      <c r="C846" t="s">
        <v>108</v>
      </c>
      <c r="D846" t="s">
        <v>109</v>
      </c>
      <c r="E846" t="s">
        <v>110</v>
      </c>
      <c r="F846" t="s">
        <v>1809</v>
      </c>
    </row>
    <row r="847" spans="1:6" x14ac:dyDescent="0.25">
      <c r="A847" t="s">
        <v>1810</v>
      </c>
      <c r="B847" t="s">
        <v>93</v>
      </c>
      <c r="C847" t="s">
        <v>94</v>
      </c>
      <c r="D847" t="s">
        <v>95</v>
      </c>
      <c r="E847" t="s">
        <v>96</v>
      </c>
      <c r="F847" t="s">
        <v>1811</v>
      </c>
    </row>
    <row r="848" spans="1:6" x14ac:dyDescent="0.25">
      <c r="A848" t="s">
        <v>1812</v>
      </c>
      <c r="B848" t="s">
        <v>25</v>
      </c>
      <c r="C848" t="s">
        <v>26</v>
      </c>
      <c r="D848" t="s">
        <v>27</v>
      </c>
      <c r="E848" t="s">
        <v>28</v>
      </c>
      <c r="F848" t="s">
        <v>1813</v>
      </c>
    </row>
    <row r="849" spans="1:6" x14ac:dyDescent="0.25">
      <c r="A849" t="s">
        <v>1814</v>
      </c>
      <c r="B849" t="s">
        <v>31</v>
      </c>
      <c r="C849" t="s">
        <v>32</v>
      </c>
      <c r="D849" t="s">
        <v>33</v>
      </c>
      <c r="E849" t="s">
        <v>34</v>
      </c>
      <c r="F849" t="s">
        <v>1815</v>
      </c>
    </row>
    <row r="850" spans="1:6" x14ac:dyDescent="0.25">
      <c r="A850" t="s">
        <v>1816</v>
      </c>
      <c r="B850" t="s">
        <v>53</v>
      </c>
      <c r="C850" t="s">
        <v>54</v>
      </c>
      <c r="D850" t="s">
        <v>55</v>
      </c>
      <c r="E850" t="s">
        <v>56</v>
      </c>
      <c r="F850" t="s">
        <v>1817</v>
      </c>
    </row>
    <row r="851" spans="1:6" x14ac:dyDescent="0.25">
      <c r="A851" t="s">
        <v>1818</v>
      </c>
      <c r="B851" t="s">
        <v>25</v>
      </c>
      <c r="C851" t="s">
        <v>26</v>
      </c>
      <c r="D851" t="s">
        <v>27</v>
      </c>
      <c r="E851" t="s">
        <v>28</v>
      </c>
      <c r="F851" t="s">
        <v>1819</v>
      </c>
    </row>
    <row r="852" spans="1:6" x14ac:dyDescent="0.25">
      <c r="A852" t="s">
        <v>1820</v>
      </c>
      <c r="B852" t="s">
        <v>25</v>
      </c>
      <c r="C852" t="s">
        <v>26</v>
      </c>
      <c r="D852" t="s">
        <v>27</v>
      </c>
      <c r="E852" t="s">
        <v>28</v>
      </c>
      <c r="F852" t="s">
        <v>1821</v>
      </c>
    </row>
    <row r="853" spans="1:6" x14ac:dyDescent="0.25">
      <c r="A853" t="s">
        <v>1822</v>
      </c>
      <c r="B853" t="s">
        <v>65</v>
      </c>
      <c r="C853" t="s">
        <v>66</v>
      </c>
      <c r="D853" t="s">
        <v>67</v>
      </c>
      <c r="E853" t="s">
        <v>68</v>
      </c>
      <c r="F853" t="s">
        <v>1823</v>
      </c>
    </row>
    <row r="854" spans="1:6" x14ac:dyDescent="0.25">
      <c r="A854" t="s">
        <v>1824</v>
      </c>
      <c r="B854" t="s">
        <v>65</v>
      </c>
      <c r="C854" t="s">
        <v>66</v>
      </c>
      <c r="D854" t="s">
        <v>67</v>
      </c>
      <c r="E854" t="s">
        <v>68</v>
      </c>
      <c r="F854" t="s">
        <v>1825</v>
      </c>
    </row>
    <row r="855" spans="1:6" x14ac:dyDescent="0.25">
      <c r="A855" t="s">
        <v>1826</v>
      </c>
      <c r="B855" t="s">
        <v>31</v>
      </c>
      <c r="C855" t="s">
        <v>32</v>
      </c>
      <c r="D855" t="s">
        <v>33</v>
      </c>
      <c r="E855" t="s">
        <v>34</v>
      </c>
      <c r="F855" t="e">
        <v>#VALUE!</v>
      </c>
    </row>
    <row r="856" spans="1:6" x14ac:dyDescent="0.25">
      <c r="A856" t="s">
        <v>1827</v>
      </c>
      <c r="B856" t="s">
        <v>901</v>
      </c>
      <c r="C856" t="s">
        <v>902</v>
      </c>
      <c r="D856" t="e">
        <v>#VALUE!</v>
      </c>
      <c r="E856" t="e">
        <v>#VALUE!</v>
      </c>
      <c r="F856" t="s">
        <v>1828</v>
      </c>
    </row>
    <row r="857" spans="1:6" x14ac:dyDescent="0.25">
      <c r="A857" t="s">
        <v>1829</v>
      </c>
      <c r="B857" t="s">
        <v>10</v>
      </c>
      <c r="C857" t="s">
        <v>11</v>
      </c>
      <c r="D857" t="e">
        <v>#VALUE!</v>
      </c>
      <c r="E857" t="e">
        <v>#VALUE!</v>
      </c>
      <c r="F857" t="s">
        <v>1830</v>
      </c>
    </row>
    <row r="858" spans="1:6" x14ac:dyDescent="0.25">
      <c r="A858" t="s">
        <v>1831</v>
      </c>
      <c r="B858" t="s">
        <v>65</v>
      </c>
      <c r="C858" t="s">
        <v>66</v>
      </c>
      <c r="D858" t="s">
        <v>67</v>
      </c>
      <c r="E858" t="s">
        <v>68</v>
      </c>
      <c r="F858" t="s">
        <v>1832</v>
      </c>
    </row>
    <row r="859" spans="1:6" x14ac:dyDescent="0.25">
      <c r="A859" t="s">
        <v>1833</v>
      </c>
      <c r="B859" t="s">
        <v>310</v>
      </c>
      <c r="C859" t="s">
        <v>311</v>
      </c>
      <c r="D859" t="s">
        <v>312</v>
      </c>
      <c r="E859" t="s">
        <v>313</v>
      </c>
      <c r="F859" t="s">
        <v>1834</v>
      </c>
    </row>
    <row r="860" spans="1:6" x14ac:dyDescent="0.25">
      <c r="A860" t="s">
        <v>1835</v>
      </c>
      <c r="B860" t="s">
        <v>65</v>
      </c>
      <c r="C860" t="s">
        <v>66</v>
      </c>
      <c r="D860" t="s">
        <v>67</v>
      </c>
      <c r="E860" t="s">
        <v>68</v>
      </c>
      <c r="F860" t="s">
        <v>1836</v>
      </c>
    </row>
    <row r="861" spans="1:6" x14ac:dyDescent="0.25">
      <c r="A861" t="s">
        <v>1837</v>
      </c>
      <c r="B861" t="s">
        <v>1132</v>
      </c>
      <c r="C861" t="s">
        <v>1133</v>
      </c>
      <c r="D861" t="s">
        <v>1134</v>
      </c>
      <c r="E861" t="s">
        <v>1135</v>
      </c>
      <c r="F861" t="s">
        <v>1838</v>
      </c>
    </row>
    <row r="862" spans="1:6" x14ac:dyDescent="0.25">
      <c r="A862" t="s">
        <v>1839</v>
      </c>
      <c r="B862" t="s">
        <v>31</v>
      </c>
      <c r="C862" t="s">
        <v>32</v>
      </c>
      <c r="D862" t="s">
        <v>33</v>
      </c>
      <c r="E862" t="s">
        <v>34</v>
      </c>
      <c r="F862" t="s">
        <v>1840</v>
      </c>
    </row>
    <row r="863" spans="1:6" x14ac:dyDescent="0.25">
      <c r="A863" t="s">
        <v>1841</v>
      </c>
      <c r="B863" t="s">
        <v>93</v>
      </c>
      <c r="C863" t="s">
        <v>94</v>
      </c>
      <c r="D863" t="s">
        <v>95</v>
      </c>
      <c r="E863" t="s">
        <v>96</v>
      </c>
      <c r="F863" t="e">
        <v>#VALUE!</v>
      </c>
    </row>
    <row r="864" spans="1:6" x14ac:dyDescent="0.25">
      <c r="A864" t="s">
        <v>1842</v>
      </c>
      <c r="B864" t="s">
        <v>93</v>
      </c>
      <c r="C864" t="s">
        <v>94</v>
      </c>
      <c r="D864" t="s">
        <v>95</v>
      </c>
      <c r="E864" t="s">
        <v>96</v>
      </c>
      <c r="F864" t="s">
        <v>1843</v>
      </c>
    </row>
    <row r="865" spans="1:6" x14ac:dyDescent="0.25">
      <c r="A865" t="s">
        <v>1844</v>
      </c>
      <c r="B865" t="s">
        <v>157</v>
      </c>
      <c r="C865" t="s">
        <v>158</v>
      </c>
      <c r="D865" t="s">
        <v>159</v>
      </c>
      <c r="E865" t="s">
        <v>160</v>
      </c>
      <c r="F865" t="s">
        <v>1845</v>
      </c>
    </row>
    <row r="866" spans="1:6" x14ac:dyDescent="0.25">
      <c r="A866" t="s">
        <v>1846</v>
      </c>
      <c r="B866" t="s">
        <v>31</v>
      </c>
      <c r="C866" t="s">
        <v>32</v>
      </c>
      <c r="D866" t="s">
        <v>33</v>
      </c>
      <c r="E866" t="s">
        <v>34</v>
      </c>
      <c r="F866" t="s">
        <v>1847</v>
      </c>
    </row>
    <row r="867" spans="1:6" x14ac:dyDescent="0.25">
      <c r="A867" t="s">
        <v>1848</v>
      </c>
      <c r="B867" t="s">
        <v>10</v>
      </c>
      <c r="C867" t="s">
        <v>11</v>
      </c>
      <c r="D867" t="e">
        <v>#VALUE!</v>
      </c>
      <c r="E867" t="e">
        <v>#VALUE!</v>
      </c>
      <c r="F867" t="s">
        <v>1849</v>
      </c>
    </row>
    <row r="868" spans="1:6" x14ac:dyDescent="0.25">
      <c r="A868" t="s">
        <v>1850</v>
      </c>
      <c r="B868" t="s">
        <v>31</v>
      </c>
      <c r="C868" t="s">
        <v>32</v>
      </c>
      <c r="D868" t="s">
        <v>33</v>
      </c>
      <c r="E868" t="s">
        <v>34</v>
      </c>
      <c r="F868" t="s">
        <v>1851</v>
      </c>
    </row>
    <row r="869" spans="1:6" x14ac:dyDescent="0.25">
      <c r="A869" t="s">
        <v>1852</v>
      </c>
      <c r="B869" t="s">
        <v>65</v>
      </c>
      <c r="C869" t="s">
        <v>66</v>
      </c>
      <c r="D869" t="s">
        <v>67</v>
      </c>
      <c r="E869" t="s">
        <v>68</v>
      </c>
      <c r="F869" t="s">
        <v>1853</v>
      </c>
    </row>
    <row r="870" spans="1:6" x14ac:dyDescent="0.25">
      <c r="A870" t="s">
        <v>1854</v>
      </c>
      <c r="B870" t="s">
        <v>93</v>
      </c>
      <c r="C870" t="s">
        <v>94</v>
      </c>
      <c r="D870" t="s">
        <v>95</v>
      </c>
      <c r="E870" t="s">
        <v>96</v>
      </c>
      <c r="F870" t="s">
        <v>1855</v>
      </c>
    </row>
    <row r="871" spans="1:6" x14ac:dyDescent="0.25">
      <c r="A871" t="s">
        <v>1856</v>
      </c>
      <c r="B871" t="s">
        <v>93</v>
      </c>
      <c r="C871" t="s">
        <v>94</v>
      </c>
      <c r="D871" t="s">
        <v>95</v>
      </c>
      <c r="E871" t="s">
        <v>96</v>
      </c>
      <c r="F871" t="s">
        <v>1857</v>
      </c>
    </row>
    <row r="872" spans="1:6" x14ac:dyDescent="0.25">
      <c r="A872" t="s">
        <v>1858</v>
      </c>
      <c r="B872" t="s">
        <v>93</v>
      </c>
      <c r="C872" t="s">
        <v>94</v>
      </c>
      <c r="D872" t="s">
        <v>95</v>
      </c>
      <c r="E872" t="s">
        <v>96</v>
      </c>
      <c r="F872" t="s">
        <v>1859</v>
      </c>
    </row>
    <row r="873" spans="1:6" x14ac:dyDescent="0.25">
      <c r="A873" t="s">
        <v>1860</v>
      </c>
      <c r="B873" t="s">
        <v>65</v>
      </c>
      <c r="C873" t="s">
        <v>66</v>
      </c>
      <c r="D873" t="s">
        <v>67</v>
      </c>
      <c r="E873" t="s">
        <v>68</v>
      </c>
      <c r="F873" t="s">
        <v>1861</v>
      </c>
    </row>
    <row r="874" spans="1:6" x14ac:dyDescent="0.25">
      <c r="A874" t="s">
        <v>1862</v>
      </c>
      <c r="B874" t="s">
        <v>350</v>
      </c>
      <c r="C874" t="s">
        <v>351</v>
      </c>
      <c r="D874" t="s">
        <v>352</v>
      </c>
      <c r="E874" t="s">
        <v>353</v>
      </c>
      <c r="F874" t="s">
        <v>1863</v>
      </c>
    </row>
    <row r="875" spans="1:6" x14ac:dyDescent="0.25">
      <c r="A875" t="s">
        <v>1864</v>
      </c>
      <c r="B875" t="s">
        <v>65</v>
      </c>
      <c r="C875" t="s">
        <v>66</v>
      </c>
      <c r="D875" t="s">
        <v>67</v>
      </c>
      <c r="E875" t="s">
        <v>68</v>
      </c>
      <c r="F875" t="s">
        <v>1865</v>
      </c>
    </row>
    <row r="876" spans="1:6" x14ac:dyDescent="0.25">
      <c r="A876" t="s">
        <v>1866</v>
      </c>
      <c r="B876" t="s">
        <v>65</v>
      </c>
      <c r="C876" t="s">
        <v>66</v>
      </c>
      <c r="D876" t="s">
        <v>67</v>
      </c>
      <c r="E876" t="s">
        <v>68</v>
      </c>
      <c r="F876" t="s">
        <v>1867</v>
      </c>
    </row>
    <row r="877" spans="1:6" x14ac:dyDescent="0.25">
      <c r="A877" t="s">
        <v>1868</v>
      </c>
      <c r="B877" t="s">
        <v>53</v>
      </c>
      <c r="C877" t="s">
        <v>54</v>
      </c>
      <c r="D877" t="s">
        <v>55</v>
      </c>
      <c r="E877" t="s">
        <v>56</v>
      </c>
      <c r="F877" t="s">
        <v>1869</v>
      </c>
    </row>
    <row r="878" spans="1:6" x14ac:dyDescent="0.25">
      <c r="A878" t="s">
        <v>1870</v>
      </c>
      <c r="B878" t="s">
        <v>93</v>
      </c>
      <c r="C878" t="s">
        <v>94</v>
      </c>
      <c r="D878" t="s">
        <v>95</v>
      </c>
      <c r="E878" t="s">
        <v>96</v>
      </c>
      <c r="F878" t="s">
        <v>1871</v>
      </c>
    </row>
    <row r="879" spans="1:6" x14ac:dyDescent="0.25">
      <c r="A879" t="s">
        <v>1872</v>
      </c>
      <c r="B879" t="s">
        <v>65</v>
      </c>
      <c r="C879" t="s">
        <v>66</v>
      </c>
      <c r="D879" t="s">
        <v>67</v>
      </c>
      <c r="E879" t="s">
        <v>68</v>
      </c>
      <c r="F879" t="s">
        <v>1873</v>
      </c>
    </row>
    <row r="880" spans="1:6" x14ac:dyDescent="0.25">
      <c r="A880" t="s">
        <v>1874</v>
      </c>
      <c r="B880" t="s">
        <v>419</v>
      </c>
      <c r="C880" t="s">
        <v>420</v>
      </c>
      <c r="D880" t="s">
        <v>421</v>
      </c>
      <c r="E880" t="s">
        <v>422</v>
      </c>
      <c r="F880" t="s">
        <v>1875</v>
      </c>
    </row>
    <row r="881" spans="1:6" x14ac:dyDescent="0.25">
      <c r="A881" t="s">
        <v>1876</v>
      </c>
      <c r="B881" t="s">
        <v>10</v>
      </c>
      <c r="C881" t="s">
        <v>11</v>
      </c>
      <c r="D881" t="e">
        <v>#VALUE!</v>
      </c>
      <c r="E881" t="e">
        <v>#VALUE!</v>
      </c>
      <c r="F881" t="s">
        <v>1877</v>
      </c>
    </row>
    <row r="882" spans="1:6" x14ac:dyDescent="0.25">
      <c r="A882" t="s">
        <v>1878</v>
      </c>
      <c r="B882" t="s">
        <v>336</v>
      </c>
      <c r="C882" t="s">
        <v>337</v>
      </c>
      <c r="D882" t="s">
        <v>338</v>
      </c>
      <c r="E882" t="s">
        <v>339</v>
      </c>
      <c r="F882" t="s">
        <v>1879</v>
      </c>
    </row>
    <row r="883" spans="1:6" x14ac:dyDescent="0.25">
      <c r="A883" t="s">
        <v>1880</v>
      </c>
      <c r="B883" t="s">
        <v>93</v>
      </c>
      <c r="C883" t="s">
        <v>94</v>
      </c>
      <c r="D883" t="s">
        <v>95</v>
      </c>
      <c r="E883" t="s">
        <v>96</v>
      </c>
      <c r="F883" t="s">
        <v>1881</v>
      </c>
    </row>
    <row r="884" spans="1:6" x14ac:dyDescent="0.25">
      <c r="A884" t="s">
        <v>1882</v>
      </c>
      <c r="B884" t="s">
        <v>65</v>
      </c>
      <c r="C884" t="s">
        <v>66</v>
      </c>
      <c r="D884" t="s">
        <v>67</v>
      </c>
      <c r="E884" t="s">
        <v>68</v>
      </c>
      <c r="F884" t="s">
        <v>1883</v>
      </c>
    </row>
    <row r="885" spans="1:6" x14ac:dyDescent="0.25">
      <c r="A885" t="s">
        <v>1884</v>
      </c>
      <c r="B885" t="s">
        <v>65</v>
      </c>
      <c r="C885" t="s">
        <v>66</v>
      </c>
      <c r="D885" t="s">
        <v>67</v>
      </c>
      <c r="E885" t="s">
        <v>68</v>
      </c>
      <c r="F885" t="s">
        <v>1885</v>
      </c>
    </row>
    <row r="886" spans="1:6" x14ac:dyDescent="0.25">
      <c r="A886" t="s">
        <v>1886</v>
      </c>
      <c r="B886" t="s">
        <v>31</v>
      </c>
      <c r="C886" t="s">
        <v>32</v>
      </c>
      <c r="D886" t="s">
        <v>33</v>
      </c>
      <c r="E886" t="s">
        <v>34</v>
      </c>
      <c r="F886" t="e">
        <v>#VALUE!</v>
      </c>
    </row>
    <row r="887" spans="1:6" x14ac:dyDescent="0.25">
      <c r="A887" t="s">
        <v>1887</v>
      </c>
      <c r="B887" t="s">
        <v>37</v>
      </c>
      <c r="C887" t="s">
        <v>38</v>
      </c>
      <c r="D887" t="s">
        <v>39</v>
      </c>
      <c r="E887" t="s">
        <v>40</v>
      </c>
      <c r="F887" t="s">
        <v>1888</v>
      </c>
    </row>
    <row r="888" spans="1:6" x14ac:dyDescent="0.25">
      <c r="A888" t="s">
        <v>1889</v>
      </c>
      <c r="B888" t="s">
        <v>10</v>
      </c>
      <c r="C888" t="s">
        <v>11</v>
      </c>
      <c r="D888" t="e">
        <v>#VALUE!</v>
      </c>
      <c r="E888" t="e">
        <v>#VALUE!</v>
      </c>
      <c r="F888" t="s">
        <v>1890</v>
      </c>
    </row>
    <row r="889" spans="1:6" x14ac:dyDescent="0.25">
      <c r="A889" t="s">
        <v>1891</v>
      </c>
      <c r="B889" t="s">
        <v>45</v>
      </c>
      <c r="C889" t="s">
        <v>46</v>
      </c>
      <c r="D889" t="s">
        <v>47</v>
      </c>
      <c r="E889" t="s">
        <v>48</v>
      </c>
      <c r="F889" t="s">
        <v>1892</v>
      </c>
    </row>
    <row r="890" spans="1:6" x14ac:dyDescent="0.25">
      <c r="A890" t="s">
        <v>1893</v>
      </c>
      <c r="B890" t="s">
        <v>157</v>
      </c>
      <c r="C890" t="s">
        <v>158</v>
      </c>
      <c r="D890" t="s">
        <v>159</v>
      </c>
      <c r="E890" t="s">
        <v>160</v>
      </c>
      <c r="F890" t="s">
        <v>1894</v>
      </c>
    </row>
    <row r="891" spans="1:6" x14ac:dyDescent="0.25">
      <c r="A891" t="s">
        <v>1895</v>
      </c>
      <c r="B891" t="s">
        <v>65</v>
      </c>
      <c r="C891" t="s">
        <v>66</v>
      </c>
      <c r="D891" t="s">
        <v>67</v>
      </c>
      <c r="E891" t="s">
        <v>68</v>
      </c>
      <c r="F891" t="s">
        <v>1896</v>
      </c>
    </row>
    <row r="892" spans="1:6" x14ac:dyDescent="0.25">
      <c r="A892" t="s">
        <v>1897</v>
      </c>
      <c r="B892" t="s">
        <v>93</v>
      </c>
      <c r="C892" t="s">
        <v>94</v>
      </c>
      <c r="D892" t="s">
        <v>95</v>
      </c>
      <c r="E892" t="s">
        <v>96</v>
      </c>
      <c r="F892" t="s">
        <v>1898</v>
      </c>
    </row>
    <row r="893" spans="1:6" x14ac:dyDescent="0.25">
      <c r="A893" t="s">
        <v>1899</v>
      </c>
      <c r="B893" t="s">
        <v>10</v>
      </c>
      <c r="C893" t="s">
        <v>11</v>
      </c>
      <c r="D893" t="e">
        <v>#VALUE!</v>
      </c>
      <c r="E893" t="e">
        <v>#VALUE!</v>
      </c>
      <c r="F893" t="s">
        <v>1900</v>
      </c>
    </row>
    <row r="894" spans="1:6" x14ac:dyDescent="0.25">
      <c r="A894" t="s">
        <v>1901</v>
      </c>
      <c r="B894" t="s">
        <v>65</v>
      </c>
      <c r="C894" t="s">
        <v>66</v>
      </c>
      <c r="D894" t="s">
        <v>67</v>
      </c>
      <c r="E894" t="s">
        <v>68</v>
      </c>
      <c r="F894" t="s">
        <v>1902</v>
      </c>
    </row>
    <row r="895" spans="1:6" x14ac:dyDescent="0.25">
      <c r="A895" t="s">
        <v>1903</v>
      </c>
      <c r="B895" t="s">
        <v>540</v>
      </c>
      <c r="C895" t="s">
        <v>541</v>
      </c>
      <c r="D895" t="s">
        <v>542</v>
      </c>
      <c r="E895" t="s">
        <v>543</v>
      </c>
      <c r="F895" t="s">
        <v>1904</v>
      </c>
    </row>
    <row r="896" spans="1:6" x14ac:dyDescent="0.25">
      <c r="A896" t="s">
        <v>1905</v>
      </c>
      <c r="B896" t="s">
        <v>65</v>
      </c>
      <c r="C896" t="s">
        <v>66</v>
      </c>
      <c r="D896" t="s">
        <v>67</v>
      </c>
      <c r="E896" t="s">
        <v>68</v>
      </c>
      <c r="F896" t="s">
        <v>1906</v>
      </c>
    </row>
    <row r="897" spans="1:6" x14ac:dyDescent="0.25">
      <c r="A897" t="s">
        <v>1907</v>
      </c>
      <c r="B897" t="s">
        <v>31</v>
      </c>
      <c r="C897" t="s">
        <v>32</v>
      </c>
      <c r="D897" t="s">
        <v>33</v>
      </c>
      <c r="E897" t="s">
        <v>34</v>
      </c>
      <c r="F897" t="s">
        <v>1908</v>
      </c>
    </row>
    <row r="898" spans="1:6" x14ac:dyDescent="0.25">
      <c r="A898" t="s">
        <v>1909</v>
      </c>
      <c r="B898" t="s">
        <v>65</v>
      </c>
      <c r="C898" t="s">
        <v>66</v>
      </c>
      <c r="D898" t="s">
        <v>67</v>
      </c>
      <c r="E898" t="s">
        <v>68</v>
      </c>
      <c r="F898" t="s">
        <v>1910</v>
      </c>
    </row>
    <row r="899" spans="1:6" x14ac:dyDescent="0.25">
      <c r="A899" t="s">
        <v>1911</v>
      </c>
      <c r="B899" t="s">
        <v>65</v>
      </c>
      <c r="C899" t="s">
        <v>66</v>
      </c>
      <c r="D899" t="s">
        <v>67</v>
      </c>
      <c r="E899" t="s">
        <v>68</v>
      </c>
      <c r="F899" t="s">
        <v>1912</v>
      </c>
    </row>
    <row r="900" spans="1:6" x14ac:dyDescent="0.25">
      <c r="A900" t="s">
        <v>1913</v>
      </c>
      <c r="B900" t="s">
        <v>93</v>
      </c>
      <c r="C900" t="s">
        <v>94</v>
      </c>
      <c r="D900" t="s">
        <v>95</v>
      </c>
      <c r="E900" t="s">
        <v>96</v>
      </c>
      <c r="F900" t="s">
        <v>1914</v>
      </c>
    </row>
    <row r="901" spans="1:6" x14ac:dyDescent="0.25">
      <c r="A901" t="s">
        <v>1915</v>
      </c>
      <c r="B901" t="s">
        <v>229</v>
      </c>
      <c r="C901" t="s">
        <v>230</v>
      </c>
      <c r="D901" t="s">
        <v>231</v>
      </c>
      <c r="E901" t="s">
        <v>232</v>
      </c>
      <c r="F901" t="s">
        <v>1916</v>
      </c>
    </row>
    <row r="902" spans="1:6" x14ac:dyDescent="0.25">
      <c r="A902" t="s">
        <v>1917</v>
      </c>
      <c r="B902" t="s">
        <v>65</v>
      </c>
      <c r="C902" t="s">
        <v>66</v>
      </c>
      <c r="D902" t="s">
        <v>67</v>
      </c>
      <c r="E902" t="s">
        <v>68</v>
      </c>
      <c r="F902" t="s">
        <v>1918</v>
      </c>
    </row>
    <row r="903" spans="1:6" x14ac:dyDescent="0.25">
      <c r="A903" t="s">
        <v>1919</v>
      </c>
      <c r="B903" t="s">
        <v>93</v>
      </c>
      <c r="C903" t="s">
        <v>94</v>
      </c>
      <c r="D903" t="s">
        <v>95</v>
      </c>
      <c r="E903" t="s">
        <v>96</v>
      </c>
      <c r="F903" t="s">
        <v>1920</v>
      </c>
    </row>
    <row r="904" spans="1:6" x14ac:dyDescent="0.25">
      <c r="A904" t="s">
        <v>1921</v>
      </c>
      <c r="B904" t="s">
        <v>65</v>
      </c>
      <c r="C904" t="s">
        <v>66</v>
      </c>
      <c r="D904" t="s">
        <v>67</v>
      </c>
      <c r="E904" t="s">
        <v>68</v>
      </c>
      <c r="F904" t="s">
        <v>1922</v>
      </c>
    </row>
    <row r="905" spans="1:6" x14ac:dyDescent="0.25">
      <c r="A905" t="s">
        <v>1923</v>
      </c>
      <c r="B905" t="s">
        <v>65</v>
      </c>
      <c r="C905" t="s">
        <v>66</v>
      </c>
      <c r="D905" t="s">
        <v>67</v>
      </c>
      <c r="E905" t="s">
        <v>68</v>
      </c>
      <c r="F905" t="s">
        <v>1924</v>
      </c>
    </row>
    <row r="906" spans="1:6" x14ac:dyDescent="0.25">
      <c r="A906" t="s">
        <v>1925</v>
      </c>
      <c r="B906" t="s">
        <v>25</v>
      </c>
      <c r="C906" t="s">
        <v>26</v>
      </c>
      <c r="D906" t="s">
        <v>27</v>
      </c>
      <c r="E906" t="s">
        <v>28</v>
      </c>
      <c r="F906" t="s">
        <v>1926</v>
      </c>
    </row>
    <row r="907" spans="1:6" x14ac:dyDescent="0.25">
      <c r="A907" t="s">
        <v>1927</v>
      </c>
      <c r="B907" t="s">
        <v>31</v>
      </c>
      <c r="C907" t="s">
        <v>32</v>
      </c>
      <c r="D907" t="s">
        <v>33</v>
      </c>
      <c r="E907" t="s">
        <v>34</v>
      </c>
      <c r="F907" t="s">
        <v>1928</v>
      </c>
    </row>
    <row r="908" spans="1:6" x14ac:dyDescent="0.25">
      <c r="A908" t="s">
        <v>1929</v>
      </c>
      <c r="B908" t="s">
        <v>10</v>
      </c>
      <c r="C908" t="s">
        <v>11</v>
      </c>
      <c r="D908" t="e">
        <v>#VALUE!</v>
      </c>
      <c r="E908" t="e">
        <v>#VALUE!</v>
      </c>
      <c r="F908" t="s">
        <v>1930</v>
      </c>
    </row>
    <row r="909" spans="1:6" x14ac:dyDescent="0.25">
      <c r="A909" t="s">
        <v>1931</v>
      </c>
      <c r="B909" t="s">
        <v>65</v>
      </c>
      <c r="C909" t="s">
        <v>66</v>
      </c>
      <c r="D909" t="s">
        <v>67</v>
      </c>
      <c r="E909" t="s">
        <v>68</v>
      </c>
      <c r="F909" t="s">
        <v>1932</v>
      </c>
    </row>
    <row r="910" spans="1:6" x14ac:dyDescent="0.25">
      <c r="A910" t="s">
        <v>1933</v>
      </c>
      <c r="B910" t="s">
        <v>157</v>
      </c>
      <c r="C910" t="s">
        <v>158</v>
      </c>
      <c r="D910" t="s">
        <v>159</v>
      </c>
      <c r="E910" t="s">
        <v>160</v>
      </c>
      <c r="F910" t="s">
        <v>1934</v>
      </c>
    </row>
    <row r="911" spans="1:6" x14ac:dyDescent="0.25">
      <c r="A911" t="s">
        <v>1935</v>
      </c>
      <c r="B911" t="s">
        <v>93</v>
      </c>
      <c r="C911" t="s">
        <v>94</v>
      </c>
      <c r="D911" t="s">
        <v>95</v>
      </c>
      <c r="E911" t="s">
        <v>96</v>
      </c>
      <c r="F911" t="s">
        <v>1936</v>
      </c>
    </row>
    <row r="912" spans="1:6" x14ac:dyDescent="0.25">
      <c r="A912" t="s">
        <v>1937</v>
      </c>
      <c r="B912" t="s">
        <v>65</v>
      </c>
      <c r="C912" t="s">
        <v>66</v>
      </c>
      <c r="D912" t="s">
        <v>67</v>
      </c>
      <c r="E912" t="s">
        <v>68</v>
      </c>
      <c r="F912" t="e">
        <v>#VALUE!</v>
      </c>
    </row>
    <row r="913" spans="1:6" x14ac:dyDescent="0.25">
      <c r="A913" t="s">
        <v>1938</v>
      </c>
      <c r="B913" t="s">
        <v>65</v>
      </c>
      <c r="C913" t="s">
        <v>66</v>
      </c>
      <c r="D913" t="s">
        <v>67</v>
      </c>
      <c r="E913" t="s">
        <v>68</v>
      </c>
      <c r="F913" t="e">
        <v>#VALUE!</v>
      </c>
    </row>
    <row r="914" spans="1:6" x14ac:dyDescent="0.25">
      <c r="A914" t="s">
        <v>1939</v>
      </c>
      <c r="B914" t="s">
        <v>93</v>
      </c>
      <c r="C914" t="s">
        <v>94</v>
      </c>
      <c r="D914" t="s">
        <v>95</v>
      </c>
      <c r="E914" t="s">
        <v>96</v>
      </c>
      <c r="F914" t="s">
        <v>1940</v>
      </c>
    </row>
    <row r="915" spans="1:6" x14ac:dyDescent="0.25">
      <c r="A915" t="s">
        <v>1941</v>
      </c>
      <c r="B915" t="s">
        <v>93</v>
      </c>
      <c r="C915" t="s">
        <v>94</v>
      </c>
      <c r="D915" t="s">
        <v>95</v>
      </c>
      <c r="E915" t="s">
        <v>96</v>
      </c>
      <c r="F915" t="s">
        <v>1942</v>
      </c>
    </row>
    <row r="916" spans="1:6" x14ac:dyDescent="0.25">
      <c r="A916" t="s">
        <v>1943</v>
      </c>
      <c r="B916" t="s">
        <v>93</v>
      </c>
      <c r="C916" t="s">
        <v>94</v>
      </c>
      <c r="D916" t="s">
        <v>95</v>
      </c>
      <c r="E916" t="s">
        <v>96</v>
      </c>
      <c r="F916" t="s">
        <v>1944</v>
      </c>
    </row>
    <row r="917" spans="1:6" x14ac:dyDescent="0.25">
      <c r="A917" t="s">
        <v>1945</v>
      </c>
      <c r="B917" t="s">
        <v>336</v>
      </c>
      <c r="C917" t="s">
        <v>337</v>
      </c>
      <c r="D917" t="s">
        <v>338</v>
      </c>
      <c r="E917" t="s">
        <v>339</v>
      </c>
      <c r="F917" t="s">
        <v>1946</v>
      </c>
    </row>
    <row r="918" spans="1:6" x14ac:dyDescent="0.25">
      <c r="A918" t="s">
        <v>1947</v>
      </c>
      <c r="B918" t="s">
        <v>20</v>
      </c>
      <c r="C918" t="s">
        <v>21</v>
      </c>
      <c r="D918" t="s">
        <v>22</v>
      </c>
      <c r="E918" t="s">
        <v>23</v>
      </c>
      <c r="F918" t="s">
        <v>1948</v>
      </c>
    </row>
    <row r="919" spans="1:6" x14ac:dyDescent="0.25">
      <c r="A919" t="s">
        <v>1949</v>
      </c>
      <c r="B919" t="s">
        <v>93</v>
      </c>
      <c r="C919" t="s">
        <v>94</v>
      </c>
      <c r="D919" t="s">
        <v>95</v>
      </c>
      <c r="E919" t="s">
        <v>96</v>
      </c>
      <c r="F919" t="s">
        <v>1950</v>
      </c>
    </row>
    <row r="920" spans="1:6" x14ac:dyDescent="0.25">
      <c r="A920" t="s">
        <v>1951</v>
      </c>
      <c r="B920" t="s">
        <v>93</v>
      </c>
      <c r="C920" t="s">
        <v>94</v>
      </c>
      <c r="D920" t="s">
        <v>95</v>
      </c>
      <c r="E920" t="s">
        <v>96</v>
      </c>
      <c r="F920" t="s">
        <v>1952</v>
      </c>
    </row>
    <row r="921" spans="1:6" x14ac:dyDescent="0.25">
      <c r="A921" t="s">
        <v>1953</v>
      </c>
      <c r="B921" t="s">
        <v>10</v>
      </c>
      <c r="C921" t="s">
        <v>11</v>
      </c>
      <c r="D921" t="e">
        <v>#VALUE!</v>
      </c>
      <c r="E921" t="e">
        <v>#VALUE!</v>
      </c>
      <c r="F921" t="s">
        <v>1954</v>
      </c>
    </row>
    <row r="922" spans="1:6" x14ac:dyDescent="0.25">
      <c r="A922" t="s">
        <v>1955</v>
      </c>
      <c r="B922" t="s">
        <v>37</v>
      </c>
      <c r="C922" t="s">
        <v>38</v>
      </c>
      <c r="D922" t="s">
        <v>39</v>
      </c>
      <c r="E922" t="s">
        <v>40</v>
      </c>
      <c r="F922" t="s">
        <v>1956</v>
      </c>
    </row>
    <row r="923" spans="1:6" x14ac:dyDescent="0.25">
      <c r="A923" t="s">
        <v>1957</v>
      </c>
      <c r="B923" t="s">
        <v>65</v>
      </c>
      <c r="C923" t="s">
        <v>66</v>
      </c>
      <c r="D923" t="s">
        <v>67</v>
      </c>
      <c r="E923" t="s">
        <v>68</v>
      </c>
      <c r="F923" t="s">
        <v>1958</v>
      </c>
    </row>
    <row r="924" spans="1:6" x14ac:dyDescent="0.25">
      <c r="A924" t="s">
        <v>1959</v>
      </c>
      <c r="B924" t="s">
        <v>25</v>
      </c>
      <c r="C924" t="s">
        <v>26</v>
      </c>
      <c r="D924" t="s">
        <v>27</v>
      </c>
      <c r="E924" t="s">
        <v>28</v>
      </c>
      <c r="F924" t="s">
        <v>1960</v>
      </c>
    </row>
    <row r="925" spans="1:6" x14ac:dyDescent="0.25">
      <c r="A925" t="s">
        <v>1961</v>
      </c>
      <c r="B925" t="s">
        <v>65</v>
      </c>
      <c r="C925" t="s">
        <v>66</v>
      </c>
      <c r="D925" t="s">
        <v>67</v>
      </c>
      <c r="E925" t="s">
        <v>68</v>
      </c>
      <c r="F925" t="s">
        <v>1962</v>
      </c>
    </row>
    <row r="926" spans="1:6" x14ac:dyDescent="0.25">
      <c r="A926" t="s">
        <v>1963</v>
      </c>
      <c r="B926" t="s">
        <v>65</v>
      </c>
      <c r="C926" t="s">
        <v>66</v>
      </c>
      <c r="D926" t="s">
        <v>67</v>
      </c>
      <c r="E926" t="s">
        <v>68</v>
      </c>
      <c r="F926" t="s">
        <v>1964</v>
      </c>
    </row>
    <row r="927" spans="1:6" x14ac:dyDescent="0.25">
      <c r="A927" t="s">
        <v>1965</v>
      </c>
      <c r="B927" t="s">
        <v>65</v>
      </c>
      <c r="C927" t="s">
        <v>66</v>
      </c>
      <c r="D927" t="s">
        <v>67</v>
      </c>
      <c r="E927" t="s">
        <v>68</v>
      </c>
      <c r="F927" t="e">
        <v>#VALUE!</v>
      </c>
    </row>
    <row r="928" spans="1:6" x14ac:dyDescent="0.25">
      <c r="A928" t="s">
        <v>1966</v>
      </c>
      <c r="B928" t="s">
        <v>31</v>
      </c>
      <c r="C928" t="s">
        <v>32</v>
      </c>
      <c r="D928" t="s">
        <v>33</v>
      </c>
      <c r="E928" t="s">
        <v>34</v>
      </c>
      <c r="F928" t="s">
        <v>1967</v>
      </c>
    </row>
    <row r="929" spans="1:6" x14ac:dyDescent="0.25">
      <c r="A929" t="s">
        <v>1968</v>
      </c>
      <c r="B929" t="s">
        <v>310</v>
      </c>
      <c r="C929" t="s">
        <v>311</v>
      </c>
      <c r="D929" t="s">
        <v>312</v>
      </c>
      <c r="E929" t="s">
        <v>313</v>
      </c>
      <c r="F929" t="s">
        <v>1969</v>
      </c>
    </row>
    <row r="930" spans="1:6" x14ac:dyDescent="0.25">
      <c r="A930" t="s">
        <v>1970</v>
      </c>
      <c r="B930" t="s">
        <v>65</v>
      </c>
      <c r="C930" t="s">
        <v>66</v>
      </c>
      <c r="D930" t="s">
        <v>67</v>
      </c>
      <c r="E930" t="s">
        <v>68</v>
      </c>
      <c r="F930" t="e">
        <v>#VALUE!</v>
      </c>
    </row>
    <row r="931" spans="1:6" x14ac:dyDescent="0.25">
      <c r="A931" t="s">
        <v>1971</v>
      </c>
      <c r="B931" t="s">
        <v>10</v>
      </c>
      <c r="C931" t="s">
        <v>11</v>
      </c>
      <c r="D931" t="e">
        <v>#VALUE!</v>
      </c>
      <c r="E931" t="e">
        <v>#VALUE!</v>
      </c>
      <c r="F931" t="s">
        <v>1972</v>
      </c>
    </row>
    <row r="932" spans="1:6" x14ac:dyDescent="0.25">
      <c r="A932" t="s">
        <v>1973</v>
      </c>
      <c r="B932" t="s">
        <v>65</v>
      </c>
      <c r="C932" t="s">
        <v>66</v>
      </c>
      <c r="D932" t="s">
        <v>67</v>
      </c>
      <c r="E932" t="s">
        <v>68</v>
      </c>
      <c r="F932" t="s">
        <v>1974</v>
      </c>
    </row>
    <row r="933" spans="1:6" x14ac:dyDescent="0.25">
      <c r="A933" t="s">
        <v>1975</v>
      </c>
      <c r="B933" t="s">
        <v>157</v>
      </c>
      <c r="C933" t="s">
        <v>158</v>
      </c>
      <c r="D933" t="s">
        <v>159</v>
      </c>
      <c r="E933" t="s">
        <v>160</v>
      </c>
      <c r="F933" t="s">
        <v>1976</v>
      </c>
    </row>
    <row r="934" spans="1:6" x14ac:dyDescent="0.25">
      <c r="A934" t="s">
        <v>1977</v>
      </c>
      <c r="B934" t="s">
        <v>1161</v>
      </c>
      <c r="C934" t="s">
        <v>1162</v>
      </c>
      <c r="D934" t="s">
        <v>1163</v>
      </c>
      <c r="E934" t="s">
        <v>1164</v>
      </c>
      <c r="F934" t="s">
        <v>1978</v>
      </c>
    </row>
    <row r="935" spans="1:6" x14ac:dyDescent="0.25">
      <c r="A935" t="s">
        <v>1979</v>
      </c>
      <c r="B935" t="s">
        <v>81</v>
      </c>
      <c r="C935" t="s">
        <v>82</v>
      </c>
      <c r="D935" t="s">
        <v>83</v>
      </c>
      <c r="E935" t="s">
        <v>84</v>
      </c>
      <c r="F935" t="s">
        <v>1980</v>
      </c>
    </row>
    <row r="936" spans="1:6" x14ac:dyDescent="0.25">
      <c r="A936" t="s">
        <v>1981</v>
      </c>
      <c r="B936" t="s">
        <v>65</v>
      </c>
      <c r="C936" t="s">
        <v>66</v>
      </c>
      <c r="D936" t="s">
        <v>67</v>
      </c>
      <c r="E936" t="s">
        <v>68</v>
      </c>
      <c r="F936" t="s">
        <v>1982</v>
      </c>
    </row>
    <row r="937" spans="1:6" x14ac:dyDescent="0.25">
      <c r="A937" t="s">
        <v>1983</v>
      </c>
      <c r="B937" t="s">
        <v>65</v>
      </c>
      <c r="C937" t="s">
        <v>66</v>
      </c>
      <c r="D937" t="s">
        <v>67</v>
      </c>
      <c r="E937" t="s">
        <v>68</v>
      </c>
      <c r="F937" t="s">
        <v>1984</v>
      </c>
    </row>
    <row r="938" spans="1:6" x14ac:dyDescent="0.25">
      <c r="A938" t="s">
        <v>1985</v>
      </c>
      <c r="B938" t="s">
        <v>10</v>
      </c>
      <c r="C938" t="s">
        <v>11</v>
      </c>
      <c r="D938" t="e">
        <v>#VALUE!</v>
      </c>
      <c r="E938" t="e">
        <v>#VALUE!</v>
      </c>
      <c r="F938" t="s">
        <v>1986</v>
      </c>
    </row>
    <row r="939" spans="1:6" x14ac:dyDescent="0.25">
      <c r="A939" t="s">
        <v>1987</v>
      </c>
      <c r="B939" t="s">
        <v>20</v>
      </c>
      <c r="C939" t="s">
        <v>21</v>
      </c>
      <c r="D939" t="s">
        <v>22</v>
      </c>
      <c r="E939" t="s">
        <v>23</v>
      </c>
      <c r="F939" t="s">
        <v>1988</v>
      </c>
    </row>
    <row r="940" spans="1:6" x14ac:dyDescent="0.25">
      <c r="A940" t="s">
        <v>1989</v>
      </c>
      <c r="B940" t="s">
        <v>20</v>
      </c>
      <c r="C940" t="s">
        <v>21</v>
      </c>
      <c r="D940" t="s">
        <v>22</v>
      </c>
      <c r="E940" t="s">
        <v>23</v>
      </c>
      <c r="F940" t="s">
        <v>1990</v>
      </c>
    </row>
    <row r="941" spans="1:6" x14ac:dyDescent="0.25">
      <c r="A941" t="s">
        <v>1991</v>
      </c>
      <c r="B941" t="s">
        <v>157</v>
      </c>
      <c r="C941" t="s">
        <v>158</v>
      </c>
      <c r="D941" t="s">
        <v>159</v>
      </c>
      <c r="E941" t="s">
        <v>160</v>
      </c>
      <c r="F941" t="s">
        <v>1992</v>
      </c>
    </row>
    <row r="942" spans="1:6" x14ac:dyDescent="0.25">
      <c r="A942" t="s">
        <v>1993</v>
      </c>
      <c r="B942" t="s">
        <v>93</v>
      </c>
      <c r="C942" t="s">
        <v>94</v>
      </c>
      <c r="D942" t="s">
        <v>95</v>
      </c>
      <c r="E942" t="s">
        <v>96</v>
      </c>
      <c r="F942" t="s">
        <v>1994</v>
      </c>
    </row>
    <row r="943" spans="1:6" x14ac:dyDescent="0.25">
      <c r="A943" t="s">
        <v>1995</v>
      </c>
      <c r="B943" t="s">
        <v>157</v>
      </c>
      <c r="C943" t="s">
        <v>158</v>
      </c>
      <c r="D943" t="s">
        <v>159</v>
      </c>
      <c r="E943" t="s">
        <v>160</v>
      </c>
      <c r="F943" t="s">
        <v>1728</v>
      </c>
    </row>
    <row r="944" spans="1:6" x14ac:dyDescent="0.25">
      <c r="A944" t="s">
        <v>1996</v>
      </c>
      <c r="B944" t="s">
        <v>10</v>
      </c>
      <c r="C944" t="s">
        <v>11</v>
      </c>
      <c r="D944" t="e">
        <v>#VALUE!</v>
      </c>
      <c r="E944" t="e">
        <v>#VALUE!</v>
      </c>
      <c r="F944" t="s">
        <v>1997</v>
      </c>
    </row>
    <row r="945" spans="1:6" x14ac:dyDescent="0.25">
      <c r="A945" t="s">
        <v>1998</v>
      </c>
      <c r="B945" t="s">
        <v>107</v>
      </c>
      <c r="C945" t="s">
        <v>108</v>
      </c>
      <c r="D945" t="s">
        <v>109</v>
      </c>
      <c r="E945" t="s">
        <v>110</v>
      </c>
      <c r="F945" t="s">
        <v>1999</v>
      </c>
    </row>
    <row r="946" spans="1:6" x14ac:dyDescent="0.25">
      <c r="A946" t="s">
        <v>2000</v>
      </c>
      <c r="B946" t="s">
        <v>65</v>
      </c>
      <c r="C946" t="s">
        <v>66</v>
      </c>
      <c r="D946" t="s">
        <v>67</v>
      </c>
      <c r="E946" t="s">
        <v>68</v>
      </c>
      <c r="F946" t="s">
        <v>2001</v>
      </c>
    </row>
    <row r="947" spans="1:6" x14ac:dyDescent="0.25">
      <c r="A947" t="s">
        <v>2002</v>
      </c>
      <c r="B947" t="s">
        <v>65</v>
      </c>
      <c r="C947" t="s">
        <v>66</v>
      </c>
      <c r="D947" t="s">
        <v>67</v>
      </c>
      <c r="E947" t="s">
        <v>68</v>
      </c>
      <c r="F947" t="s">
        <v>2003</v>
      </c>
    </row>
    <row r="948" spans="1:6" x14ac:dyDescent="0.25">
      <c r="A948" t="s">
        <v>2004</v>
      </c>
      <c r="B948" t="s">
        <v>65</v>
      </c>
      <c r="C948" t="s">
        <v>66</v>
      </c>
      <c r="D948" t="s">
        <v>67</v>
      </c>
      <c r="E948" t="s">
        <v>68</v>
      </c>
      <c r="F948" t="s">
        <v>2005</v>
      </c>
    </row>
    <row r="949" spans="1:6" x14ac:dyDescent="0.25">
      <c r="A949" t="s">
        <v>2006</v>
      </c>
      <c r="B949" t="s">
        <v>65</v>
      </c>
      <c r="C949" t="s">
        <v>66</v>
      </c>
      <c r="D949" t="s">
        <v>67</v>
      </c>
      <c r="E949" t="s">
        <v>68</v>
      </c>
      <c r="F949" t="s">
        <v>2007</v>
      </c>
    </row>
    <row r="950" spans="1:6" x14ac:dyDescent="0.25">
      <c r="A950" t="s">
        <v>2008</v>
      </c>
      <c r="B950" t="s">
        <v>31</v>
      </c>
      <c r="C950" t="s">
        <v>32</v>
      </c>
      <c r="D950" t="s">
        <v>33</v>
      </c>
      <c r="E950" t="s">
        <v>34</v>
      </c>
      <c r="F950" t="s">
        <v>2009</v>
      </c>
    </row>
    <row r="951" spans="1:6" x14ac:dyDescent="0.25">
      <c r="A951" t="s">
        <v>2010</v>
      </c>
      <c r="B951" t="s">
        <v>31</v>
      </c>
      <c r="C951" t="s">
        <v>32</v>
      </c>
      <c r="D951" t="s">
        <v>33</v>
      </c>
      <c r="E951" t="s">
        <v>34</v>
      </c>
      <c r="F951" t="s">
        <v>2011</v>
      </c>
    </row>
    <row r="952" spans="1:6" x14ac:dyDescent="0.25">
      <c r="A952" t="s">
        <v>2012</v>
      </c>
      <c r="B952" t="s">
        <v>10</v>
      </c>
      <c r="C952" t="s">
        <v>11</v>
      </c>
      <c r="D952" t="e">
        <v>#VALUE!</v>
      </c>
      <c r="E952" t="e">
        <v>#VALUE!</v>
      </c>
      <c r="F952" t="s">
        <v>2013</v>
      </c>
    </row>
    <row r="953" spans="1:6" x14ac:dyDescent="0.25">
      <c r="A953" t="s">
        <v>2014</v>
      </c>
      <c r="B953" t="s">
        <v>157</v>
      </c>
      <c r="C953" t="s">
        <v>158</v>
      </c>
      <c r="D953" t="s">
        <v>159</v>
      </c>
      <c r="E953" t="s">
        <v>160</v>
      </c>
      <c r="F953" t="s">
        <v>2015</v>
      </c>
    </row>
    <row r="954" spans="1:6" x14ac:dyDescent="0.25">
      <c r="A954" t="s">
        <v>2016</v>
      </c>
      <c r="B954" t="s">
        <v>65</v>
      </c>
      <c r="C954" t="s">
        <v>66</v>
      </c>
      <c r="D954" t="s">
        <v>67</v>
      </c>
      <c r="E954" t="s">
        <v>68</v>
      </c>
      <c r="F954" t="s">
        <v>2017</v>
      </c>
    </row>
    <row r="955" spans="1:6" x14ac:dyDescent="0.25">
      <c r="A955" t="s">
        <v>2018</v>
      </c>
      <c r="B955" t="s">
        <v>157</v>
      </c>
      <c r="C955" t="s">
        <v>158</v>
      </c>
      <c r="D955" t="s">
        <v>159</v>
      </c>
      <c r="E955" t="s">
        <v>160</v>
      </c>
      <c r="F955" t="s">
        <v>2019</v>
      </c>
    </row>
    <row r="956" spans="1:6" x14ac:dyDescent="0.25">
      <c r="A956" t="s">
        <v>2020</v>
      </c>
      <c r="B956" t="s">
        <v>2021</v>
      </c>
      <c r="C956" t="s">
        <v>2022</v>
      </c>
      <c r="D956" t="e">
        <v>#VALUE!</v>
      </c>
      <c r="E956" t="e">
        <v>#VALUE!</v>
      </c>
      <c r="F956" t="s">
        <v>2023</v>
      </c>
    </row>
    <row r="957" spans="1:6" x14ac:dyDescent="0.25">
      <c r="A957" t="s">
        <v>2024</v>
      </c>
      <c r="B957" t="s">
        <v>10</v>
      </c>
      <c r="C957" t="s">
        <v>11</v>
      </c>
      <c r="D957" t="e">
        <v>#VALUE!</v>
      </c>
      <c r="E957" t="e">
        <v>#VALUE!</v>
      </c>
      <c r="F957" t="s">
        <v>2025</v>
      </c>
    </row>
    <row r="958" spans="1:6" x14ac:dyDescent="0.25">
      <c r="A958" t="s">
        <v>2026</v>
      </c>
      <c r="B958" t="s">
        <v>65</v>
      </c>
      <c r="C958" t="s">
        <v>66</v>
      </c>
      <c r="D958" t="s">
        <v>67</v>
      </c>
      <c r="E958" t="s">
        <v>68</v>
      </c>
      <c r="F958" t="s">
        <v>2027</v>
      </c>
    </row>
    <row r="959" spans="1:6" x14ac:dyDescent="0.25">
      <c r="A959" t="s">
        <v>2028</v>
      </c>
      <c r="B959" t="s">
        <v>65</v>
      </c>
      <c r="C959" t="s">
        <v>66</v>
      </c>
      <c r="D959" t="s">
        <v>67</v>
      </c>
      <c r="E959" t="s">
        <v>68</v>
      </c>
      <c r="F959" t="s">
        <v>2029</v>
      </c>
    </row>
    <row r="960" spans="1:6" x14ac:dyDescent="0.25">
      <c r="A960" t="s">
        <v>2030</v>
      </c>
      <c r="B960" t="s">
        <v>65</v>
      </c>
      <c r="C960" t="s">
        <v>66</v>
      </c>
      <c r="D960" t="s">
        <v>67</v>
      </c>
      <c r="E960" t="s">
        <v>68</v>
      </c>
      <c r="F960" t="s">
        <v>2031</v>
      </c>
    </row>
    <row r="961" spans="1:6" x14ac:dyDescent="0.25">
      <c r="A961" t="s">
        <v>2032</v>
      </c>
      <c r="B961" t="s">
        <v>20</v>
      </c>
      <c r="C961" t="s">
        <v>21</v>
      </c>
      <c r="D961" t="s">
        <v>22</v>
      </c>
      <c r="E961" t="s">
        <v>23</v>
      </c>
      <c r="F961" t="s">
        <v>2033</v>
      </c>
    </row>
    <row r="962" spans="1:6" x14ac:dyDescent="0.25">
      <c r="A962" t="s">
        <v>2034</v>
      </c>
      <c r="B962" t="s">
        <v>65</v>
      </c>
      <c r="C962" t="s">
        <v>66</v>
      </c>
      <c r="D962" t="s">
        <v>67</v>
      </c>
      <c r="E962" t="s">
        <v>68</v>
      </c>
      <c r="F962" t="s">
        <v>2035</v>
      </c>
    </row>
    <row r="963" spans="1:6" x14ac:dyDescent="0.25">
      <c r="A963" t="s">
        <v>2036</v>
      </c>
      <c r="B963" t="s">
        <v>65</v>
      </c>
      <c r="C963" t="s">
        <v>66</v>
      </c>
      <c r="D963" t="s">
        <v>67</v>
      </c>
      <c r="E963" t="s">
        <v>68</v>
      </c>
      <c r="F963" t="e">
        <v>#VALUE!</v>
      </c>
    </row>
    <row r="964" spans="1:6" x14ac:dyDescent="0.25">
      <c r="A964" t="s">
        <v>2037</v>
      </c>
      <c r="B964" t="s">
        <v>25</v>
      </c>
      <c r="C964" t="s">
        <v>26</v>
      </c>
      <c r="D964" t="s">
        <v>27</v>
      </c>
      <c r="E964" t="s">
        <v>28</v>
      </c>
      <c r="F964" t="s">
        <v>2038</v>
      </c>
    </row>
    <row r="965" spans="1:6" x14ac:dyDescent="0.25">
      <c r="A965" t="s">
        <v>2039</v>
      </c>
      <c r="B965" t="s">
        <v>31</v>
      </c>
      <c r="C965" t="s">
        <v>32</v>
      </c>
      <c r="D965" t="s">
        <v>33</v>
      </c>
      <c r="E965" t="s">
        <v>34</v>
      </c>
      <c r="F965" t="s">
        <v>2040</v>
      </c>
    </row>
    <row r="966" spans="1:6" x14ac:dyDescent="0.25">
      <c r="A966" t="s">
        <v>2041</v>
      </c>
      <c r="B966" t="s">
        <v>65</v>
      </c>
      <c r="C966" t="s">
        <v>66</v>
      </c>
      <c r="D966" t="s">
        <v>67</v>
      </c>
      <c r="E966" t="s">
        <v>68</v>
      </c>
      <c r="F966" t="s">
        <v>2042</v>
      </c>
    </row>
    <row r="967" spans="1:6" x14ac:dyDescent="0.25">
      <c r="A967" t="s">
        <v>2043</v>
      </c>
      <c r="B967" t="s">
        <v>53</v>
      </c>
      <c r="C967" t="s">
        <v>54</v>
      </c>
      <c r="D967" t="s">
        <v>55</v>
      </c>
      <c r="E967" t="s">
        <v>56</v>
      </c>
      <c r="F967" t="s">
        <v>2044</v>
      </c>
    </row>
    <row r="968" spans="1:6" x14ac:dyDescent="0.25">
      <c r="A968" t="s">
        <v>2045</v>
      </c>
      <c r="B968" t="s">
        <v>25</v>
      </c>
      <c r="C968" t="s">
        <v>26</v>
      </c>
      <c r="D968" t="s">
        <v>27</v>
      </c>
      <c r="E968" t="s">
        <v>28</v>
      </c>
      <c r="F968" t="s">
        <v>2046</v>
      </c>
    </row>
    <row r="969" spans="1:6" x14ac:dyDescent="0.25">
      <c r="A969" t="s">
        <v>2047</v>
      </c>
      <c r="B969" t="s">
        <v>65</v>
      </c>
      <c r="C969" t="s">
        <v>66</v>
      </c>
      <c r="D969" t="s">
        <v>67</v>
      </c>
      <c r="E969" t="s">
        <v>68</v>
      </c>
      <c r="F969" t="s">
        <v>2048</v>
      </c>
    </row>
    <row r="970" spans="1:6" x14ac:dyDescent="0.25">
      <c r="A970" t="s">
        <v>2049</v>
      </c>
      <c r="B970" t="s">
        <v>31</v>
      </c>
      <c r="C970" t="s">
        <v>32</v>
      </c>
      <c r="D970" t="s">
        <v>33</v>
      </c>
      <c r="E970" t="s">
        <v>34</v>
      </c>
      <c r="F970" t="s">
        <v>2050</v>
      </c>
    </row>
    <row r="971" spans="1:6" x14ac:dyDescent="0.25">
      <c r="A971" t="s">
        <v>2051</v>
      </c>
      <c r="B971" t="s">
        <v>65</v>
      </c>
      <c r="C971" t="s">
        <v>66</v>
      </c>
      <c r="D971" t="s">
        <v>67</v>
      </c>
      <c r="E971" t="s">
        <v>68</v>
      </c>
      <c r="F971" t="s">
        <v>2052</v>
      </c>
    </row>
    <row r="972" spans="1:6" x14ac:dyDescent="0.25">
      <c r="A972" t="s">
        <v>2053</v>
      </c>
      <c r="B972" t="s">
        <v>37</v>
      </c>
      <c r="C972" t="s">
        <v>38</v>
      </c>
      <c r="D972" t="s">
        <v>39</v>
      </c>
      <c r="E972" t="s">
        <v>40</v>
      </c>
      <c r="F972" t="s">
        <v>2054</v>
      </c>
    </row>
    <row r="973" spans="1:6" x14ac:dyDescent="0.25">
      <c r="A973" t="s">
        <v>2055</v>
      </c>
      <c r="B973" t="s">
        <v>93</v>
      </c>
      <c r="C973" t="s">
        <v>94</v>
      </c>
      <c r="D973" t="s">
        <v>95</v>
      </c>
      <c r="E973" t="s">
        <v>96</v>
      </c>
      <c r="F973" t="s">
        <v>2056</v>
      </c>
    </row>
    <row r="974" spans="1:6" x14ac:dyDescent="0.25">
      <c r="A974" t="s">
        <v>2057</v>
      </c>
      <c r="B974" t="s">
        <v>25</v>
      </c>
      <c r="C974" t="s">
        <v>26</v>
      </c>
      <c r="D974" t="s">
        <v>27</v>
      </c>
      <c r="E974" t="s">
        <v>28</v>
      </c>
      <c r="F974" t="s">
        <v>2058</v>
      </c>
    </row>
    <row r="975" spans="1:6" x14ac:dyDescent="0.25">
      <c r="A975" t="s">
        <v>2059</v>
      </c>
      <c r="B975" t="s">
        <v>65</v>
      </c>
      <c r="C975" t="s">
        <v>66</v>
      </c>
      <c r="D975" t="s">
        <v>67</v>
      </c>
      <c r="E975" t="s">
        <v>68</v>
      </c>
      <c r="F975" t="s">
        <v>2060</v>
      </c>
    </row>
    <row r="976" spans="1:6" x14ac:dyDescent="0.25">
      <c r="A976" t="s">
        <v>2061</v>
      </c>
      <c r="B976" t="s">
        <v>31</v>
      </c>
      <c r="C976" t="s">
        <v>32</v>
      </c>
      <c r="D976" t="s">
        <v>33</v>
      </c>
      <c r="E976" t="s">
        <v>34</v>
      </c>
      <c r="F976" t="s">
        <v>2062</v>
      </c>
    </row>
    <row r="977" spans="1:6" x14ac:dyDescent="0.25">
      <c r="A977" t="s">
        <v>2063</v>
      </c>
      <c r="B977" t="s">
        <v>31</v>
      </c>
      <c r="C977" t="s">
        <v>32</v>
      </c>
      <c r="D977" t="s">
        <v>33</v>
      </c>
      <c r="E977" t="s">
        <v>34</v>
      </c>
      <c r="F977" t="s">
        <v>2064</v>
      </c>
    </row>
    <row r="978" spans="1:6" x14ac:dyDescent="0.25">
      <c r="A978" t="s">
        <v>2065</v>
      </c>
      <c r="B978" t="s">
        <v>31</v>
      </c>
      <c r="C978" t="s">
        <v>32</v>
      </c>
      <c r="D978" t="s">
        <v>33</v>
      </c>
      <c r="E978" t="s">
        <v>34</v>
      </c>
      <c r="F978" t="s">
        <v>2066</v>
      </c>
    </row>
    <row r="979" spans="1:6" x14ac:dyDescent="0.25">
      <c r="A979" t="s">
        <v>2067</v>
      </c>
      <c r="B979" t="s">
        <v>229</v>
      </c>
      <c r="C979" t="s">
        <v>230</v>
      </c>
      <c r="D979" t="s">
        <v>231</v>
      </c>
      <c r="E979" t="s">
        <v>232</v>
      </c>
      <c r="F979" t="s">
        <v>2068</v>
      </c>
    </row>
    <row r="980" spans="1:6" x14ac:dyDescent="0.25">
      <c r="A980" t="s">
        <v>2069</v>
      </c>
      <c r="B980" t="s">
        <v>37</v>
      </c>
      <c r="C980" t="s">
        <v>38</v>
      </c>
      <c r="D980" t="s">
        <v>39</v>
      </c>
      <c r="E980" t="s">
        <v>40</v>
      </c>
      <c r="F980" t="s">
        <v>2070</v>
      </c>
    </row>
    <row r="981" spans="1:6" x14ac:dyDescent="0.25">
      <c r="A981" t="s">
        <v>2071</v>
      </c>
      <c r="B981" t="s">
        <v>93</v>
      </c>
      <c r="C981" t="s">
        <v>94</v>
      </c>
      <c r="D981" t="s">
        <v>95</v>
      </c>
      <c r="E981" t="s">
        <v>96</v>
      </c>
      <c r="F981" t="s">
        <v>2072</v>
      </c>
    </row>
    <row r="982" spans="1:6" x14ac:dyDescent="0.25">
      <c r="A982" t="s">
        <v>2073</v>
      </c>
      <c r="B982" t="s">
        <v>65</v>
      </c>
      <c r="C982" t="s">
        <v>66</v>
      </c>
      <c r="D982" t="s">
        <v>67</v>
      </c>
      <c r="E982" t="s">
        <v>68</v>
      </c>
      <c r="F982" t="s">
        <v>2074</v>
      </c>
    </row>
    <row r="983" spans="1:6" x14ac:dyDescent="0.25">
      <c r="A983" t="s">
        <v>2075</v>
      </c>
      <c r="B983" t="s">
        <v>20</v>
      </c>
      <c r="C983" t="s">
        <v>21</v>
      </c>
      <c r="D983" t="s">
        <v>22</v>
      </c>
      <c r="E983" t="s">
        <v>23</v>
      </c>
      <c r="F983" t="s">
        <v>2076</v>
      </c>
    </row>
    <row r="984" spans="1:6" x14ac:dyDescent="0.25">
      <c r="A984" t="s">
        <v>2077</v>
      </c>
      <c r="B984" t="s">
        <v>336</v>
      </c>
      <c r="C984" t="s">
        <v>337</v>
      </c>
      <c r="D984" t="s">
        <v>338</v>
      </c>
      <c r="E984" t="s">
        <v>339</v>
      </c>
      <c r="F984" t="s">
        <v>2078</v>
      </c>
    </row>
    <row r="985" spans="1:6" x14ac:dyDescent="0.25">
      <c r="A985" t="s">
        <v>2079</v>
      </c>
      <c r="B985" t="s">
        <v>25</v>
      </c>
      <c r="C985" t="s">
        <v>26</v>
      </c>
      <c r="D985" t="s">
        <v>27</v>
      </c>
      <c r="E985" t="s">
        <v>28</v>
      </c>
      <c r="F985" t="s">
        <v>2080</v>
      </c>
    </row>
    <row r="986" spans="1:6" x14ac:dyDescent="0.25">
      <c r="A986" t="s">
        <v>2081</v>
      </c>
      <c r="B986" t="s">
        <v>31</v>
      </c>
      <c r="C986" t="s">
        <v>32</v>
      </c>
      <c r="D986" t="s">
        <v>33</v>
      </c>
      <c r="E986" t="s">
        <v>34</v>
      </c>
      <c r="F986" t="s">
        <v>2082</v>
      </c>
    </row>
    <row r="987" spans="1:6" x14ac:dyDescent="0.25">
      <c r="A987" t="s">
        <v>2083</v>
      </c>
      <c r="B987" t="s">
        <v>53</v>
      </c>
      <c r="C987" t="s">
        <v>54</v>
      </c>
      <c r="D987" t="s">
        <v>55</v>
      </c>
      <c r="E987" t="s">
        <v>56</v>
      </c>
      <c r="F987" t="s">
        <v>2084</v>
      </c>
    </row>
    <row r="988" spans="1:6" x14ac:dyDescent="0.25">
      <c r="A988" t="s">
        <v>2085</v>
      </c>
      <c r="B988" t="s">
        <v>25</v>
      </c>
      <c r="C988" t="s">
        <v>26</v>
      </c>
      <c r="D988" t="s">
        <v>27</v>
      </c>
      <c r="E988" t="s">
        <v>28</v>
      </c>
      <c r="F988" t="s">
        <v>2086</v>
      </c>
    </row>
    <row r="989" spans="1:6" x14ac:dyDescent="0.25">
      <c r="A989" t="s">
        <v>2087</v>
      </c>
      <c r="B989" t="s">
        <v>65</v>
      </c>
      <c r="C989" t="s">
        <v>66</v>
      </c>
      <c r="D989" t="s">
        <v>67</v>
      </c>
      <c r="E989" t="s">
        <v>68</v>
      </c>
      <c r="F989" t="s">
        <v>2088</v>
      </c>
    </row>
    <row r="990" spans="1:6" x14ac:dyDescent="0.25">
      <c r="A990" t="s">
        <v>2089</v>
      </c>
      <c r="B990" t="s">
        <v>37</v>
      </c>
      <c r="C990" t="s">
        <v>38</v>
      </c>
      <c r="D990" t="s">
        <v>39</v>
      </c>
      <c r="E990" t="s">
        <v>40</v>
      </c>
      <c r="F990" t="s">
        <v>2090</v>
      </c>
    </row>
    <row r="991" spans="1:6" x14ac:dyDescent="0.25">
      <c r="A991" t="s">
        <v>2091</v>
      </c>
      <c r="B991" t="s">
        <v>65</v>
      </c>
      <c r="C991" t="s">
        <v>66</v>
      </c>
      <c r="D991" t="s">
        <v>67</v>
      </c>
      <c r="E991" t="s">
        <v>68</v>
      </c>
      <c r="F991" t="s">
        <v>2092</v>
      </c>
    </row>
    <row r="992" spans="1:6" x14ac:dyDescent="0.25">
      <c r="A992" t="s">
        <v>2093</v>
      </c>
      <c r="B992" t="s">
        <v>31</v>
      </c>
      <c r="C992" t="s">
        <v>32</v>
      </c>
      <c r="D992" t="s">
        <v>33</v>
      </c>
      <c r="E992" t="s">
        <v>34</v>
      </c>
      <c r="F992" t="s">
        <v>2094</v>
      </c>
    </row>
    <row r="993" spans="1:6" x14ac:dyDescent="0.25">
      <c r="A993" t="s">
        <v>2095</v>
      </c>
      <c r="B993" t="s">
        <v>31</v>
      </c>
      <c r="C993" t="s">
        <v>32</v>
      </c>
      <c r="D993" t="s">
        <v>33</v>
      </c>
      <c r="E993" t="s">
        <v>34</v>
      </c>
      <c r="F993" t="s">
        <v>2096</v>
      </c>
    </row>
    <row r="994" spans="1:6" x14ac:dyDescent="0.25">
      <c r="A994" t="s">
        <v>2097</v>
      </c>
      <c r="B994" t="s">
        <v>20</v>
      </c>
      <c r="C994" t="s">
        <v>21</v>
      </c>
      <c r="D994" t="s">
        <v>22</v>
      </c>
      <c r="E994" t="s">
        <v>23</v>
      </c>
      <c r="F994" t="s">
        <v>2098</v>
      </c>
    </row>
    <row r="995" spans="1:6" x14ac:dyDescent="0.25">
      <c r="A995" t="s">
        <v>2099</v>
      </c>
      <c r="B995" t="s">
        <v>65</v>
      </c>
      <c r="C995" t="s">
        <v>66</v>
      </c>
      <c r="D995" t="s">
        <v>67</v>
      </c>
      <c r="E995" t="s">
        <v>68</v>
      </c>
      <c r="F995" t="s">
        <v>2100</v>
      </c>
    </row>
    <row r="996" spans="1:6" x14ac:dyDescent="0.25">
      <c r="A996" t="s">
        <v>2101</v>
      </c>
      <c r="B996" t="s">
        <v>65</v>
      </c>
      <c r="C996" t="s">
        <v>66</v>
      </c>
      <c r="D996" t="s">
        <v>67</v>
      </c>
      <c r="E996" t="s">
        <v>68</v>
      </c>
      <c r="F996" t="s">
        <v>2102</v>
      </c>
    </row>
    <row r="997" spans="1:6" x14ac:dyDescent="0.25">
      <c r="A997" t="s">
        <v>2103</v>
      </c>
      <c r="B997" t="s">
        <v>65</v>
      </c>
      <c r="C997" t="s">
        <v>66</v>
      </c>
      <c r="D997" t="s">
        <v>67</v>
      </c>
      <c r="E997" t="s">
        <v>68</v>
      </c>
      <c r="F997" t="s">
        <v>2104</v>
      </c>
    </row>
    <row r="998" spans="1:6" x14ac:dyDescent="0.25">
      <c r="A998" t="s">
        <v>2105</v>
      </c>
      <c r="B998" t="s">
        <v>37</v>
      </c>
      <c r="C998" t="s">
        <v>38</v>
      </c>
      <c r="D998" t="s">
        <v>39</v>
      </c>
      <c r="E998" t="s">
        <v>40</v>
      </c>
      <c r="F998" t="s">
        <v>2106</v>
      </c>
    </row>
    <row r="999" spans="1:6" x14ac:dyDescent="0.25">
      <c r="A999" t="s">
        <v>2107</v>
      </c>
      <c r="B999" t="s">
        <v>65</v>
      </c>
      <c r="C999" t="s">
        <v>66</v>
      </c>
      <c r="D999" t="s">
        <v>67</v>
      </c>
      <c r="E999" t="s">
        <v>68</v>
      </c>
      <c r="F999" t="s">
        <v>2108</v>
      </c>
    </row>
    <row r="1000" spans="1:6" x14ac:dyDescent="0.25">
      <c r="A1000" t="s">
        <v>2109</v>
      </c>
      <c r="B1000" t="s">
        <v>25</v>
      </c>
      <c r="C1000" t="s">
        <v>26</v>
      </c>
      <c r="D1000" t="s">
        <v>27</v>
      </c>
      <c r="E1000" t="s">
        <v>28</v>
      </c>
      <c r="F1000" t="s">
        <v>2110</v>
      </c>
    </row>
    <row r="1001" spans="1:6" x14ac:dyDescent="0.25">
      <c r="A1001" t="s">
        <v>2111</v>
      </c>
      <c r="B1001" t="s">
        <v>1132</v>
      </c>
      <c r="C1001" t="s">
        <v>1133</v>
      </c>
      <c r="D1001" t="s">
        <v>1134</v>
      </c>
      <c r="E1001" t="s">
        <v>1135</v>
      </c>
      <c r="F1001" t="e">
        <v>#VALUE!</v>
      </c>
    </row>
    <row r="1002" spans="1:6" x14ac:dyDescent="0.25">
      <c r="A1002" t="s">
        <v>2112</v>
      </c>
      <c r="B1002" t="s">
        <v>53</v>
      </c>
      <c r="C1002" t="s">
        <v>54</v>
      </c>
      <c r="D1002" t="s">
        <v>55</v>
      </c>
      <c r="E1002" t="s">
        <v>56</v>
      </c>
      <c r="F1002" t="s">
        <v>758</v>
      </c>
    </row>
    <row r="1003" spans="1:6" x14ac:dyDescent="0.25">
      <c r="A1003" t="s">
        <v>2113</v>
      </c>
      <c r="B1003" t="s">
        <v>93</v>
      </c>
      <c r="C1003" t="s">
        <v>94</v>
      </c>
      <c r="D1003" t="s">
        <v>95</v>
      </c>
      <c r="E1003" t="s">
        <v>96</v>
      </c>
      <c r="F1003" t="s">
        <v>2114</v>
      </c>
    </row>
    <row r="1004" spans="1:6" x14ac:dyDescent="0.25">
      <c r="A1004" t="s">
        <v>2115</v>
      </c>
      <c r="B1004" t="s">
        <v>31</v>
      </c>
      <c r="C1004" t="s">
        <v>32</v>
      </c>
      <c r="D1004" t="s">
        <v>33</v>
      </c>
      <c r="E1004" t="s">
        <v>34</v>
      </c>
      <c r="F1004" t="s">
        <v>2116</v>
      </c>
    </row>
    <row r="1005" spans="1:6" x14ac:dyDescent="0.25">
      <c r="A1005" t="s">
        <v>2117</v>
      </c>
      <c r="B1005" t="s">
        <v>31</v>
      </c>
      <c r="C1005" t="s">
        <v>32</v>
      </c>
      <c r="D1005" t="s">
        <v>33</v>
      </c>
      <c r="E1005" t="s">
        <v>34</v>
      </c>
      <c r="F1005" t="s">
        <v>2118</v>
      </c>
    </row>
    <row r="1006" spans="1:6" x14ac:dyDescent="0.25">
      <c r="A1006" t="s">
        <v>2119</v>
      </c>
      <c r="B1006" t="s">
        <v>37</v>
      </c>
      <c r="C1006" t="s">
        <v>38</v>
      </c>
      <c r="D1006" t="s">
        <v>39</v>
      </c>
      <c r="E1006" t="s">
        <v>40</v>
      </c>
      <c r="F1006" t="s">
        <v>2120</v>
      </c>
    </row>
    <row r="1007" spans="1:6" x14ac:dyDescent="0.25">
      <c r="A1007" t="s">
        <v>2121</v>
      </c>
      <c r="B1007" t="s">
        <v>53</v>
      </c>
      <c r="C1007" t="s">
        <v>54</v>
      </c>
      <c r="D1007" t="s">
        <v>55</v>
      </c>
      <c r="E1007" t="s">
        <v>56</v>
      </c>
      <c r="F1007" t="s">
        <v>2122</v>
      </c>
    </row>
    <row r="1008" spans="1:6" x14ac:dyDescent="0.25">
      <c r="A1008" t="s">
        <v>2123</v>
      </c>
      <c r="B1008" t="s">
        <v>157</v>
      </c>
      <c r="C1008" t="s">
        <v>158</v>
      </c>
      <c r="D1008" t="s">
        <v>159</v>
      </c>
      <c r="E1008" t="s">
        <v>160</v>
      </c>
      <c r="F1008" t="s">
        <v>1845</v>
      </c>
    </row>
    <row r="1009" spans="1:6" x14ac:dyDescent="0.25">
      <c r="A1009" t="s">
        <v>2124</v>
      </c>
      <c r="B1009" t="s">
        <v>31</v>
      </c>
      <c r="C1009" t="s">
        <v>32</v>
      </c>
      <c r="D1009" t="s">
        <v>33</v>
      </c>
      <c r="E1009" t="s">
        <v>34</v>
      </c>
      <c r="F1009" t="s">
        <v>2125</v>
      </c>
    </row>
    <row r="1010" spans="1:6" x14ac:dyDescent="0.25">
      <c r="A1010" t="s">
        <v>2126</v>
      </c>
      <c r="B1010" t="s">
        <v>65</v>
      </c>
      <c r="C1010" t="s">
        <v>66</v>
      </c>
      <c r="D1010" t="s">
        <v>67</v>
      </c>
      <c r="E1010" t="s">
        <v>68</v>
      </c>
      <c r="F1010" t="s">
        <v>2127</v>
      </c>
    </row>
    <row r="1011" spans="1:6" x14ac:dyDescent="0.25">
      <c r="A1011" t="s">
        <v>2128</v>
      </c>
      <c r="B1011" t="s">
        <v>65</v>
      </c>
      <c r="C1011" t="s">
        <v>66</v>
      </c>
      <c r="D1011" t="s">
        <v>67</v>
      </c>
      <c r="E1011" t="s">
        <v>68</v>
      </c>
      <c r="F1011" t="s">
        <v>2129</v>
      </c>
    </row>
    <row r="1012" spans="1:6" x14ac:dyDescent="0.25">
      <c r="A1012" t="s">
        <v>2130</v>
      </c>
      <c r="B1012" t="s">
        <v>93</v>
      </c>
      <c r="C1012" t="s">
        <v>94</v>
      </c>
      <c r="D1012" t="s">
        <v>95</v>
      </c>
      <c r="E1012" t="s">
        <v>96</v>
      </c>
      <c r="F1012" t="s">
        <v>2131</v>
      </c>
    </row>
    <row r="1013" spans="1:6" x14ac:dyDescent="0.25">
      <c r="A1013" t="s">
        <v>2132</v>
      </c>
      <c r="B1013" t="s">
        <v>20</v>
      </c>
      <c r="C1013" t="s">
        <v>21</v>
      </c>
      <c r="D1013" t="s">
        <v>22</v>
      </c>
      <c r="E1013" t="s">
        <v>23</v>
      </c>
      <c r="F1013" t="s">
        <v>2133</v>
      </c>
    </row>
    <row r="1014" spans="1:6" x14ac:dyDescent="0.25">
      <c r="A1014" t="s">
        <v>2134</v>
      </c>
      <c r="B1014" t="s">
        <v>65</v>
      </c>
      <c r="C1014" t="s">
        <v>66</v>
      </c>
      <c r="D1014" t="s">
        <v>67</v>
      </c>
      <c r="E1014" t="s">
        <v>68</v>
      </c>
      <c r="F1014" t="s">
        <v>2135</v>
      </c>
    </row>
    <row r="1015" spans="1:6" x14ac:dyDescent="0.25">
      <c r="A1015" t="s">
        <v>2136</v>
      </c>
      <c r="B1015" t="s">
        <v>25</v>
      </c>
      <c r="C1015" t="s">
        <v>26</v>
      </c>
      <c r="D1015" t="s">
        <v>27</v>
      </c>
      <c r="E1015" t="s">
        <v>28</v>
      </c>
      <c r="F1015" t="s">
        <v>2137</v>
      </c>
    </row>
    <row r="1016" spans="1:6" x14ac:dyDescent="0.25">
      <c r="A1016" t="s">
        <v>2138</v>
      </c>
      <c r="B1016" t="s">
        <v>37</v>
      </c>
      <c r="C1016" t="s">
        <v>38</v>
      </c>
      <c r="D1016" t="s">
        <v>39</v>
      </c>
      <c r="E1016" t="s">
        <v>40</v>
      </c>
      <c r="F1016" t="s">
        <v>2139</v>
      </c>
    </row>
    <row r="1017" spans="1:6" x14ac:dyDescent="0.25">
      <c r="A1017" t="s">
        <v>2140</v>
      </c>
      <c r="B1017" t="s">
        <v>53</v>
      </c>
      <c r="C1017" t="s">
        <v>54</v>
      </c>
      <c r="D1017" t="s">
        <v>55</v>
      </c>
      <c r="E1017" t="s">
        <v>56</v>
      </c>
      <c r="F1017" t="s">
        <v>2141</v>
      </c>
    </row>
    <row r="1018" spans="1:6" x14ac:dyDescent="0.25">
      <c r="A1018" t="s">
        <v>2142</v>
      </c>
      <c r="B1018" t="s">
        <v>53</v>
      </c>
      <c r="C1018" t="s">
        <v>54</v>
      </c>
      <c r="D1018" t="s">
        <v>55</v>
      </c>
      <c r="E1018" t="s">
        <v>56</v>
      </c>
      <c r="F1018" t="s">
        <v>2143</v>
      </c>
    </row>
    <row r="1019" spans="1:6" x14ac:dyDescent="0.25">
      <c r="A1019" t="s">
        <v>2144</v>
      </c>
      <c r="B1019" t="s">
        <v>25</v>
      </c>
      <c r="C1019" t="s">
        <v>26</v>
      </c>
      <c r="D1019" t="s">
        <v>27</v>
      </c>
      <c r="E1019" t="s">
        <v>28</v>
      </c>
      <c r="F1019" t="s">
        <v>2145</v>
      </c>
    </row>
    <row r="1020" spans="1:6" x14ac:dyDescent="0.25">
      <c r="A1020" t="s">
        <v>2146</v>
      </c>
      <c r="B1020" t="s">
        <v>93</v>
      </c>
      <c r="C1020" t="s">
        <v>94</v>
      </c>
      <c r="D1020" t="s">
        <v>95</v>
      </c>
      <c r="E1020" t="s">
        <v>96</v>
      </c>
      <c r="F1020" t="s">
        <v>2147</v>
      </c>
    </row>
    <row r="1021" spans="1:6" x14ac:dyDescent="0.25">
      <c r="A1021" t="s">
        <v>2148</v>
      </c>
      <c r="B1021" t="s">
        <v>310</v>
      </c>
      <c r="C1021" t="s">
        <v>311</v>
      </c>
      <c r="D1021" t="s">
        <v>312</v>
      </c>
      <c r="E1021" t="s">
        <v>313</v>
      </c>
      <c r="F1021" t="s">
        <v>2149</v>
      </c>
    </row>
    <row r="1022" spans="1:6" x14ac:dyDescent="0.25">
      <c r="A1022" t="s">
        <v>2150</v>
      </c>
      <c r="B1022" t="s">
        <v>31</v>
      </c>
      <c r="C1022" t="s">
        <v>32</v>
      </c>
      <c r="D1022" t="s">
        <v>33</v>
      </c>
      <c r="E1022" t="s">
        <v>34</v>
      </c>
      <c r="F1022" t="s">
        <v>2151</v>
      </c>
    </row>
    <row r="1023" spans="1:6" x14ac:dyDescent="0.25">
      <c r="A1023" t="s">
        <v>2152</v>
      </c>
      <c r="B1023" t="s">
        <v>31</v>
      </c>
      <c r="C1023" t="s">
        <v>32</v>
      </c>
      <c r="D1023" t="s">
        <v>33</v>
      </c>
      <c r="E1023" t="s">
        <v>34</v>
      </c>
      <c r="F1023" t="s">
        <v>2153</v>
      </c>
    </row>
    <row r="1024" spans="1:6" x14ac:dyDescent="0.25">
      <c r="A1024" t="s">
        <v>2154</v>
      </c>
      <c r="B1024" t="s">
        <v>53</v>
      </c>
      <c r="C1024" t="s">
        <v>54</v>
      </c>
      <c r="D1024" t="s">
        <v>55</v>
      </c>
      <c r="E1024" t="s">
        <v>56</v>
      </c>
      <c r="F1024" t="s">
        <v>2155</v>
      </c>
    </row>
    <row r="1025" spans="1:6" x14ac:dyDescent="0.25">
      <c r="A1025" t="s">
        <v>2156</v>
      </c>
      <c r="B1025" t="s">
        <v>31</v>
      </c>
      <c r="C1025" t="s">
        <v>32</v>
      </c>
      <c r="D1025" t="s">
        <v>33</v>
      </c>
      <c r="E1025" t="s">
        <v>34</v>
      </c>
      <c r="F1025" t="s">
        <v>2157</v>
      </c>
    </row>
    <row r="1026" spans="1:6" x14ac:dyDescent="0.25">
      <c r="A1026" t="s">
        <v>2158</v>
      </c>
      <c r="B1026" t="s">
        <v>31</v>
      </c>
      <c r="C1026" t="s">
        <v>32</v>
      </c>
      <c r="D1026" t="s">
        <v>33</v>
      </c>
      <c r="E1026" t="s">
        <v>34</v>
      </c>
      <c r="F1026" t="s">
        <v>2159</v>
      </c>
    </row>
    <row r="1027" spans="1:6" x14ac:dyDescent="0.25">
      <c r="A1027" t="s">
        <v>2160</v>
      </c>
      <c r="B1027" t="s">
        <v>37</v>
      </c>
      <c r="C1027" t="s">
        <v>38</v>
      </c>
      <c r="D1027" t="s">
        <v>39</v>
      </c>
      <c r="E1027" t="s">
        <v>40</v>
      </c>
      <c r="F1027" t="s">
        <v>2161</v>
      </c>
    </row>
    <row r="1028" spans="1:6" x14ac:dyDescent="0.25">
      <c r="A1028" t="s">
        <v>2162</v>
      </c>
      <c r="B1028" t="s">
        <v>65</v>
      </c>
      <c r="C1028" t="s">
        <v>66</v>
      </c>
      <c r="D1028" t="s">
        <v>67</v>
      </c>
      <c r="E1028" t="s">
        <v>68</v>
      </c>
      <c r="F1028" t="s">
        <v>2163</v>
      </c>
    </row>
    <row r="1029" spans="1:6" x14ac:dyDescent="0.25">
      <c r="A1029" t="s">
        <v>2164</v>
      </c>
      <c r="B1029" t="s">
        <v>93</v>
      </c>
      <c r="C1029" t="s">
        <v>94</v>
      </c>
      <c r="D1029" t="s">
        <v>95</v>
      </c>
      <c r="E1029" t="s">
        <v>96</v>
      </c>
      <c r="F1029" t="s">
        <v>2165</v>
      </c>
    </row>
    <row r="1030" spans="1:6" x14ac:dyDescent="0.25">
      <c r="A1030" t="s">
        <v>2166</v>
      </c>
      <c r="B1030" t="s">
        <v>1332</v>
      </c>
      <c r="C1030" t="s">
        <v>1333</v>
      </c>
      <c r="D1030" t="s">
        <v>1334</v>
      </c>
      <c r="E1030" t="s">
        <v>1335</v>
      </c>
      <c r="F1030" t="s">
        <v>2167</v>
      </c>
    </row>
    <row r="1031" spans="1:6" x14ac:dyDescent="0.25">
      <c r="A1031" t="s">
        <v>2168</v>
      </c>
      <c r="B1031" t="s">
        <v>37</v>
      </c>
      <c r="C1031" t="s">
        <v>38</v>
      </c>
      <c r="D1031" t="s">
        <v>39</v>
      </c>
      <c r="E1031" t="s">
        <v>40</v>
      </c>
      <c r="F1031" t="s">
        <v>2169</v>
      </c>
    </row>
    <row r="1032" spans="1:6" x14ac:dyDescent="0.25">
      <c r="A1032" t="s">
        <v>2170</v>
      </c>
      <c r="B1032" t="s">
        <v>540</v>
      </c>
      <c r="C1032" t="s">
        <v>541</v>
      </c>
      <c r="D1032" t="s">
        <v>542</v>
      </c>
      <c r="E1032" t="s">
        <v>543</v>
      </c>
      <c r="F1032" t="s">
        <v>2171</v>
      </c>
    </row>
    <row r="1033" spans="1:6" x14ac:dyDescent="0.25">
      <c r="A1033" t="s">
        <v>2172</v>
      </c>
      <c r="B1033" t="s">
        <v>53</v>
      </c>
      <c r="C1033" t="s">
        <v>54</v>
      </c>
      <c r="D1033" t="s">
        <v>55</v>
      </c>
      <c r="E1033" t="s">
        <v>56</v>
      </c>
      <c r="F1033" t="s">
        <v>2173</v>
      </c>
    </row>
    <row r="1034" spans="1:6" x14ac:dyDescent="0.25">
      <c r="A1034" t="s">
        <v>2174</v>
      </c>
      <c r="B1034" t="s">
        <v>31</v>
      </c>
      <c r="C1034" t="s">
        <v>32</v>
      </c>
      <c r="D1034" t="s">
        <v>33</v>
      </c>
      <c r="E1034" t="s">
        <v>34</v>
      </c>
      <c r="F1034" t="s">
        <v>2175</v>
      </c>
    </row>
    <row r="1035" spans="1:6" x14ac:dyDescent="0.25">
      <c r="A1035" t="s">
        <v>2176</v>
      </c>
      <c r="B1035" t="s">
        <v>93</v>
      </c>
      <c r="C1035" t="s">
        <v>94</v>
      </c>
      <c r="D1035" t="s">
        <v>95</v>
      </c>
      <c r="E1035" t="s">
        <v>96</v>
      </c>
      <c r="F1035" t="s">
        <v>2177</v>
      </c>
    </row>
    <row r="1036" spans="1:6" x14ac:dyDescent="0.25">
      <c r="A1036" t="s">
        <v>2178</v>
      </c>
      <c r="B1036" t="s">
        <v>37</v>
      </c>
      <c r="C1036" t="s">
        <v>38</v>
      </c>
      <c r="D1036" t="s">
        <v>39</v>
      </c>
      <c r="E1036" t="s">
        <v>40</v>
      </c>
      <c r="F1036" t="s">
        <v>2179</v>
      </c>
    </row>
    <row r="1037" spans="1:6" x14ac:dyDescent="0.25">
      <c r="A1037" t="s">
        <v>2180</v>
      </c>
      <c r="B1037" t="s">
        <v>31</v>
      </c>
      <c r="C1037" t="s">
        <v>32</v>
      </c>
      <c r="D1037" t="s">
        <v>33</v>
      </c>
      <c r="E1037" t="s">
        <v>34</v>
      </c>
      <c r="F1037" t="s">
        <v>1787</v>
      </c>
    </row>
    <row r="1038" spans="1:6" x14ac:dyDescent="0.25">
      <c r="A1038" t="s">
        <v>2181</v>
      </c>
      <c r="B1038" t="s">
        <v>65</v>
      </c>
      <c r="C1038" t="s">
        <v>66</v>
      </c>
      <c r="D1038" t="s">
        <v>67</v>
      </c>
      <c r="E1038" t="s">
        <v>68</v>
      </c>
      <c r="F1038" t="s">
        <v>2182</v>
      </c>
    </row>
    <row r="1039" spans="1:6" x14ac:dyDescent="0.25">
      <c r="A1039" t="s">
        <v>2183</v>
      </c>
      <c r="B1039" t="s">
        <v>65</v>
      </c>
      <c r="C1039" t="s">
        <v>66</v>
      </c>
      <c r="D1039" t="s">
        <v>67</v>
      </c>
      <c r="E1039" t="s">
        <v>68</v>
      </c>
      <c r="F1039" t="s">
        <v>2184</v>
      </c>
    </row>
    <row r="1040" spans="1:6" x14ac:dyDescent="0.25">
      <c r="A1040" t="s">
        <v>2185</v>
      </c>
      <c r="B1040" t="s">
        <v>31</v>
      </c>
      <c r="C1040" t="s">
        <v>32</v>
      </c>
      <c r="D1040" t="s">
        <v>33</v>
      </c>
      <c r="E1040" t="s">
        <v>34</v>
      </c>
      <c r="F1040" t="s">
        <v>2186</v>
      </c>
    </row>
    <row r="1041" spans="1:6" x14ac:dyDescent="0.25">
      <c r="A1041" t="s">
        <v>2187</v>
      </c>
      <c r="B1041" t="s">
        <v>93</v>
      </c>
      <c r="C1041" t="s">
        <v>94</v>
      </c>
      <c r="D1041" t="s">
        <v>95</v>
      </c>
      <c r="E1041" t="s">
        <v>96</v>
      </c>
      <c r="F1041" t="s">
        <v>2188</v>
      </c>
    </row>
    <row r="1042" spans="1:6" x14ac:dyDescent="0.25">
      <c r="A1042" t="s">
        <v>2189</v>
      </c>
      <c r="B1042" t="s">
        <v>65</v>
      </c>
      <c r="C1042" t="s">
        <v>66</v>
      </c>
      <c r="D1042" t="s">
        <v>67</v>
      </c>
      <c r="E1042" t="s">
        <v>68</v>
      </c>
      <c r="F1042" t="s">
        <v>2190</v>
      </c>
    </row>
    <row r="1043" spans="1:6" x14ac:dyDescent="0.25">
      <c r="A1043" t="s">
        <v>2191</v>
      </c>
      <c r="B1043" t="s">
        <v>65</v>
      </c>
      <c r="C1043" t="s">
        <v>66</v>
      </c>
      <c r="D1043" t="s">
        <v>67</v>
      </c>
      <c r="E1043" t="s">
        <v>68</v>
      </c>
      <c r="F1043" t="s">
        <v>2192</v>
      </c>
    </row>
    <row r="1044" spans="1:6" x14ac:dyDescent="0.25">
      <c r="A1044" t="s">
        <v>2193</v>
      </c>
      <c r="B1044" t="s">
        <v>31</v>
      </c>
      <c r="C1044" t="s">
        <v>32</v>
      </c>
      <c r="D1044" t="s">
        <v>33</v>
      </c>
      <c r="E1044" t="s">
        <v>34</v>
      </c>
      <c r="F1044" t="s">
        <v>2194</v>
      </c>
    </row>
    <row r="1045" spans="1:6" x14ac:dyDescent="0.25">
      <c r="A1045" t="s">
        <v>2195</v>
      </c>
      <c r="B1045" t="s">
        <v>169</v>
      </c>
      <c r="C1045" t="s">
        <v>170</v>
      </c>
      <c r="D1045" t="s">
        <v>171</v>
      </c>
      <c r="E1045" t="s">
        <v>172</v>
      </c>
      <c r="F1045" t="e">
        <v>#VALUE!</v>
      </c>
    </row>
    <row r="1046" spans="1:6" x14ac:dyDescent="0.25">
      <c r="A1046" t="s">
        <v>2196</v>
      </c>
      <c r="B1046" t="s">
        <v>37</v>
      </c>
      <c r="C1046" t="s">
        <v>38</v>
      </c>
      <c r="D1046" t="s">
        <v>39</v>
      </c>
      <c r="E1046" t="s">
        <v>40</v>
      </c>
      <c r="F1046" t="s">
        <v>2197</v>
      </c>
    </row>
    <row r="1047" spans="1:6" x14ac:dyDescent="0.25">
      <c r="A1047" t="s">
        <v>2198</v>
      </c>
      <c r="B1047" t="s">
        <v>31</v>
      </c>
      <c r="C1047" t="s">
        <v>32</v>
      </c>
      <c r="D1047" t="s">
        <v>33</v>
      </c>
      <c r="E1047" t="s">
        <v>34</v>
      </c>
      <c r="F1047" t="s">
        <v>2199</v>
      </c>
    </row>
    <row r="1048" spans="1:6" x14ac:dyDescent="0.25">
      <c r="A1048" t="s">
        <v>2200</v>
      </c>
      <c r="B1048" t="s">
        <v>37</v>
      </c>
      <c r="C1048" t="s">
        <v>38</v>
      </c>
      <c r="D1048" t="s">
        <v>39</v>
      </c>
      <c r="E1048" t="s">
        <v>40</v>
      </c>
      <c r="F1048" t="s">
        <v>2201</v>
      </c>
    </row>
    <row r="1049" spans="1:6" x14ac:dyDescent="0.25">
      <c r="A1049" t="s">
        <v>2202</v>
      </c>
      <c r="B1049" t="s">
        <v>53</v>
      </c>
      <c r="C1049" t="s">
        <v>54</v>
      </c>
      <c r="D1049" t="s">
        <v>55</v>
      </c>
      <c r="E1049" t="s">
        <v>56</v>
      </c>
      <c r="F1049" t="s">
        <v>2203</v>
      </c>
    </row>
    <row r="1050" spans="1:6" x14ac:dyDescent="0.25">
      <c r="A1050" t="s">
        <v>2204</v>
      </c>
      <c r="B1050" t="s">
        <v>65</v>
      </c>
      <c r="C1050" t="s">
        <v>66</v>
      </c>
      <c r="D1050" t="s">
        <v>67</v>
      </c>
      <c r="E1050" t="s">
        <v>68</v>
      </c>
      <c r="F1050" t="s">
        <v>2205</v>
      </c>
    </row>
    <row r="1051" spans="1:6" x14ac:dyDescent="0.25">
      <c r="A1051" t="s">
        <v>2206</v>
      </c>
      <c r="B1051" t="s">
        <v>419</v>
      </c>
      <c r="C1051" t="s">
        <v>420</v>
      </c>
      <c r="D1051" t="s">
        <v>421</v>
      </c>
      <c r="E1051" t="s">
        <v>422</v>
      </c>
      <c r="F1051" t="s">
        <v>2207</v>
      </c>
    </row>
    <row r="1052" spans="1:6" x14ac:dyDescent="0.25">
      <c r="A1052" t="s">
        <v>2208</v>
      </c>
      <c r="B1052" t="s">
        <v>53</v>
      </c>
      <c r="C1052" t="s">
        <v>54</v>
      </c>
      <c r="D1052" t="s">
        <v>55</v>
      </c>
      <c r="E1052" t="s">
        <v>56</v>
      </c>
      <c r="F1052" t="s">
        <v>2209</v>
      </c>
    </row>
    <row r="1053" spans="1:6" x14ac:dyDescent="0.25">
      <c r="A1053" t="s">
        <v>2210</v>
      </c>
      <c r="B1053" t="s">
        <v>65</v>
      </c>
      <c r="C1053" t="s">
        <v>66</v>
      </c>
      <c r="D1053" t="s">
        <v>67</v>
      </c>
      <c r="E1053" t="s">
        <v>68</v>
      </c>
      <c r="F1053" t="s">
        <v>2211</v>
      </c>
    </row>
    <row r="1054" spans="1:6" x14ac:dyDescent="0.25">
      <c r="A1054" t="s">
        <v>2212</v>
      </c>
      <c r="B1054" t="s">
        <v>37</v>
      </c>
      <c r="C1054" t="s">
        <v>38</v>
      </c>
      <c r="D1054" t="s">
        <v>39</v>
      </c>
      <c r="E1054" t="s">
        <v>40</v>
      </c>
      <c r="F1054" t="s">
        <v>2213</v>
      </c>
    </row>
    <row r="1055" spans="1:6" x14ac:dyDescent="0.25">
      <c r="A1055" t="s">
        <v>2214</v>
      </c>
      <c r="B1055" t="s">
        <v>157</v>
      </c>
      <c r="C1055" t="s">
        <v>158</v>
      </c>
      <c r="D1055" t="s">
        <v>159</v>
      </c>
      <c r="E1055" t="s">
        <v>160</v>
      </c>
      <c r="F1055" t="s">
        <v>2215</v>
      </c>
    </row>
    <row r="1056" spans="1:6" x14ac:dyDescent="0.25">
      <c r="A1056" t="s">
        <v>2216</v>
      </c>
      <c r="B1056" t="s">
        <v>65</v>
      </c>
      <c r="C1056" t="s">
        <v>66</v>
      </c>
      <c r="D1056" t="s">
        <v>67</v>
      </c>
      <c r="E1056" t="s">
        <v>68</v>
      </c>
      <c r="F1056" t="s">
        <v>2217</v>
      </c>
    </row>
    <row r="1057" spans="1:6" x14ac:dyDescent="0.25">
      <c r="A1057" t="s">
        <v>2218</v>
      </c>
      <c r="B1057" t="s">
        <v>65</v>
      </c>
      <c r="C1057" t="s">
        <v>66</v>
      </c>
      <c r="D1057" t="s">
        <v>67</v>
      </c>
      <c r="E1057" t="s">
        <v>68</v>
      </c>
      <c r="F1057" t="e">
        <v>#VALUE!</v>
      </c>
    </row>
    <row r="1058" spans="1:6" x14ac:dyDescent="0.25">
      <c r="A1058" t="s">
        <v>2219</v>
      </c>
      <c r="B1058" t="s">
        <v>31</v>
      </c>
      <c r="C1058" t="s">
        <v>32</v>
      </c>
      <c r="D1058" t="s">
        <v>33</v>
      </c>
      <c r="E1058" t="s">
        <v>34</v>
      </c>
      <c r="F1058" t="s">
        <v>2220</v>
      </c>
    </row>
    <row r="1059" spans="1:6" x14ac:dyDescent="0.25">
      <c r="A1059" t="s">
        <v>2221</v>
      </c>
      <c r="B1059" t="s">
        <v>53</v>
      </c>
      <c r="C1059" t="s">
        <v>54</v>
      </c>
      <c r="D1059" t="s">
        <v>55</v>
      </c>
      <c r="E1059" t="s">
        <v>56</v>
      </c>
      <c r="F1059" t="s">
        <v>2222</v>
      </c>
    </row>
    <row r="1060" spans="1:6" x14ac:dyDescent="0.25">
      <c r="A1060" t="s">
        <v>2223</v>
      </c>
      <c r="B1060" t="s">
        <v>65</v>
      </c>
      <c r="C1060" t="s">
        <v>66</v>
      </c>
      <c r="D1060" t="s">
        <v>67</v>
      </c>
      <c r="E1060" t="s">
        <v>68</v>
      </c>
      <c r="F1060" t="s">
        <v>2224</v>
      </c>
    </row>
    <row r="1061" spans="1:6" x14ac:dyDescent="0.25">
      <c r="A1061" t="s">
        <v>2225</v>
      </c>
      <c r="B1061" t="s">
        <v>31</v>
      </c>
      <c r="C1061" t="s">
        <v>32</v>
      </c>
      <c r="D1061" t="s">
        <v>33</v>
      </c>
      <c r="E1061" t="s">
        <v>34</v>
      </c>
      <c r="F1061" t="s">
        <v>2226</v>
      </c>
    </row>
    <row r="1062" spans="1:6" x14ac:dyDescent="0.25">
      <c r="A1062" t="s">
        <v>2227</v>
      </c>
      <c r="B1062" t="s">
        <v>336</v>
      </c>
      <c r="C1062" t="s">
        <v>337</v>
      </c>
      <c r="D1062" t="s">
        <v>338</v>
      </c>
      <c r="E1062" t="s">
        <v>339</v>
      </c>
      <c r="F1062" t="s">
        <v>2228</v>
      </c>
    </row>
    <row r="1063" spans="1:6" x14ac:dyDescent="0.25">
      <c r="A1063" t="s">
        <v>2229</v>
      </c>
      <c r="B1063" t="s">
        <v>14</v>
      </c>
      <c r="C1063" t="s">
        <v>15</v>
      </c>
      <c r="D1063" t="s">
        <v>16</v>
      </c>
      <c r="E1063" t="s">
        <v>17</v>
      </c>
      <c r="F1063" t="s">
        <v>2230</v>
      </c>
    </row>
    <row r="1064" spans="1:6" x14ac:dyDescent="0.25">
      <c r="A1064" t="s">
        <v>2231</v>
      </c>
      <c r="B1064" t="s">
        <v>25</v>
      </c>
      <c r="C1064" t="s">
        <v>26</v>
      </c>
      <c r="D1064" t="s">
        <v>27</v>
      </c>
      <c r="E1064" t="s">
        <v>28</v>
      </c>
      <c r="F1064" t="s">
        <v>2232</v>
      </c>
    </row>
    <row r="1065" spans="1:6" x14ac:dyDescent="0.25">
      <c r="A1065" t="s">
        <v>2233</v>
      </c>
      <c r="B1065" t="s">
        <v>53</v>
      </c>
      <c r="C1065" t="s">
        <v>54</v>
      </c>
      <c r="D1065" t="s">
        <v>55</v>
      </c>
      <c r="E1065" t="s">
        <v>56</v>
      </c>
      <c r="F1065" t="s">
        <v>2234</v>
      </c>
    </row>
    <row r="1066" spans="1:6" x14ac:dyDescent="0.25">
      <c r="A1066" t="s">
        <v>2235</v>
      </c>
      <c r="B1066" t="s">
        <v>37</v>
      </c>
      <c r="C1066" t="s">
        <v>38</v>
      </c>
      <c r="D1066" t="s">
        <v>39</v>
      </c>
      <c r="E1066" t="s">
        <v>40</v>
      </c>
      <c r="F1066" t="s">
        <v>2236</v>
      </c>
    </row>
    <row r="1067" spans="1:6" x14ac:dyDescent="0.25">
      <c r="A1067" t="s">
        <v>2237</v>
      </c>
      <c r="B1067" t="s">
        <v>25</v>
      </c>
      <c r="C1067" t="s">
        <v>26</v>
      </c>
      <c r="D1067" t="s">
        <v>27</v>
      </c>
      <c r="E1067" t="s">
        <v>28</v>
      </c>
      <c r="F1067" t="s">
        <v>2238</v>
      </c>
    </row>
    <row r="1068" spans="1:6" x14ac:dyDescent="0.25">
      <c r="A1068" t="s">
        <v>2239</v>
      </c>
      <c r="B1068" t="s">
        <v>65</v>
      </c>
      <c r="C1068" t="s">
        <v>66</v>
      </c>
      <c r="D1068" t="s">
        <v>67</v>
      </c>
      <c r="E1068" t="s">
        <v>68</v>
      </c>
      <c r="F1068" t="s">
        <v>2240</v>
      </c>
    </row>
    <row r="1069" spans="1:6" x14ac:dyDescent="0.25">
      <c r="A1069" t="s">
        <v>2241</v>
      </c>
      <c r="B1069" t="s">
        <v>93</v>
      </c>
      <c r="C1069" t="s">
        <v>94</v>
      </c>
      <c r="D1069" t="s">
        <v>95</v>
      </c>
      <c r="E1069" t="s">
        <v>96</v>
      </c>
      <c r="F1069" t="s">
        <v>2242</v>
      </c>
    </row>
    <row r="1070" spans="1:6" x14ac:dyDescent="0.25">
      <c r="A1070" t="s">
        <v>2243</v>
      </c>
      <c r="B1070" t="s">
        <v>2244</v>
      </c>
      <c r="C1070" t="s">
        <v>2245</v>
      </c>
      <c r="D1070" t="s">
        <v>2246</v>
      </c>
      <c r="E1070" t="s">
        <v>2247</v>
      </c>
      <c r="F1070" t="s">
        <v>2248</v>
      </c>
    </row>
    <row r="1071" spans="1:6" x14ac:dyDescent="0.25">
      <c r="A1071" t="s">
        <v>2249</v>
      </c>
      <c r="B1071" t="s">
        <v>31</v>
      </c>
      <c r="C1071" t="s">
        <v>32</v>
      </c>
      <c r="D1071" t="s">
        <v>33</v>
      </c>
      <c r="E1071" t="s">
        <v>34</v>
      </c>
      <c r="F1071" t="s">
        <v>2250</v>
      </c>
    </row>
    <row r="1072" spans="1:6" x14ac:dyDescent="0.25">
      <c r="A1072" t="s">
        <v>2251</v>
      </c>
      <c r="B1072" t="s">
        <v>157</v>
      </c>
      <c r="C1072" t="s">
        <v>158</v>
      </c>
      <c r="D1072" t="s">
        <v>159</v>
      </c>
      <c r="E1072" t="s">
        <v>160</v>
      </c>
      <c r="F1072" t="s">
        <v>2252</v>
      </c>
    </row>
    <row r="1073" spans="1:6" x14ac:dyDescent="0.25">
      <c r="A1073" t="s">
        <v>2253</v>
      </c>
      <c r="B1073" t="s">
        <v>31</v>
      </c>
      <c r="C1073" t="s">
        <v>32</v>
      </c>
      <c r="D1073" t="s">
        <v>33</v>
      </c>
      <c r="E1073" t="s">
        <v>34</v>
      </c>
      <c r="F1073" t="s">
        <v>2254</v>
      </c>
    </row>
    <row r="1074" spans="1:6" x14ac:dyDescent="0.25">
      <c r="A1074" t="s">
        <v>2255</v>
      </c>
      <c r="B1074" t="s">
        <v>169</v>
      </c>
      <c r="C1074" t="s">
        <v>170</v>
      </c>
      <c r="D1074" t="s">
        <v>171</v>
      </c>
      <c r="E1074" t="s">
        <v>172</v>
      </c>
      <c r="F1074" t="e">
        <v>#VALUE!</v>
      </c>
    </row>
    <row r="1075" spans="1:6" x14ac:dyDescent="0.25">
      <c r="A1075" t="s">
        <v>2256</v>
      </c>
      <c r="B1075" t="s">
        <v>45</v>
      </c>
      <c r="C1075" t="s">
        <v>46</v>
      </c>
      <c r="D1075" t="s">
        <v>47</v>
      </c>
      <c r="E1075" t="s">
        <v>48</v>
      </c>
      <c r="F1075" t="s">
        <v>2257</v>
      </c>
    </row>
    <row r="1076" spans="1:6" x14ac:dyDescent="0.25">
      <c r="A1076" t="s">
        <v>2258</v>
      </c>
      <c r="B1076" t="s">
        <v>53</v>
      </c>
      <c r="C1076" t="s">
        <v>54</v>
      </c>
      <c r="D1076" t="s">
        <v>55</v>
      </c>
      <c r="E1076" t="s">
        <v>56</v>
      </c>
      <c r="F1076" t="s">
        <v>2259</v>
      </c>
    </row>
    <row r="1077" spans="1:6" x14ac:dyDescent="0.25">
      <c r="A1077" t="s">
        <v>2260</v>
      </c>
      <c r="B1077" t="s">
        <v>93</v>
      </c>
      <c r="C1077" t="s">
        <v>94</v>
      </c>
      <c r="D1077" t="s">
        <v>95</v>
      </c>
      <c r="E1077" t="s">
        <v>96</v>
      </c>
      <c r="F1077" t="s">
        <v>2261</v>
      </c>
    </row>
    <row r="1078" spans="1:6" x14ac:dyDescent="0.25">
      <c r="A1078" t="s">
        <v>2262</v>
      </c>
      <c r="B1078" t="s">
        <v>10</v>
      </c>
      <c r="C1078" t="s">
        <v>11</v>
      </c>
      <c r="D1078" t="e">
        <v>#VALUE!</v>
      </c>
      <c r="E1078" t="e">
        <v>#VALUE!</v>
      </c>
      <c r="F1078" t="s">
        <v>2263</v>
      </c>
    </row>
    <row r="1079" spans="1:6" x14ac:dyDescent="0.25">
      <c r="A1079" t="s">
        <v>2264</v>
      </c>
      <c r="B1079" t="s">
        <v>45</v>
      </c>
      <c r="C1079" t="s">
        <v>46</v>
      </c>
      <c r="D1079" t="s">
        <v>47</v>
      </c>
      <c r="E1079" t="s">
        <v>48</v>
      </c>
      <c r="F1079" t="s">
        <v>2265</v>
      </c>
    </row>
    <row r="1080" spans="1:6" x14ac:dyDescent="0.25">
      <c r="A1080" t="s">
        <v>2266</v>
      </c>
      <c r="B1080" t="s">
        <v>93</v>
      </c>
      <c r="C1080" t="s">
        <v>94</v>
      </c>
      <c r="D1080" t="s">
        <v>95</v>
      </c>
      <c r="E1080" t="s">
        <v>96</v>
      </c>
      <c r="F1080" t="s">
        <v>995</v>
      </c>
    </row>
    <row r="1081" spans="1:6" x14ac:dyDescent="0.25">
      <c r="A1081" t="s">
        <v>2267</v>
      </c>
      <c r="B1081" t="s">
        <v>2268</v>
      </c>
      <c r="C1081" t="s">
        <v>2269</v>
      </c>
      <c r="D1081" t="s">
        <v>2270</v>
      </c>
      <c r="E1081" t="s">
        <v>2271</v>
      </c>
      <c r="F1081" t="s">
        <v>2272</v>
      </c>
    </row>
    <row r="1082" spans="1:6" x14ac:dyDescent="0.25">
      <c r="A1082" t="s">
        <v>2273</v>
      </c>
      <c r="B1082" t="s">
        <v>65</v>
      </c>
      <c r="C1082" t="s">
        <v>66</v>
      </c>
      <c r="D1082" t="s">
        <v>67</v>
      </c>
      <c r="E1082" t="s">
        <v>68</v>
      </c>
      <c r="F1082" t="s">
        <v>2274</v>
      </c>
    </row>
    <row r="1083" spans="1:6" x14ac:dyDescent="0.25">
      <c r="A1083" t="s">
        <v>2275</v>
      </c>
      <c r="B1083" t="s">
        <v>25</v>
      </c>
      <c r="C1083" t="s">
        <v>26</v>
      </c>
      <c r="D1083" t="s">
        <v>27</v>
      </c>
      <c r="E1083" t="s">
        <v>28</v>
      </c>
      <c r="F1083" t="s">
        <v>2276</v>
      </c>
    </row>
    <row r="1084" spans="1:6" x14ac:dyDescent="0.25">
      <c r="A1084" t="s">
        <v>2277</v>
      </c>
      <c r="B1084" t="s">
        <v>169</v>
      </c>
      <c r="C1084" t="s">
        <v>170</v>
      </c>
      <c r="D1084" t="s">
        <v>171</v>
      </c>
      <c r="E1084" t="s">
        <v>172</v>
      </c>
      <c r="F1084" t="e">
        <v>#VALUE!</v>
      </c>
    </row>
    <row r="1085" spans="1:6" x14ac:dyDescent="0.25">
      <c r="A1085" t="s">
        <v>2278</v>
      </c>
      <c r="B1085" t="s">
        <v>93</v>
      </c>
      <c r="C1085" t="s">
        <v>94</v>
      </c>
      <c r="D1085" t="s">
        <v>95</v>
      </c>
      <c r="E1085" t="s">
        <v>96</v>
      </c>
      <c r="F1085" t="s">
        <v>2279</v>
      </c>
    </row>
    <row r="1086" spans="1:6" x14ac:dyDescent="0.25">
      <c r="A1086" t="s">
        <v>2280</v>
      </c>
      <c r="B1086" t="s">
        <v>53</v>
      </c>
      <c r="C1086" t="s">
        <v>54</v>
      </c>
      <c r="D1086" t="s">
        <v>55</v>
      </c>
      <c r="E1086" t="s">
        <v>56</v>
      </c>
      <c r="F1086" t="s">
        <v>61</v>
      </c>
    </row>
    <row r="1087" spans="1:6" x14ac:dyDescent="0.25">
      <c r="A1087" t="s">
        <v>2281</v>
      </c>
      <c r="B1087" t="s">
        <v>53</v>
      </c>
      <c r="C1087" t="s">
        <v>54</v>
      </c>
      <c r="D1087" t="s">
        <v>55</v>
      </c>
      <c r="E1087" t="s">
        <v>56</v>
      </c>
      <c r="F1087" t="s">
        <v>2282</v>
      </c>
    </row>
    <row r="1088" spans="1:6" x14ac:dyDescent="0.25">
      <c r="A1088" t="s">
        <v>2283</v>
      </c>
      <c r="B1088" t="s">
        <v>93</v>
      </c>
      <c r="C1088" t="s">
        <v>94</v>
      </c>
      <c r="D1088" t="s">
        <v>95</v>
      </c>
      <c r="E1088" t="s">
        <v>96</v>
      </c>
      <c r="F1088" t="s">
        <v>2284</v>
      </c>
    </row>
    <row r="1089" spans="1:6" x14ac:dyDescent="0.25">
      <c r="A1089" t="s">
        <v>2285</v>
      </c>
      <c r="B1089" t="s">
        <v>65</v>
      </c>
      <c r="C1089" t="s">
        <v>66</v>
      </c>
      <c r="D1089" t="s">
        <v>67</v>
      </c>
      <c r="E1089" t="s">
        <v>68</v>
      </c>
      <c r="F1089" t="e">
        <v>#VALUE!</v>
      </c>
    </row>
    <row r="1090" spans="1:6" x14ac:dyDescent="0.25">
      <c r="A1090" t="s">
        <v>2286</v>
      </c>
      <c r="B1090" t="s">
        <v>65</v>
      </c>
      <c r="C1090" t="s">
        <v>66</v>
      </c>
      <c r="D1090" t="s">
        <v>67</v>
      </c>
      <c r="E1090" t="s">
        <v>68</v>
      </c>
      <c r="F1090" t="s">
        <v>2287</v>
      </c>
    </row>
    <row r="1091" spans="1:6" x14ac:dyDescent="0.25">
      <c r="A1091" t="s">
        <v>2288</v>
      </c>
      <c r="B1091" t="s">
        <v>2289</v>
      </c>
      <c r="C1091" t="s">
        <v>2290</v>
      </c>
      <c r="D1091" t="s">
        <v>2291</v>
      </c>
      <c r="E1091" t="s">
        <v>2292</v>
      </c>
      <c r="F1091" t="s">
        <v>2293</v>
      </c>
    </row>
    <row r="1092" spans="1:6" x14ac:dyDescent="0.25">
      <c r="A1092" t="s">
        <v>2294</v>
      </c>
      <c r="B1092" t="s">
        <v>10</v>
      </c>
      <c r="C1092" t="s">
        <v>11</v>
      </c>
      <c r="D1092" t="e">
        <v>#VALUE!</v>
      </c>
      <c r="E1092" t="e">
        <v>#VALUE!</v>
      </c>
      <c r="F1092" t="s">
        <v>2295</v>
      </c>
    </row>
    <row r="1093" spans="1:6" x14ac:dyDescent="0.25">
      <c r="A1093" t="s">
        <v>2296</v>
      </c>
      <c r="B1093" t="s">
        <v>53</v>
      </c>
      <c r="C1093" t="s">
        <v>54</v>
      </c>
      <c r="D1093" t="s">
        <v>55</v>
      </c>
      <c r="E1093" t="s">
        <v>56</v>
      </c>
      <c r="F1093" t="s">
        <v>2297</v>
      </c>
    </row>
    <row r="1094" spans="1:6" x14ac:dyDescent="0.25">
      <c r="A1094" t="s">
        <v>2298</v>
      </c>
      <c r="B1094" t="s">
        <v>65</v>
      </c>
      <c r="C1094" t="s">
        <v>66</v>
      </c>
      <c r="D1094" t="s">
        <v>67</v>
      </c>
      <c r="E1094" t="s">
        <v>68</v>
      </c>
      <c r="F1094" t="s">
        <v>2299</v>
      </c>
    </row>
    <row r="1095" spans="1:6" x14ac:dyDescent="0.25">
      <c r="A1095" t="s">
        <v>2300</v>
      </c>
      <c r="B1095" t="s">
        <v>65</v>
      </c>
      <c r="C1095" t="s">
        <v>66</v>
      </c>
      <c r="D1095" t="s">
        <v>67</v>
      </c>
      <c r="E1095" t="s">
        <v>68</v>
      </c>
      <c r="F1095" t="e">
        <v>#VALUE!</v>
      </c>
    </row>
    <row r="1096" spans="1:6" x14ac:dyDescent="0.25">
      <c r="A1096" t="s">
        <v>2301</v>
      </c>
      <c r="B1096" t="s">
        <v>107</v>
      </c>
      <c r="C1096" t="s">
        <v>108</v>
      </c>
      <c r="D1096" t="s">
        <v>109</v>
      </c>
      <c r="E1096" t="s">
        <v>110</v>
      </c>
      <c r="F1096" t="s">
        <v>2302</v>
      </c>
    </row>
    <row r="1097" spans="1:6" x14ac:dyDescent="0.25">
      <c r="A1097" t="s">
        <v>2303</v>
      </c>
      <c r="B1097" t="s">
        <v>53</v>
      </c>
      <c r="C1097" t="s">
        <v>54</v>
      </c>
      <c r="D1097" t="s">
        <v>55</v>
      </c>
      <c r="E1097" t="s">
        <v>56</v>
      </c>
      <c r="F1097" t="s">
        <v>2304</v>
      </c>
    </row>
    <row r="1098" spans="1:6" x14ac:dyDescent="0.25">
      <c r="A1098" t="s">
        <v>2305</v>
      </c>
      <c r="B1098" t="s">
        <v>65</v>
      </c>
      <c r="C1098" t="s">
        <v>66</v>
      </c>
      <c r="D1098" t="s">
        <v>67</v>
      </c>
      <c r="E1098" t="s">
        <v>68</v>
      </c>
      <c r="F1098" t="s">
        <v>2306</v>
      </c>
    </row>
    <row r="1099" spans="1:6" x14ac:dyDescent="0.25">
      <c r="A1099" t="s">
        <v>2307</v>
      </c>
      <c r="B1099" t="s">
        <v>157</v>
      </c>
      <c r="C1099" t="s">
        <v>158</v>
      </c>
      <c r="D1099" t="s">
        <v>159</v>
      </c>
      <c r="E1099" t="s">
        <v>160</v>
      </c>
      <c r="F1099" t="s">
        <v>2308</v>
      </c>
    </row>
    <row r="1100" spans="1:6" x14ac:dyDescent="0.25">
      <c r="A1100" t="s">
        <v>2309</v>
      </c>
      <c r="B1100" t="s">
        <v>93</v>
      </c>
      <c r="C1100" t="s">
        <v>94</v>
      </c>
      <c r="D1100" t="s">
        <v>95</v>
      </c>
      <c r="E1100" t="s">
        <v>96</v>
      </c>
      <c r="F1100" t="s">
        <v>2310</v>
      </c>
    </row>
    <row r="1101" spans="1:6" x14ac:dyDescent="0.25">
      <c r="A1101" t="s">
        <v>2311</v>
      </c>
      <c r="B1101" t="s">
        <v>2021</v>
      </c>
      <c r="C1101" t="s">
        <v>2022</v>
      </c>
      <c r="D1101" t="e">
        <v>#VALUE!</v>
      </c>
      <c r="E1101" t="e">
        <v>#VALUE!</v>
      </c>
      <c r="F1101" t="s">
        <v>2312</v>
      </c>
    </row>
    <row r="1102" spans="1:6" x14ac:dyDescent="0.25">
      <c r="A1102" t="s">
        <v>2313</v>
      </c>
      <c r="B1102" t="s">
        <v>25</v>
      </c>
      <c r="C1102" t="s">
        <v>26</v>
      </c>
      <c r="D1102" t="s">
        <v>27</v>
      </c>
      <c r="E1102" t="s">
        <v>28</v>
      </c>
      <c r="F1102" t="s">
        <v>2314</v>
      </c>
    </row>
    <row r="1103" spans="1:6" x14ac:dyDescent="0.25">
      <c r="A1103" t="s">
        <v>2315</v>
      </c>
      <c r="B1103" t="s">
        <v>10</v>
      </c>
      <c r="C1103" t="s">
        <v>11</v>
      </c>
      <c r="D1103" t="e">
        <v>#VALUE!</v>
      </c>
      <c r="E1103" t="e">
        <v>#VALUE!</v>
      </c>
      <c r="F1103" t="s">
        <v>2316</v>
      </c>
    </row>
    <row r="1104" spans="1:6" x14ac:dyDescent="0.25">
      <c r="A1104" t="s">
        <v>2317</v>
      </c>
      <c r="B1104" t="s">
        <v>310</v>
      </c>
      <c r="C1104" t="s">
        <v>311</v>
      </c>
      <c r="D1104" t="s">
        <v>312</v>
      </c>
      <c r="E1104" t="s">
        <v>313</v>
      </c>
      <c r="F1104" t="s">
        <v>2318</v>
      </c>
    </row>
    <row r="1105" spans="1:6" x14ac:dyDescent="0.25">
      <c r="A1105" t="s">
        <v>2319</v>
      </c>
      <c r="B1105" t="s">
        <v>53</v>
      </c>
      <c r="C1105" t="s">
        <v>54</v>
      </c>
      <c r="D1105" t="s">
        <v>55</v>
      </c>
      <c r="E1105" t="s">
        <v>56</v>
      </c>
      <c r="F1105" t="s">
        <v>2320</v>
      </c>
    </row>
    <row r="1106" spans="1:6" x14ac:dyDescent="0.25">
      <c r="A1106" t="s">
        <v>2321</v>
      </c>
      <c r="B1106" t="s">
        <v>65</v>
      </c>
      <c r="C1106" t="s">
        <v>66</v>
      </c>
      <c r="D1106" t="s">
        <v>67</v>
      </c>
      <c r="E1106" t="s">
        <v>68</v>
      </c>
      <c r="F1106" t="s">
        <v>2322</v>
      </c>
    </row>
    <row r="1107" spans="1:6" x14ac:dyDescent="0.25">
      <c r="A1107" t="s">
        <v>2323</v>
      </c>
      <c r="B1107" t="s">
        <v>25</v>
      </c>
      <c r="C1107" t="s">
        <v>26</v>
      </c>
      <c r="D1107" t="s">
        <v>27</v>
      </c>
      <c r="E1107" t="s">
        <v>28</v>
      </c>
      <c r="F1107" t="s">
        <v>2324</v>
      </c>
    </row>
    <row r="1108" spans="1:6" x14ac:dyDescent="0.25">
      <c r="A1108" t="s">
        <v>2325</v>
      </c>
      <c r="B1108" t="s">
        <v>93</v>
      </c>
      <c r="C1108" t="s">
        <v>94</v>
      </c>
      <c r="D1108" t="s">
        <v>95</v>
      </c>
      <c r="E1108" t="s">
        <v>96</v>
      </c>
      <c r="F1108" t="s">
        <v>119</v>
      </c>
    </row>
    <row r="1109" spans="1:6" x14ac:dyDescent="0.25">
      <c r="A1109" t="s">
        <v>2326</v>
      </c>
      <c r="B1109" t="s">
        <v>394</v>
      </c>
      <c r="C1109" t="s">
        <v>395</v>
      </c>
      <c r="D1109" t="s">
        <v>396</v>
      </c>
      <c r="E1109" t="s">
        <v>397</v>
      </c>
      <c r="F1109" t="s">
        <v>2327</v>
      </c>
    </row>
    <row r="1110" spans="1:6" x14ac:dyDescent="0.25">
      <c r="A1110" t="s">
        <v>2328</v>
      </c>
      <c r="B1110" t="s">
        <v>901</v>
      </c>
      <c r="C1110" t="s">
        <v>902</v>
      </c>
      <c r="D1110" t="e">
        <v>#VALUE!</v>
      </c>
      <c r="E1110" t="e">
        <v>#VALUE!</v>
      </c>
      <c r="F1110" t="s">
        <v>2329</v>
      </c>
    </row>
    <row r="1111" spans="1:6" x14ac:dyDescent="0.25">
      <c r="A1111" t="s">
        <v>2330</v>
      </c>
      <c r="B1111" t="s">
        <v>65</v>
      </c>
      <c r="C1111" t="s">
        <v>66</v>
      </c>
      <c r="D1111" t="s">
        <v>67</v>
      </c>
      <c r="E1111" t="s">
        <v>68</v>
      </c>
      <c r="F1111" t="s">
        <v>2331</v>
      </c>
    </row>
    <row r="1112" spans="1:6" x14ac:dyDescent="0.25">
      <c r="A1112" t="s">
        <v>2332</v>
      </c>
      <c r="B1112" t="s">
        <v>65</v>
      </c>
      <c r="C1112" t="s">
        <v>66</v>
      </c>
      <c r="D1112" t="s">
        <v>67</v>
      </c>
      <c r="E1112" t="s">
        <v>68</v>
      </c>
      <c r="F1112" t="s">
        <v>2333</v>
      </c>
    </row>
    <row r="1113" spans="1:6" x14ac:dyDescent="0.25">
      <c r="A1113" t="s">
        <v>2334</v>
      </c>
      <c r="B1113" t="s">
        <v>65</v>
      </c>
      <c r="C1113" t="s">
        <v>66</v>
      </c>
      <c r="D1113" t="s">
        <v>67</v>
      </c>
      <c r="E1113" t="s">
        <v>68</v>
      </c>
      <c r="F1113" t="s">
        <v>2335</v>
      </c>
    </row>
    <row r="1114" spans="1:6" x14ac:dyDescent="0.25">
      <c r="A1114" t="s">
        <v>2336</v>
      </c>
      <c r="B1114" t="s">
        <v>25</v>
      </c>
      <c r="C1114" t="s">
        <v>26</v>
      </c>
      <c r="D1114" t="s">
        <v>27</v>
      </c>
      <c r="E1114" t="s">
        <v>28</v>
      </c>
      <c r="F1114" t="s">
        <v>2337</v>
      </c>
    </row>
    <row r="1115" spans="1:6" x14ac:dyDescent="0.25">
      <c r="A1115" t="s">
        <v>2338</v>
      </c>
      <c r="B1115" t="s">
        <v>93</v>
      </c>
      <c r="C1115" t="s">
        <v>94</v>
      </c>
      <c r="D1115" t="s">
        <v>95</v>
      </c>
      <c r="E1115" t="s">
        <v>96</v>
      </c>
      <c r="F1115" t="s">
        <v>2339</v>
      </c>
    </row>
    <row r="1116" spans="1:6" x14ac:dyDescent="0.25">
      <c r="A1116" t="s">
        <v>2340</v>
      </c>
      <c r="B1116" t="s">
        <v>31</v>
      </c>
      <c r="C1116" t="s">
        <v>32</v>
      </c>
      <c r="D1116" t="s">
        <v>33</v>
      </c>
      <c r="E1116" t="s">
        <v>34</v>
      </c>
      <c r="F1116" t="s">
        <v>2341</v>
      </c>
    </row>
    <row r="1117" spans="1:6" x14ac:dyDescent="0.25">
      <c r="A1117" t="s">
        <v>2342</v>
      </c>
      <c r="B1117" t="s">
        <v>45</v>
      </c>
      <c r="C1117" t="s">
        <v>46</v>
      </c>
      <c r="D1117" t="s">
        <v>47</v>
      </c>
      <c r="E1117" t="s">
        <v>48</v>
      </c>
      <c r="F1117" t="s">
        <v>2343</v>
      </c>
    </row>
    <row r="1118" spans="1:6" x14ac:dyDescent="0.25">
      <c r="A1118" t="s">
        <v>2344</v>
      </c>
      <c r="B1118" t="s">
        <v>20</v>
      </c>
      <c r="C1118" t="s">
        <v>21</v>
      </c>
      <c r="D1118" t="s">
        <v>22</v>
      </c>
      <c r="E1118" t="s">
        <v>23</v>
      </c>
      <c r="F1118" t="s">
        <v>2345</v>
      </c>
    </row>
    <row r="1119" spans="1:6" x14ac:dyDescent="0.25">
      <c r="A1119" t="s">
        <v>2346</v>
      </c>
      <c r="B1119" t="s">
        <v>25</v>
      </c>
      <c r="C1119" t="s">
        <v>26</v>
      </c>
      <c r="D1119" t="s">
        <v>27</v>
      </c>
      <c r="E1119" t="s">
        <v>28</v>
      </c>
      <c r="F1119" t="s">
        <v>2347</v>
      </c>
    </row>
    <row r="1120" spans="1:6" x14ac:dyDescent="0.25">
      <c r="A1120" t="s">
        <v>2348</v>
      </c>
      <c r="B1120" t="s">
        <v>93</v>
      </c>
      <c r="C1120" t="s">
        <v>94</v>
      </c>
      <c r="D1120" t="s">
        <v>95</v>
      </c>
      <c r="E1120" t="s">
        <v>96</v>
      </c>
      <c r="F1120" t="s">
        <v>2349</v>
      </c>
    </row>
    <row r="1121" spans="1:6" x14ac:dyDescent="0.25">
      <c r="A1121" t="s">
        <v>2350</v>
      </c>
      <c r="B1121" t="s">
        <v>31</v>
      </c>
      <c r="C1121" t="s">
        <v>32</v>
      </c>
      <c r="D1121" t="s">
        <v>33</v>
      </c>
      <c r="E1121" t="s">
        <v>34</v>
      </c>
      <c r="F1121" t="s">
        <v>2351</v>
      </c>
    </row>
    <row r="1122" spans="1:6" x14ac:dyDescent="0.25">
      <c r="A1122" t="s">
        <v>2352</v>
      </c>
      <c r="B1122" t="s">
        <v>65</v>
      </c>
      <c r="C1122" t="s">
        <v>66</v>
      </c>
      <c r="D1122" t="s">
        <v>67</v>
      </c>
      <c r="E1122" t="s">
        <v>68</v>
      </c>
      <c r="F1122" t="s">
        <v>2353</v>
      </c>
    </row>
    <row r="1123" spans="1:6" x14ac:dyDescent="0.25">
      <c r="A1123" t="s">
        <v>2354</v>
      </c>
      <c r="B1123" t="s">
        <v>10</v>
      </c>
      <c r="C1123" t="s">
        <v>11</v>
      </c>
      <c r="D1123" t="e">
        <v>#VALUE!</v>
      </c>
      <c r="E1123" t="e">
        <v>#VALUE!</v>
      </c>
      <c r="F1123" t="s">
        <v>2355</v>
      </c>
    </row>
    <row r="1124" spans="1:6" x14ac:dyDescent="0.25">
      <c r="A1124" t="s">
        <v>2356</v>
      </c>
      <c r="B1124" t="s">
        <v>157</v>
      </c>
      <c r="C1124" t="s">
        <v>158</v>
      </c>
      <c r="D1124" t="s">
        <v>159</v>
      </c>
      <c r="E1124" t="s">
        <v>160</v>
      </c>
      <c r="F1124" t="s">
        <v>2357</v>
      </c>
    </row>
    <row r="1125" spans="1:6" x14ac:dyDescent="0.25">
      <c r="A1125" t="s">
        <v>2358</v>
      </c>
      <c r="B1125" t="s">
        <v>1161</v>
      </c>
      <c r="C1125" t="s">
        <v>1162</v>
      </c>
      <c r="D1125" t="s">
        <v>1163</v>
      </c>
      <c r="E1125" t="s">
        <v>1164</v>
      </c>
      <c r="F1125" t="s">
        <v>2359</v>
      </c>
    </row>
    <row r="1126" spans="1:6" x14ac:dyDescent="0.25">
      <c r="A1126" t="s">
        <v>2360</v>
      </c>
      <c r="B1126" t="s">
        <v>93</v>
      </c>
      <c r="C1126" t="s">
        <v>94</v>
      </c>
      <c r="D1126" t="s">
        <v>95</v>
      </c>
      <c r="E1126" t="s">
        <v>96</v>
      </c>
      <c r="F1126" t="s">
        <v>2361</v>
      </c>
    </row>
    <row r="1127" spans="1:6" x14ac:dyDescent="0.25">
      <c r="A1127" t="s">
        <v>2362</v>
      </c>
      <c r="B1127" t="s">
        <v>65</v>
      </c>
      <c r="C1127" t="s">
        <v>66</v>
      </c>
      <c r="D1127" t="s">
        <v>67</v>
      </c>
      <c r="E1127" t="s">
        <v>68</v>
      </c>
      <c r="F1127" t="s">
        <v>2363</v>
      </c>
    </row>
    <row r="1128" spans="1:6" x14ac:dyDescent="0.25">
      <c r="A1128" t="s">
        <v>2364</v>
      </c>
      <c r="B1128" t="s">
        <v>65</v>
      </c>
      <c r="C1128" t="s">
        <v>66</v>
      </c>
      <c r="D1128" t="s">
        <v>67</v>
      </c>
      <c r="E1128" t="s">
        <v>68</v>
      </c>
      <c r="F1128" t="e">
        <v>#VALUE!</v>
      </c>
    </row>
    <row r="1129" spans="1:6" x14ac:dyDescent="0.25">
      <c r="A1129" t="s">
        <v>2365</v>
      </c>
      <c r="B1129" t="s">
        <v>65</v>
      </c>
      <c r="C1129" t="s">
        <v>66</v>
      </c>
      <c r="D1129" t="s">
        <v>67</v>
      </c>
      <c r="E1129" t="s">
        <v>68</v>
      </c>
      <c r="F1129" t="s">
        <v>2366</v>
      </c>
    </row>
    <row r="1130" spans="1:6" x14ac:dyDescent="0.25">
      <c r="A1130" t="s">
        <v>2367</v>
      </c>
      <c r="B1130" t="s">
        <v>65</v>
      </c>
      <c r="C1130" t="s">
        <v>66</v>
      </c>
      <c r="D1130" t="s">
        <v>67</v>
      </c>
      <c r="E1130" t="s">
        <v>68</v>
      </c>
      <c r="F1130" t="e">
        <v>#VALUE!</v>
      </c>
    </row>
    <row r="1131" spans="1:6" x14ac:dyDescent="0.25">
      <c r="A1131" t="s">
        <v>2368</v>
      </c>
      <c r="B1131" t="s">
        <v>65</v>
      </c>
      <c r="C1131" t="s">
        <v>66</v>
      </c>
      <c r="D1131" t="s">
        <v>67</v>
      </c>
      <c r="E1131" t="s">
        <v>68</v>
      </c>
      <c r="F1131" t="s">
        <v>2369</v>
      </c>
    </row>
    <row r="1132" spans="1:6" x14ac:dyDescent="0.25">
      <c r="A1132" t="s">
        <v>2370</v>
      </c>
      <c r="B1132" t="s">
        <v>1161</v>
      </c>
      <c r="C1132" t="s">
        <v>1162</v>
      </c>
      <c r="D1132" t="s">
        <v>1163</v>
      </c>
      <c r="E1132" t="s">
        <v>1164</v>
      </c>
      <c r="F1132" t="s">
        <v>2371</v>
      </c>
    </row>
    <row r="1133" spans="1:6" x14ac:dyDescent="0.25">
      <c r="A1133" t="s">
        <v>2372</v>
      </c>
      <c r="B1133" t="s">
        <v>37</v>
      </c>
      <c r="C1133" t="s">
        <v>38</v>
      </c>
      <c r="D1133" t="s">
        <v>39</v>
      </c>
      <c r="E1133" t="s">
        <v>40</v>
      </c>
      <c r="F1133" t="s">
        <v>2373</v>
      </c>
    </row>
    <row r="1134" spans="1:6" x14ac:dyDescent="0.25">
      <c r="A1134" t="s">
        <v>2374</v>
      </c>
      <c r="B1134" t="s">
        <v>65</v>
      </c>
      <c r="C1134" t="s">
        <v>66</v>
      </c>
      <c r="D1134" t="s">
        <v>67</v>
      </c>
      <c r="E1134" t="s">
        <v>68</v>
      </c>
      <c r="F1134" t="s">
        <v>2375</v>
      </c>
    </row>
    <row r="1135" spans="1:6" x14ac:dyDescent="0.25">
      <c r="A1135" t="s">
        <v>2376</v>
      </c>
      <c r="B1135" t="s">
        <v>1132</v>
      </c>
      <c r="C1135" t="s">
        <v>1133</v>
      </c>
      <c r="D1135" t="s">
        <v>1134</v>
      </c>
      <c r="E1135" t="s">
        <v>1135</v>
      </c>
      <c r="F1135" t="e">
        <v>#VALUE!</v>
      </c>
    </row>
    <row r="1136" spans="1:6" x14ac:dyDescent="0.25">
      <c r="A1136" t="s">
        <v>2377</v>
      </c>
      <c r="B1136" t="s">
        <v>134</v>
      </c>
      <c r="C1136" t="s">
        <v>135</v>
      </c>
      <c r="D1136" t="e">
        <v>#VALUE!</v>
      </c>
      <c r="E1136" t="e">
        <v>#VALUE!</v>
      </c>
      <c r="F1136" t="s">
        <v>2378</v>
      </c>
    </row>
    <row r="1137" spans="1:6" x14ac:dyDescent="0.25">
      <c r="A1137" t="s">
        <v>2379</v>
      </c>
      <c r="B1137" t="s">
        <v>25</v>
      </c>
      <c r="C1137" t="s">
        <v>26</v>
      </c>
      <c r="D1137" t="s">
        <v>27</v>
      </c>
      <c r="E1137" t="s">
        <v>28</v>
      </c>
      <c r="F1137" t="s">
        <v>2380</v>
      </c>
    </row>
    <row r="1138" spans="1:6" x14ac:dyDescent="0.25">
      <c r="A1138" t="s">
        <v>2381</v>
      </c>
      <c r="B1138" t="s">
        <v>10</v>
      </c>
      <c r="C1138" t="s">
        <v>11</v>
      </c>
      <c r="D1138" t="e">
        <v>#VALUE!</v>
      </c>
      <c r="E1138" t="e">
        <v>#VALUE!</v>
      </c>
      <c r="F1138" t="s">
        <v>2382</v>
      </c>
    </row>
    <row r="1139" spans="1:6" x14ac:dyDescent="0.25">
      <c r="A1139" t="s">
        <v>2383</v>
      </c>
      <c r="B1139" t="s">
        <v>65</v>
      </c>
      <c r="C1139" t="s">
        <v>66</v>
      </c>
      <c r="D1139" t="s">
        <v>67</v>
      </c>
      <c r="E1139" t="s">
        <v>68</v>
      </c>
      <c r="F1139" t="s">
        <v>2384</v>
      </c>
    </row>
    <row r="1140" spans="1:6" x14ac:dyDescent="0.25">
      <c r="A1140" t="s">
        <v>2385</v>
      </c>
      <c r="B1140" t="s">
        <v>45</v>
      </c>
      <c r="C1140" t="s">
        <v>46</v>
      </c>
      <c r="D1140" t="s">
        <v>47</v>
      </c>
      <c r="E1140" t="s">
        <v>48</v>
      </c>
      <c r="F1140" t="s">
        <v>2386</v>
      </c>
    </row>
    <row r="1141" spans="1:6" x14ac:dyDescent="0.25">
      <c r="A1141" t="s">
        <v>2387</v>
      </c>
      <c r="B1141" t="s">
        <v>53</v>
      </c>
      <c r="C1141" t="s">
        <v>54</v>
      </c>
      <c r="D1141" t="s">
        <v>55</v>
      </c>
      <c r="E1141" t="s">
        <v>56</v>
      </c>
      <c r="F1141" t="s">
        <v>2259</v>
      </c>
    </row>
    <row r="1142" spans="1:6" x14ac:dyDescent="0.25">
      <c r="A1142" t="s">
        <v>2388</v>
      </c>
      <c r="B1142" t="s">
        <v>107</v>
      </c>
      <c r="C1142" t="s">
        <v>108</v>
      </c>
      <c r="D1142" t="s">
        <v>109</v>
      </c>
      <c r="E1142" t="s">
        <v>110</v>
      </c>
      <c r="F1142" t="s">
        <v>2389</v>
      </c>
    </row>
    <row r="1143" spans="1:6" x14ac:dyDescent="0.25">
      <c r="A1143" t="s">
        <v>2390</v>
      </c>
      <c r="B1143" t="s">
        <v>31</v>
      </c>
      <c r="C1143" t="s">
        <v>32</v>
      </c>
      <c r="D1143" t="s">
        <v>33</v>
      </c>
      <c r="E1143" t="s">
        <v>34</v>
      </c>
      <c r="F1143" t="s">
        <v>2391</v>
      </c>
    </row>
    <row r="1144" spans="1:6" x14ac:dyDescent="0.25">
      <c r="A1144" t="s">
        <v>2392</v>
      </c>
      <c r="B1144" t="s">
        <v>65</v>
      </c>
      <c r="C1144" t="s">
        <v>66</v>
      </c>
      <c r="D1144" t="s">
        <v>67</v>
      </c>
      <c r="E1144" t="s">
        <v>68</v>
      </c>
      <c r="F1144" t="s">
        <v>2393</v>
      </c>
    </row>
    <row r="1145" spans="1:6" x14ac:dyDescent="0.25">
      <c r="A1145" t="s">
        <v>2394</v>
      </c>
      <c r="B1145" t="s">
        <v>93</v>
      </c>
      <c r="C1145" t="s">
        <v>94</v>
      </c>
      <c r="D1145" t="s">
        <v>95</v>
      </c>
      <c r="E1145" t="s">
        <v>96</v>
      </c>
      <c r="F1145" t="s">
        <v>2395</v>
      </c>
    </row>
    <row r="1146" spans="1:6" x14ac:dyDescent="0.25">
      <c r="A1146" t="s">
        <v>2396</v>
      </c>
      <c r="B1146" t="s">
        <v>53</v>
      </c>
      <c r="C1146" t="s">
        <v>54</v>
      </c>
      <c r="D1146" t="s">
        <v>55</v>
      </c>
      <c r="E1146" t="s">
        <v>56</v>
      </c>
      <c r="F1146" t="s">
        <v>2397</v>
      </c>
    </row>
    <row r="1147" spans="1:6" x14ac:dyDescent="0.25">
      <c r="A1147" t="s">
        <v>2398</v>
      </c>
      <c r="B1147" t="s">
        <v>25</v>
      </c>
      <c r="C1147" t="s">
        <v>26</v>
      </c>
      <c r="D1147" t="s">
        <v>27</v>
      </c>
      <c r="E1147" t="s">
        <v>28</v>
      </c>
      <c r="F1147" t="s">
        <v>2399</v>
      </c>
    </row>
    <row r="1148" spans="1:6" x14ac:dyDescent="0.25">
      <c r="A1148" t="s">
        <v>2400</v>
      </c>
      <c r="B1148" t="s">
        <v>31</v>
      </c>
      <c r="C1148" t="s">
        <v>32</v>
      </c>
      <c r="D1148" t="s">
        <v>33</v>
      </c>
      <c r="E1148" t="s">
        <v>34</v>
      </c>
      <c r="F1148" t="s">
        <v>2401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V i s i t e   g u i d � e   1 "   D e s c r i p t i o n = " V e u i l l e z   d � c r i r e   l a   v i s i t e   g u i d � e   i c i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f e 0 a 4 9 a - c 5 e 1 - 4 6 1 a - 9 9 0 0 - 4 0 c a 0 e 8 7 b 1 6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 3 6 . 6 5 9 2 4 0 4 2 0 3 8 3 8 6 7 < / L a t i t u d e > < L o n g i t u d e > 9 . 0 9 3 2 9 4 2 0 0 6 5 7 7 4 6 6 < / L o n g i t u d e > < R o t a t i o n > 0 < / R o t a t i o n > < P i v o t A n g l e > - 0 . 0 0 8 3 6 4 3 3 9 3 0 6 3 4 5 8 < / P i v o t A n g l e > < D i s t a n c e > 1 . 7 9 9 9 9 9 9 9 9 9 9 9 9 9 9 8 < / D i s t a n c e > < / C a m e r a > < I m a g e > i V B O R w 0 K G g o A A A A N S U h E U g A A A N Q A A A B 1 C A Y A A A A 2 n s 9 T A A A A A X N S R 0 I A r s 4 c 6 Q A A A A R n Q U 1 B A A C x j w v 8 Y Q U A A A A J c E h Z c w A A A o k A A A K J A a 2 A t f E A A D a + S U R B V H h e 7 X 3 3 c 1 z Z l d 7 p h E Y O j Z w J E o E A O E z D O B z m y T P S S i t 5 p J X X q 0 2 y a 8 t V / s E / + T f b / 4 h r 7 f J 6 Q 6 3 K l j Q z 1 J D D n E k w g Q S J D B A 5 x w Y 6 d / t 8 5 7 7 X / d B o B H I w D I 3 + y I s X + r 3 u F + 5 3 T 7 j n n m v 6 3 e V b I U o g g Q Q 2 B G Z t m U A C C W w A T L + / c j s h o R J I Y I O Q k F A J J L C B S B A q g Q Q 2 E K z y 3 U m o f G 8 A z N Z k s q f l k j 2 j h P x + o m B Q l V B o + e s x m U x c + B x u D i 0 W L q Y F c s + P k W t u Q j s i g d c F 0 x + u J g j 1 q p G c m k F Z h d u J / C G a c o I 4 Q S G O X o B Y R I o F R a 6 l x W o x U 0 Y a k X u 2 h + Z n E y R 7 l U g Q 6 h W h t K i I U j P K a X I + Q G l J f p p e I H L 5 i G z m I H l Z I v k C 6 r j 1 E s k I k E h H N L k s L M K s V j M 1 F s z Q w 9 Y u C k D s J f C D g Q l 1 N 0 G o H w j l R Q V U V V Z G H q + P 7 v a a q T j D T 1 Z z g G y W E B P I R N v y f E w g E k I l W U N 0 9 p l d O / P l Y T a b 6 F C V l / q n L Z S Z T D Q 4 Y 6 H D 2 / x 0 s 8 d O R 3 i Z Z L N S I G S j M z f u a 2 c k s J E w f X U t Q a i N x u F d u + j J s I X S b D 5 K s Q a o c 8 x M J 2 v d d L 4 1 S T 4 v y g x Q e l K Q 7 L Y Q l W Q p d c / P B B u Y M V N R V o A m n R Z q G b b K s a s B c i n W y z N K L M D C J P t g u 4 f G n V Z y p I X 4 d 5 X k s l j t d O 1 R G 8 0 6 F 7 U j E / i + S B B q g 4 B K / N l 7 e y g Q 8 N C 3 T y x 0 s s Z F w 3 N m 8 r G d 9 G z E K q R J T Q r R k a 0 e 7 Y y V M c D S 5 S m f s 1 4 k M z H T 7 W y P L Z r F k R E N p f 4 R f c i k 0 l V B v S i V 0 E Y d A x P U 3 j e k n Z H A y y J B q A 3 A 6 Y N 7 y U Z u G p w m G p 0 j l j 4 B l h 4 g k k U 7 Q t l G d Y V + q n R o x l I U j L a T 0 2 O i G 9 1 K m q 0 G E H T R u 9 R + M s K R F q S p h a U 9 I x 8 3 e G U Z T S y z 2 U y 2 J D s 9 7 R m h n q F R O S a B F 4 f p q + t N C U K 9 J P Z s r 6 F Z V w r b Q A H q n 8 K e E J 1 i 1 W 6 R 6 + z V z q Q w S V D N P 6 x f K p m M B N I x 6 z L T 7 V 6 b t r U c x 2 q 8 l M y 2 1 u U O O 3 n Y 7 l o L H 9 Z 7 6 b v W 5 X Z Z V k q Q D m z x E 2 u C g h B f I d R C k C o Y C N C U L 5 M e t z Y n H B g v A d P X C U K 9 M J L t q R R I r a f G w g V q 6 r U I O W o L f F S c 6 a e L 7 f Y l Z I H t I h W X 9 6 3 2 o G / 0 J J H b Z 2 J b S t u x A o 4 z q S 5 3 J M l 3 B t f x 5 v L S Q z T h V M y B J P q I i T 0 0 a 6 b C j C D 5 v W 6 y J y f L f l w y H B o g F b a t V i u Z L S l 0 5 m b C e f E i S E R K v C A y C v a Q 2 1 Z D b r e H H v W b 6 U S 1 i 3 Y U e a k i x 0 8 X 2 i J S q c I B j x 7 a f q 1 / S f b G B j x + U s H X I B M A M g H r I R P g M 0 g y X M e 3 T 5 O Y + A E h p N m W L L + p r l l d J / r E A i y l f D 4 f + X 0 L 9 O m h R r K i 9 z i B d Y E l 1 L 1 1 v p r N D b v N R s H 0 d 8 j j 8 d L e k j m 6 0 5 f K 6 p 2 H V T s b 7 S 3 3 0 k 2 W M E Y c 3 e Y R Z 8 F K Q L 9 T 2 y h b X i y V p h Y 1 3 e s H A q R S / 4 y F n h k 8 h 5 n J I d p V 5 u N r J O q b s t C W X M X m g N 9 P J p Z S k F B h 2 4 r v 3 c V q 7 O U H z + S Y B F a G 6 e s b C U K t h Z 3 V V f R 4 J I u S z R 4 6 V O W R V h 5 u 7 w W u Z A G D m Z G d G q Q S b v 1 L s 1 c X N X 4 + x 8 q 6 w U b 0 O 7 0 M M u w h O r z V S 0 7 n P K W n Z 8 g + p 9 c s + 3 V A W u n q H 5 b w B n p C K X T l / i P t i A R i w f R N g l C r 4 t T + P X T + a Y B O 1 y 6 K O v T H F h u l s u Q B m Y z Y U c w 2 V N b a O t v 0 g p n G u Y C I 6 H x 9 V S h g l X J s 3 i y q H u y 6 W A B 5 j P B 6 P K L + p a W n C 6 l Q h p 0 p 1 N r 5 R J 5 F A s v B h L q f I N Q K + P j g D j r b Q n R s 2 y K 5 u X J d 7 k y T / c r m U M B 6 T k q Q 9 m / x a X u W A / 1 Q L r + J H C k h a h / b W B J B 0 k E i V m Q 6 6 e 5 g J k w h c v N v G W E x h S g Q U v u g / g G z 0 9 O U l Z M j 6 0 a 4 X I u U n J w i 5 N I J 5 n K 5 W O 2 z k t 2 e L K S y 2 p K o u X u I R i Z m 5 f M E I j B 9 c z N B q F j Y V v U O b c l 2 a U Z 6 k F q 6 p 2 n A X a B 9 q g A y N R b 7 l 6 h 4 T o + Z H g x Y p Y 9 o y m l e 1 R n x f W B h I p 2 u W y p p R k b G q L C o Q N z 0 A K T g p Q 6 7 L G v y / d Q x b g 0 T y g j n / L z c Z 2 Z W l r Z H w S i x w u R a X K S M z E y x q x 5 0 D t P Y d I J U R p j O J A i 1 B K g 3 p a U N l G o N U F 6 a j y V A U C q b 0 d 7 R J R S k w y l D p W 7 q s y 3 r S P 0 h Y G c h d 6 z G T Y 9 7 Z u m d q i x a 4 E q e n p Z G M y 4 T e e b G y J p W S J k s D R E z C C C M y c N S q z Z n m v w + n x A H k m Y 9 A J G g 9 s G G 0 k m F Z Y g s Z L e Z 6 f n Q K H W M z M n + B I R Q D x K E 0 o C K c m p P N Q V D Q Z p 2 h t h I 9 5 P f 7 6 f z 7 a n a E U v V P b 2 1 b 2 W V r m 8 N e y i d J d Y 7 Z T 5 y s f E / N G u i 3 D Q V k v Q y g L Q p y 3 K L l I j G 8 P A I Z a S n 0 Y g 7 m 7 o n 4 K n D N U e u V Q e I Z Y 0 6 f 3 F h g V K Z m E b A j k p K S p J O X n j + g L G R Y S o q K a U Q 7 0 M / l t P l o V t P + + S z z Q 6 z 6 A e J I u W j / d u 5 8 r F E 4 h Y 5 M z l A b r e b L n T E J h P Q N m Y T y b U W m Q B P w C R e t I K M A O 0 u W 6 o m v i i S 3 P 1 L y A S V 7 l G n G v d U X F x E M 7 N z t D U / I C T C J b 9 b 4 a O Z x a U S y R y j b 8 n G x P H w P Q M g C z A / z 9 K H W e l m O w r P B S g o K m a p H S I X H w s S m k M B K n a k L 3 u e m 7 H 8 8 P r J W 4 J P D j S w z e O j e V d Q K k / L k J l G n K l S I Q G Q S S I e D H g + u f 7 H h 3 4 n L 5 N q z m 2 i S + 3 2 m C F B 6 8 G O E h 9 N T U 9 r W w r n 2 + w 0 6 i u V P i 3 E 9 p W U F F N I q / z o K 0 s 1 O c W l b w R U v o m x M W 1 L 3 R 9 I C o k D o C 8 K 0 O 8 f 0 h s k 1 E n F n 0 i H L y Q X 1 M G 6 s n x W A T f W 4 f I 2 Q u r I Z i 9 H d z f S x J y P b G Y / 2 y d + a a k t / A G i x Q F d M q 0 3 O m E l X G p P o l s 9 S U w s b c c L Y m e J X 6 I c n P M L 2 p 4 I q n I D 0 p E M Z w j I M j s P h 4 p q B G z J q a w K L o 8 k z y s o k M Y D m J y Y E P V O h 3 7 P e f n 5 s o Q q i H 0 6 0 a a m Z u Q 5 Q R 0 E 2 Z 7 3 P a f t B W k S E 2 h 8 t p u t 8 N O J t X v z l O P 7 d l K S y S O j a K 0 m r j A w O h g 5 a U G W J u Z w x X r d 2 F P u p c K s A D U 1 3 a P D 7 x 3 Q 9 k Y 6 h 2 s K I j F G G A n c O u W g g f 4 B J h f R / T 4 b Z e W W k t c b 6 T w b 1 Q g G 9 / n s 7 K w Q J 8 l u l 5 C j u 8 9 t 4 e c A w C k z O T 5 O 0 5 O T 1 N v 7 n J 6 2 P K P e n l 7 Z P z c 3 R 9 3 d v R K K l Z y a R o f q S v m M p c 9 4 M 5 V N b U N Z r G a y B B b F i 9 U 5 a q L W U U U g O C I e 9 N v e C D K h j w u 2 U H 4 6 4 g L R p x R R q 2 A 7 R Q M O k h Q 2 r 7 L s P m p b 3 E Y X W C p W p f S T a 2 5 S p I m O w u I S t S w p I a s 1 8 p 1 Q + 7 Y 7 J H S e F p x O W c K u y m X C 5 e T m U k V F O d U 3 b K d d u 9 8 R Q m V k Z F B W V g Z V V 2 + j a S Y n n u W B 2 q K Y z 3 s z F C W / N y m O 7 a i i m Z k Z G p z w S N R C 7 4 S F r r Q G 6 W K H U m / e B G z J C 4 i k 1 L F 7 7 y 5 t D V Z M B J N O d c z 2 I i W p e v s G 6 M h W N 9 + H i f I L i y g 3 z y H 7 d R j v D x 2 5 M 5 p d h i V I A k m l H 5 O S m k r z L I n a 2 z u l k x e A W g n b C a Q y a c f l 5 B b K / p G h E S r J X H s 8 V z z C 9 O 3 t R 2 9 G z X n F + G h / n X j x U G n O t p j Y P j J R f X G Q n g 6 r 0 b V v C q L d 3 b g 0 g z Z G c y 4 T 3 X 6 O K H e W S s l B m m X y w W 7 C P W A 8 F L D g n K e 0 9 A x y L S 6 w z e S m u 2 M l m g c w J E 4 G i 9 U q Q b F B 3 l 5 A J 2 8 o S O 3 j y X R o e 7 q c L 6 5 z V g d H R k e p q L C Q x n m Z z 0 s A 3 4 k R v / g O u N W H h o e p u K h I q Y 6 d E a f H Z s G m V P m q S v J p 0 e 2 l m w / 7 q G O U V a m g h y t f p E V + H d h e u H L o k g 5 4 8 K 5 d v c 5 S Q W 1 P L 5 p Z T U U D o L b t r O o d 2 e q V W L 1 T t U q S 9 H R 2 U N N w r q x b r E m i t h 0 p n 5 R t n A g i A F h C 4 o w u p p H L W i B k G h 1 S d h b I N D M 1 R R l a I K 1 O J h / b Z F 6 v T z 7 H u V D 3 0 l N S 5 D N I q t 2 V L B V j P P 9 4 L p t S 5 b O Y 7 I S E K Q d 3 l r H a Z C a / K V W p f J N q s O C r A s K H A E i L 1 t H l n b Q A A l o B D A q 8 1 p V E 7 x 8 9 Q m 1 j V n E c w B U + 4 4 q 8 Q t h U 1 7 u T 6 O 7 t u z Q 1 N U 0 P H z y i q u o a 2 l 8 8 R d O T E 2 x D q d 9 A s O v U x H j Y Y 6 e r c b C V S j I 9 Z P I 5 a W x 0 h G u H i U Y G B + W z b I e D z x m j 8 f F I n j 9 4 + b K y s 8 P P D C R q G s m h o a F h T S U 0 U 2 O J I u F m g e n s n e b X 1 y y / B l R W N F D H S F A c D 9 D / U R l Y 4 a O c 1 B B N v o K w I S P Q q B m H x q 8 1 n C O T V T r Y U 3 q H L d z 4 6 I P C e K z 7 / U y 2 b R 5 u L E y S k g x q I b x 3 W V p 8 H l Q 7 9 C N N M p F y 8 / L F V s r O y a H h w Q H x 6 D l 4 3 / z c L N m T 7 J S e m U l T C 7 w v L V I 1 8 L z 0 O L 7 r 1 2 7 S e 0 c O L f E E R q / j u U L t w / i x x w O b J 9 5 v U 6 l 8 J m 5 x u 1 i t h 2 p i l E S Q U q + a T I C x J V u L T B A m W / O U r o c k L q i / u o Q D m Q A n E 6 K 3 s 5 X u 3 b t P 9 5 o e 8 B 6 T h C J 1 t H f Q r V t 3 5 R i Q a W 5 2 R i Q L C F R c W i Z h R F 6 P W 5 K 0 g E y w L a c m l Z M C j Q 7 I B P v o y Z N n / O y C d O T 9 w 0 s I B O j P 8 0 6 H S z V S / D m k F I b V b y 9 M X f I e 4 r m 8 + l r 0 G m F K 3 y G V A y 9 c L 6 8 D 6 D T O 8 r b J + s i c c l n v L o s a Y B W F D + o 8 1 D J s k d w V O A f D Q K J J 2 D K R T d W 1 1 b R v 3 1 5 6 d 9 8 e 6 S 9 C K F J N b Q 3 t 3 P W O d l S I M r O y p R 8 q I z O L 1 b g J i Z h I z 8 h k 6 Z Q k f V U W J k I o W d l d D x 8 0 C 5 k g b f b s 3 S V q n B H w / u m A m n i g J k X 2 T U 9 N 0 g N W O U 0 m R a r N A n 4 6 B n r F e f F 6 A 2 E 1 z 4 h X S S w E t u 4 q n q X Z 0 S 6 W O H 5 q H l R O g Y K M 1 a + h t W u E E N n T P m a j 7 g n Y e 5 H A W g x s x D 0 c q l x k t c x F 0 9 M z s n / r t i p Z A u n p a b S w s E j P n r X K d n a O c q M n J d u l j w l A 2 B H 6 q m A b 1 R S o c I 7 G H Q 2 y R P / U A u L 6 D I A K C P L A Y Y G O 3 / w C 5 a y A W t j c / I z e e a d R y A R S b c 3 G 9 c Z + L / F U T O f u P n 4 9 z f S r B k s n l 0 u N Q I 2 W T q + S U O + W + y g 3 X a l u u o S B 9 I F K d 6 c 3 S Y Z g x E J 5 T o D q i 5 A I x i 5 D R i 6 0 m q g i 1 0 z V + c v j m C B N o H L p 0 e E 6 d N U N j c r o 8 D D v C V K S P Z l y H L m i n g F D / f 1 U U l 5 O D 1 r 6 a X a s W 8 h w / M R R + Q w A c X Q C A l A / k W T T C P x 2 W 1 s H 1 b K 0 x G 9 6 P B 6 x p T o m l n Y B x C M 2 h Q 1 l 4 k r k 9 U a c E E a 8 S j I B O p n Q f w T A w a D V Z d p X u V z t g x Q 7 V j U n Z A L 0 8 V e H W R r F I h M A a f L d d x e 1 r Q h Q 0 e / f e y D k e d L S x v Z T u d w / h n I I e B 1 k A r I L t 1 D t 9 r o w m a Z Z C g F G M g H I 2 G Q E p B W e 8 z a W j m J n c Q E p s V 4 B h 5 / 2 T u K 1 m M 4 1 x b + E M m f s Y H V n u X R 6 1 W S y s 8 C o y v V L 3 x G A + D s E t R q B B J Z I Z A m A b F D T 4 O 4 2 D t c A c O 2 z M 7 O s u m V r e 5 b i y u V r 0 o m b X 5 B H T u e C x N p B O p 0 8 y Q R B R W f A t W 7 m 9 a 7 O b k p L S 6 O q b V v C w a 7 + o I k m R g b J Z L G Q j c 9 z 5 C q b S k d / b y + V V V b S P 3 3 z k H 5 6 u o G S W X W 8 c P 4 y 2 2 v b q L y 8 j P 5 4 5 h x L v h y 2 5 / Z o 3 j 6 P X E P v n N a J F q d g Q j 2 J e 0 L 5 k r b L S 0 X L i a L j V R M q G n B v p y W F a H + l k h D I h g S V D o B U g v 3 R 2 / O c a u t q Z F 8 0 H t x / J I 6 C W J i f d 1 J G h o p 0 W C 9 u 3 r g j g b d T k 5 N C I N 2 1 P s P E B a m v 9 6 H P i W h v 3 h D l 5 e f R x Q u X q W D 7 a R q c N V M 5 P a b 6 + j r 5 H p C n r b W d 5 m b V W K r 9 B 9 4 V l c / j c d M i t x g j h r 6 z e A M a K G m w 4 r U k 5 z a G V b 3 X T S A j h E g V P g k T u t B u F 3 s K W W e 3 O P x U Q c 0 s k a x s 8 7 m p r A z R 2 8 s B 6 e L 1 e e n 5 8 9 g j Z S G N Q K p Y Q I j R d I x c g A c P 7 Z P I B 5 C p q 3 + a X A t q m M j C 3 C w 3 S P C O y i a 5 r S q 3 R n l F G T W W + F m S e s N k A h b 8 S V R V X S v R E 4 f f O y i N A t 4 F n r + K 6 I / 9 r u K h x G 9 T o W F x U f W l R J P p d Z N r w W u S q A b 0 f + k Z Y 1 H Z a g s D t J 0 r 5 7 d / / I 7 V q G S a m 5 9 X H x r w 1 R / O k I P V q Y M H 9 1 N l Z Q X N s i S 4 d P G K V H o 4 A b C 8 d O H K i h I K r S g 6 s q N x 4 8 b t c D T F t v K c c F a k 0 o o K 6 p p V 6 6 g 0 G L 4 P I M J 8 Z n Z W y k 0 + V 4 c j z U Q Z a X Y 6 e P g A X f j u E h N 7 n h 4 / b h H V E + q k z f x 6 n / 0 P C S Y U P 6 G 4 L V x Z u Y K 9 i R L K C A y J P 1 z l p Z N 1 E a f E Z 5 9 / z B X Q K e F D U K G M O H n q e N g 1 j n v L y s r k 2 + W K y l J t k V s Q D M c w 9 v 3 g v v / w u 6 / o X t N 9 f h 6 x H R n A f M Z + m h g f o 8 H + f m p / 9 l Q G F Y 4 M D c l v J G s O Q z z C g O E x w r 7 y s V S D J M L w j f v 3 H 2 q f q N / N d m T T y M g o 7 d z 5 D m V l Z w m h s k 0 Y Z h / 9 r u K j m M 7 f b 4 n b 5 s K S 2 c C t o 1 e c E U Y p 9 S Y Q K y M 5 J C R a D 5 r u 3 q d 9 + / d q W w q 3 b t 6 l / P x c q t x S w d L h F h 0 9 9 r 6 Q 7 F 7 T P T p x 4 r h I r c H B Q R o c G K K t 1 V W U n Z V F m U y 8 t r Z O 2 r 1 b 7 + R V w P B 8 q J s A H C E A U o u l Z 6 g 4 P B A a U R Q Y c Q w 7 D 0 D G p 8 b s A f 7 + Q X m e 7 + 6 L X B / s 1 Y c P m 8 n j x v 0 F a d f u n e J Z h B 3 V 3 P y Y t m y p p P G A C q K N N 8 Q 1 o f z 2 B q k M r 9 u 7 t x r 0 C r w a U A m d 8 4 t 0 4 O C 7 0 s L D J n H k 5 l C O p p L 9 / n d f 0 / t H D 1 N K S i o X l R P i x v V b E m 9 n B C Q e v I b 3 7 z 0 k S 9 W P x I 5 D 0 p j i r B A 1 P b f K H F d H a s 3 U 2 d 7 G B M w m H 0 v 3 o p I S 6 X v C c H n g 7 L P I O C f T x D 3 6 8 O h S c h q B a 4 D k g p Y w N z c v z 9 3 j 9 d C j h 4 8 p v 3 Y 3 f w F a 9 f h C X K t 8 R i K 9 S S Q y A s P T V 8 N 1 r p R Q l 9 4 7 c p D V q U c 0 O j o m w 8 4 z M 1 n N Y 4 A g B Y X 5 b F M 5 w m S C 2 r f / w D 5 Z N y I l J Y W e 9 / Z R 9 Z 4 T s g 0 7 L o X 5 k W 4 P S g I Z p z + Z z r X a K b u k n l z c E K W x h B o e G q b k 1 F S W i D f l n A + 3 e 1 n a K 7 U x l L f 8 N 4 w o L V W j g o G + v n 5 x U r g X X V R e X k o j z + 7 x 3 t j v 7 W 0 u c e u U s K a V L F H z d L x p x J p Y J S h 3 c n K K 5 m Z m Z d n Z 0 U V j T C Z k N N q z d z e T x q X 6 k d h W q q 2 t o b t 3 7 9 E A q 1 / o U 7 r L K i L s q W i g Q t c 3 1 I n N o w M D K r 9 7 i s r A 1 Y E l B h 7 P / X 4 b 3 R 8 v p m d T e V T C p I C 6 d u j w Y R k 8 e O n S F f q 4 w c 9 V R 5 1 j j C e E B A T Z 9 Q Z s 0 R W Z u z c v T / V j z T s X y O d x i z M l H h G 3 b n M / Z Y V f 7 N u K 3 F w H l V e U s 2 q X T U X F h f T F j z 7 V P i G 6 1 p t F 3 V 0 9 0 p k K 4 N i Z q R k a H h 6 l 4 8 f f Z 3 X r p g w A N A K B r 3 a 7 n Q Y W l w 6 H D 5 q W D 1 d P S U 2 n W Z e J 2 k Z J + q E G + g f p Q d N D O n n y G D 9 f E + 0 o i S S F A a n w n J F S D J J z Y W G B O j u 7 h P Q 6 s r P V M J K M j D Q J z k V H c P Q 7 i 4 c S t y q f 3 / 9 2 k A k v Y T W M j Y 2 J h E h P j 7 j A u d 7 K C N u p 9 M N 0 4 M S n d O d 2 E 2 3 d W k U 7 d j a S W Y s G f + / I Y V E R 0 R c 1 z / Z L F 5 M P j w O V 3 O 9 f e 3 S w j s L 0 k E j F j o 5 O + u y L T y T r E Q Y Z O p K X z h w P 1 3 m W p o b i W m t q q m k v S 1 L V q H F F 0 + K r U l P T w l 5 L U w D X s f z d v c 3 F d O H B s 7 e 3 C V 8 F b k u N e J t 0 O 0 r H 6 y B Z t O O h Y 4 z J s G i i G S 4 N R R 4 q d + B l x A a M + f 6 h c R o M 1 Z P d G p I p Q X F f 5 1 p M Z L W r t M n v V 8 7 Q x M S E Z C T C E H m M 6 g V G R 8 Z Y G m R I f x a k i o 7 o Y R / A e 1 u 9 k t P v E a t 7 M 2 7 M u U t 0 t N o r 1 Q R A j r 8 z 3 3 z L d l G x Z I x F / N 9 C 7 g k m i p 4 x C d m Z l h I V 9 h 3 s O t U 3 5 h M J i Y 5 j E A p R 6 h 7 e D m a r 2 M F 4 g e n C w / g k 1 C J t k x f 5 J r j L 9 + Y P s i q U F e 4 0 N a K l 5 Z l I A E Q 2 o C M W l w j H A J J W H q z y 0 b V O 5 B X X D m Y Y y X m l I y k 8 d U 2 6 z U e V K Q O S s Q j j o N A 5 j M Y E 6 q I u H f A s Y I s 1 T x c x 0 f J k H 7 q r V p o v K h o 9 v Q N U W a F s K g A T E P R M W m j C a a b 3 t y 3 v A m h u f k I 7 d j T I e 4 B U g 1 M E x A K h k G 0 K 6 y F H f N l S p o t x S C h L e h X N z i s v 3 5 t A q B P b 1 H Q x U L s a G + u 1 v R G g Y o F Q l y 9 d l R a c K j 7 T P o m g O t 9 H n e O K k D q p c D f n D N I G 3 r c c m 5 P q C j w y T P 3 k q W N 0 + e I V O v T e I c k b 0 f L k K a 8 f p L S 0 d I l 2 z 4 4 R L b E S F v k n U / m n x s c n p f 9 r P c A 9 Q 7 I F A h E J h b 4 o L B E o 6 3 K 7 K J A Z 8 Q T G A 7 i p Q Q s X X y U Q U k b y 6 y J Q N B D B j f F B s c g E I J I c K t m x E 8 d i k g k o y Y z c i z g B e I m 7 B b l 0 g k H 9 m g 1 k U X J a t g y f W F x 0 U z J L B U i p l t k t 5 M 1 7 j 3 y m d O n E H Z q N J L d c D 0 A m 2 E / X r 9 2 Q h m o 9 g C S 7 e 6 d J 3 g N c + c b X A Z I p L H 9 / b 3 O J y / F Q r G G 8 M T i 0 R a l C e m a h l Q C S r D a B w L 2 B p e o i J J M e m Q 6 A V I i + A G D / o N M 3 L 8 9 B S Z U f S o Y k f G J L y S Y H m 1 2 Y q K 2 h e P 0 P C V L z 3 N k L V F h Y S D / 5 6 Y 9 k s g J E m q 8 H i D R H b C E i N r i J k 3 1 Q / 2 T 2 D z A s x v t 7 m 4 t E f M V b Y U 3 j j Z F O m P g M M W 7 7 9 7 + r 7 V m O 8 + u Y i Q P 5 9 q K B M C D d w T A w b a F 5 N 7 e Q / A A u t F r p C d t R w B G 2 b Z C / T 8 f V r v V n d E U w K 9 T Q i U l W 8 w r y w h 3 H + X l 5 3 G i t L a V 0 d f v W r T t q O D 6 v 4 x 8 k J t Z F 9 W N d M v r 9 v c 0 l L l U + z P H 0 J g H B o e h U X Q l 6 s C k c c e U v M W 8 U S F W W o 8 5 D a j H k 2 z O V f S T b Q G W u P + y e 1 x Z r o p 1 V V K i q G L F b U l x E D Q 3 1 S x q p z M y 1 x 1 r h e B S E Q M F R o m / D S Y E l 8 g C a / Z D c k X f 3 t p d I 0 x V H g C G M F w b o y 9 e J g T 6 V L D I W P D 6 8 C A V c a v 9 M b O L F c n U b g Q B X I y C 9 r m v S q C w b I l t W J f u s H g i r Y 8 E T u Q a o h / g t p B 8 z e i X 1 8 V k 6 E A z b 3 t 6 x o j 1 l f P 4 h f h / b 6 z G Z X Y i a B y w 0 z A 0 M 1 h H N P j e 3 u i r 8 t i E + c 0 q 8 Q b j R k 0 T u / O P a 1 l J 4 M d y 9 c / 0 q m B H 5 G U H K s A c l r 0 R B Z m A Z S Q D E 6 g F w a x u b F Z A P 8 1 R d 5 d 9 G N A T G Z Y F E K L p 6 m F 1 9 M k w K A H n + U l M j E e L w S l Z V b R H 3 t 5 F o R u B 0 I R Q X R E / g f j G w s d d V I f u C g S D 5 P E y o 6 P f 3 F h d W u e P v n w 5 j h T C u v 0 o 4 2 a 6 x p 6 S J K o a E J q j k 8 y w R U M k x Q / t 6 g e v H k A k d 4 / N m 2 p I X l C Q u E / M r q 5 O 3 e 2 0 0 F u N z z K T o Y u l 4 u z d C 6 I J 0 P 9 k m b 8 n 6 0 K S b r l y 5 L u u I 0 d v x T q O s G w H v Z G 5 u L l 2 K 4 a D A 9 U L 1 V k u + d i b g 9 S 4 1 E Q M 8 m v f 6 r K z q s n r O d p b x 3 b 3 1 / y 4 3 t 7 + e m v Y D w h m q k n 6 P N 6 E P S s e O Y j 8 9 G V 4 e s A q k 2 E K 0 r 9 I n K b n y t a x I x v R c K p 8 4 f 5 a f K 6 3 8 i x D x Z V G Y 4 a P K j G k Z R 9 X X N 0 D F x Y V C o F i A e n i r P 5 v S M r L C L n y o g j 5 / g N w e t t 9 C i O z A Y E + v R F j 4 f R 7 y e t 2 U a n Z R c Z q T H F u X k / V t R U L l e 0 k Y I n n W h Z L s g K Q A Q z o w E M X L q k 6 F Q 0 0 s j R A f k E o n E 2 D M d Y c O W 7 j A g e 9 D J q O E W w v 9 T y 7 R B B M Z w b d F R Q W S E O Z x c w u d + e Y s T U x o s 3 e E E R I y A Y j y a B 9 T E 9 d d a L P R x T Y L n W / F 5 H X c u I l t G 5 T p c r A + s 8 j S K s Q t R P T 7 e 4 u L 6 f L j j r i T U A s s o e C S f V M k F C Y E w P M 2 4 q v f f 0 1 f / P h z b W t 1 w H 0 N I P s r s J a D Y i N Q 4 5 i n k h x i a e K n k Z E R 2 r Z t q / a J i u x o b + u k H E c 2 t T 5 t o 8 Z 3 G m h s b J y G r W r U L t S 4 A D c C m H N q a q S L 0 n N K W D r 5 K O B j C c V L n 9 f D x S 3 2 U 0 P + P D l q d s t 5 8 Y C 4 7 I d 6 U w C J B A k U 6 5 q Q h m u 9 u M q 2 z K s k E + B z z d B g / y D Z 7 U n U 0 d 6 l 7 V W A 6 t e 4 o 5 4 K C g r o 1 A c n q L C w Q N I u n 9 J y Y q D x Q s G s J j V Z U 3 S s 2 k 1 l W X p O e T R y x o L j Y r / H t 7 H E p c q n R 1 Y b I 6 y N 6 6 8 C C D h d T c X y G A b 5 r Q b k h r C V H 6 P R e X X 9 + M 4 X l b Z R + f 1 j A i 1 r Y 4 l P I s 4 P b P H S U E + r S H m E D 2 2 r j k g n I 4 x z 8 w J W c 4 h K m T g V D p 9 I q Y o c H / 8 2 f z E T B / t E Y z A U b F v S W F X E r c V J e Q G t + u 1 C L F K 9 K p R k B p T o j w G Q Y R 5 e s x 0 N N K m l N 1 4 N y G j k 6 7 9 C h d p k A p B 6 3 s 6 v 5 f s x i 8 d q y E o J i Y R E q B E I f r T a Q + 8 W T f K 5 I S G Z f n o K k w i f l 2 Y F J W o 8 m 8 8 7 c H C / d M D C I V F T s 0 0 7 c n X g 3 r Y X e u n p / W v U U L h I l T l e c a m j X 3 D S G b G f 9 I J t S 7 K S v P E C 0 9 U n n f F n Q 1 G V R D X r N p T e o r 9 o y / 6 y M E 4 I Y A S G L d y 9 c 0 / i 2 9 D y r + Q 1 i w Y i s x / c f y g J T z D s v f V Z 2 7 I E L L F U Q d 3 j Z k T r s 1 a q 2 1 6 3 r o a m h e 2 j 8 r I S y s x c e x Z C / d k i J A m B r x c v X K H q 2 q 3 k n F + g o q J C m d w A I 4 g D f m / Y h o J j 5 v C + S s l d E S + I S w k l / Q E / o G R a 6 6 s x 1 2 0 0 0 N o j W x H m a c I w 9 P W S C c B w c a h d G G y I f O b R Z A I O b v F R k m V p g z H u X H 6 h m G B 6 r W e j k 7 O x o W 5 d Z N K B B k y k D y + R h S n X k S u 2 H 7 Y p G A i r e a p g O 0 C p h p H I 8 Q D T 1 Z b 4 k 1 C L w S 3 k 8 f m l L + S H l l B Q n f Q B g F D D o F 6 h v m J U 6 + P m J x J l b r M l U X V 1 F e X l 5 Y U H 5 7 0 o Y M 9 g O D u o 4 M h d m h M i G u h E f j h g o 7 0 s K a M B m y w 1 N Z W v K X a f m A 5 E v u N 7 d p b 6 q C h z u b S N B k i C 5 4 2 C x k P 6 o f g d d H R 0 U F l Z G V 1 4 B o 8 h J B T G R c H D x 8 W 7 S B 9 / t D T f 4 N s O J l R X 3 B H K H S w m t 1 / N S o 4 X / U M S C i i h F i o p z C O H Q 8 2 E g d 8 Z n 5 i Q q G x I A 9 g Q 3 3 c W P 7 i q x 8 Y m Z A j 6 9 0 X f 8 3 6 q q F x 9 6 D l G 4 1 7 u U F E U c F L A r o o F / Z n q h A K Z d L U P 6 5 O s o q Y k J 9 P F V k U o F F H 5 W N 3 z e V 3 0 y S f 7 5 f x 4 g b z m e C s p Z k w m 9 m p Q V + C n H f X V Q i Z U L g w k / O 7 8 J c p I z w i r V t + X T A B U R G S I 3 Q h M T 6 / t D E H + C t 2 J h 4 n g o o N v A d w v S k S N W 1 p u X L 9 N 6 W m p d L P b E v U Z G j q l 8 h n f W z y U + I y U Q C E V M 2 a 0 F 9 a y H V 4 U 7 1 b 4 q F K b 3 w l O E K C u r k Z S H V / 4 7 o J s b y Q Q j L o R 6 O z o 1 t Z W x 6 n a i F M D w b Q + L X 9 F N H R S Y U J r n T D I l V F R W S b 7 P F 6 4 y Z l E o j F E l u L O 1 9 9 X n B T N e R p / B Q a w j o 0 m k o 7 c N P U b q E S Y Y Q J u c K Q 5 v v j d J f r 8 R 5 / R d + c 2 l l T + 8 L D x 7 w c E q q 4 X + o y J C K S 9 q K m A R s S S U I 8 f P 5 X p Q N F l e 7 k D U 5 B y o x N a S i Y s D 7 2 H N M 7 L 3 9 3 b X O L S y w f k p K D y / X D m o d E l v e h y S X 9 R X m 4 u 7 X 1 3 N 3 3 5 y 5 / L / t M f n J T U W 6 h 0 G 4 G F e R W C 9 H 1 R V l 6 m r a 2 N 6 M 7 p R w O K j L A L o 4 k E o s A T u X 1 7 r W x n Z O Y w j 0 A g 1 e c k R A r C Y e F n Q v n 5 m c W X h w + I 2 8 y x 5 d n z L K W U 2 r f R e K d k q f f M O e + M 2 e o j B g 8 u 8 q + / O i O V 6 v s A B j + S W 2 4 E C g u X z p O 7 G u 4 2 3 Z c 0 a B N d N 2 R 7 3 K n s I U W Q 5 a R C D n O 1 H q K O M Z P m R o f H T 5 N O r A K K + s c l + p 3 F Q 4 l b C T U 4 6 + G X t l x F + r 4 E q 8 r x U n F W h B x I 1 2 W X t M L L v z c 5 J Z n 2 s M T 6 g t W / R 4 8 e i + v 7 Z Y E h 9 H B 8 w N v 3 f W F L S p J K v x L w G f J g n G c 7 s K i w Q C Y i + N U X K i d G g I m C G T h 6 J + G 9 V N I H B S 5 y T G G D + X W F Q P 4 A j c / x d w m J t M L 7 I Z 0 k 4 1 G M d x M P i F s b S g q / Q P E k c W X f K E n V + q y Z z p + / J J U H E q i / b 4 B y s m N P H I 3 K b + f K C + z Z s 0 s S P 6 I f 6 G V R U V l B X Z 0 9 0 h / 1 f Y B c E U Z C Q S X F d d 2 8 e U c S q m B 8 E x J z n v 7 g l B B k a d 8 Z q 6 / 8 v 2 1 E S S o 4 H Z 4 8 b p F U z E i T B m 8 k 9 l 3 t w O f q + Q u R U D R V D + X T L 4 7 x d 0 W 9 r z g o p h v P e n 4 4 Q + M 1 I z M p l V r H 7 G S 2 K F V J t 2 V W s 2 k w Z 5 I + d H w l 6 P Y T J A 4 y A p U U x + 4 b w l y 2 k 8 g Y l B e J L O / q 7 p H o A + O + F 4 U + H g m j Z f V 2 A v e E p P 6 S U W g N I E U y y A 4 p 1 N b a Q d v r a y V 7 L Y i 2 G r 5 9 m i T O H l 0 y U c h P N a m 9 V F C g s i B J H x S T 5 X q H m d x e X u f f Q E e u T / q f E G 4 U G b b x s 5 + d 1 L 4 1 v h C / b n M u c 7 5 F r g B + a S W N W E 1 a r U U m I 1 A B V y I T g A p l j c p 2 t G 1 r F a W n p V F L y 1 N t z 4 s B J G 5 + 1 C w E 6 m j v k P l 2 + / s H 6 O n T V r H X I A U x u 6 F k o F 0 B G J L h c X v E D f / J p x / K j I J r k Q m / 9 0 G d i 3 z 9 l 4 R M I J W f J V H X C G a I V O O f s K + P V U G P d 6 m K B 4 m E s V E g F w q F u B j e U z y V + F b 5 u O h e J R j R L 4 K N 0 B B R S d 3 u 5 Q l M k O M b s 1 P 8 4 f f f r C o t j c B x g 4 N D 1 N 3 d S 6 d O n 6 T 8 / D y q r a u h T z / 7 m I q L i y j J Z p U k K j t 3 7 q D 9 B / a y O j p P 3 5 2 7 K B O 0 R d t d 4 k B Z 5 / 3 h d 1 F A o q G h E T r x / i 5 N S n F h I m X n o 6 9 J E W h 2 I U R d Y 7 C z A l S d 5 1 a k 4 q L b T Y p c P v r s C y S t W f q e 4 q X E r V N C R 0 M R x u a g t Y S K E q m 8 a 9 l U 6 6 z n q w K / i c o W C y A b J q Y + + + 1 5 b c / K g C p 3 i + 2 b g o J 8 c U k b Y b G Y h S B P n q j E l o B y Y D j o g w 9 P S g b Z y c l p u n z p m o Q u Q T X r 7 e 0 T a b Y a d C L h O a j 7 C P L v W P i 7 r V R f 5 J F n G g o F a H A a j V a Q v z d I 9 / r M Q q D i D B 9 l 2 p k 8 3 J i J e i j E U p I K R U + Y G Y + I W 7 e 5 X p z y Q v l F s q r B 1 Y N v + X s y x T s j w z D W A x j z C 8 6 l 8 y g Z g Y p / 9 N h 7 9 M / / 9 K / h Y e 5 G o K L C + W E y m W X o x m o R 6 p i 0 e n m u B x D X J j k h j p 9 4 n 2 2 u H C Z T L 5 M s K z w B 2 m p Q h F L S C A 0 D S A h 7 y O Q a o Q p z K + 3 M n x R i u V n F u 9 y h Y i c L 0 r 1 U l u W h K a c 6 R 9 Q 8 f v 6 6 y p e a m r T k / c R b i X u V D 6 W x 0 B l + q U b J 8 z K e v 8 Z i r i B c w d r b 2 q W i r Y W 1 b B N E f v / i l z 8 X g x 6 z Y + i A D Q S p s m N H I 2 V l Z W h 7 V w a G e K w 1 J A Q E h r 2 E P q L 1 Q F f 1 I J 2 Q M w J 9 S l D 7 I P U Q V u R e d J K z / f d 0 v d P C j R b U P A 9 V Z C N v R I C e D p k U i e S 5 g 1 T K f v r i x 6 f 4 m 5 e / o 3 g p c a / y A Q t m u 0 g p e a l c l D 2 l V J o X A W L P S g s y K Z V t o N q 6 W u o f G N A + W R m w e 9 Y D R F o g X d g / / s M / i 0 r m X F i Q 6 W i i h 5 m v B O T O g 2 2 2 F k A q k H c l 6 C T S i 9 h H L I X g x E C 8 I v J H i O R h k s F m e / f Q U f l 8 X 7 m L c p L h o F C e P v W 8 V S M G I i E 5 S y j 4 / f v Q 3 n T E t Z f P W B o K X a z 2 Q f V T L x l c e t H + K a 5 D T K I h q V B A Z U W F S B H 0 S 8 F 9 j v 0 Y X W v E e j m L 6 z h x 8 p g M J N y y p Y I c 6 3 B / G 4 H z 1 z v W C v c f j V h E U m R S 6 3 3 9 f T I M Q 9 + P A h W z + c F t O l D u J L / X J Z N r P 2 p + Q v e f Q z o p i Q Q i I R 8 f M h 5 9 + a s v w u 8 j X o u Z q 9 S m + O d N Q m V Q L 1 h X Q 4 w B t O v F c 7 Z B E P R 6 5 8 4 9 2 d 6 z d x c d O L B P H A N z 8 / P k 5 Y r z i O 0 e k G x 0 b I w K i 9 Y f 5 g M g 4 u B l g H u E 1 F 0 L 8 P i B D E Y o W y m K U B q R U D A v L 3 K T 6 9 u q + M X T e J D v H Z I V + z A 6 t 6 6 2 m h b d S k o p U o F M L J m C X u l C i L y R + P y 3 K V Q + H Y c r n c p B I Y U r B a s q I N W L S C l r b i P V b a 8 l F 6 t k y O + A T t p F 1 6 J k W E X E R G Z G B u 3 a v Z N O n z 5 B B f n 5 V F R U p J 2 5 P i A H + I s C f V P o M F 4 r i n x 2 d l a S p p S W l W p 7 I m Q y k g r q H J 4 P o i e w L u F V b A t K v x K K E E o R D s e j M x m O E 8 y Z O z G v Z i w U T U B I h a W P f v n n f 6 L 9 Y n x j U x F q y p T F q t + C q C A i q T R p h c q z X s x R A d m z K 6 i 0 v F Q 6 V M + e P U 9 j I 2 N S G a M B o k b n Z E C F f t 7 X R 0 1 3 m 6 i P b S X 0 E 2 H e 2 8 H B Y W p + 9 I Q O H j q g H b k + 4 H c v X b x K h w + v f d 7 N G 7 f F V t M R T a J w Y d I 8 f N B M V y 5 f l e d U y S o o n p O M x E X h 5 6 W i I v Q R u n 6 Z N B v B y K 3 D f D 6 f o 9 I u 4 z m z C h z 0 i + 2 2 G W C 6 3 d H / Y p b 5 W 4 4 M 3 x T d 7 E 3 h F 2 w j i z V J I r g x m x 6 m 0 0 Q r u y 5 p x Z X w w 3 o v H 6 s 2 k R b s z q 0 m b v m L p e K g 0 9 Y I V F i E + 5 z 9 9 j s 6 e v y I S C 7 g 3 L f n 6 c O P T 8 v 6 y w K / u / / g u 2 t e N y Q f V D e o a T q R d D L B 6 w d H D d Q 8 i Q b n 9 Q f 3 m 8 m R m 0 N 3 b t + l z z 7 / R E i G z 4 x k g v Q B y a B G g n h P u C p N L / g l x A i E Q t 4 I 2 F a / / u u f a V c R / 9 h U E g q Y t z n o U M W C k k 7 Q 7 2 W p q Y G a C r g m u P I i h 7 e O j P R 0 O v 3 B C d q + v Y 5 m p m e l o u r A e j e r Y w A 6 c n U y A S d P H 6 f f / u v / 0 7 Y U Y I + 0 P H k m B Z 6 7 1 Q B p 8 r C 1 n y Y W V m 7 9 d e I M D o 6 w R N W H V m h 2 E k j B 3 y G q H K 9 D U i 8 s O G m M r 6 G + s U 4 6 k q F G y n F M H F 0 a R c j k F 3 U T S 9 h + 0 w t 8 D E s l k V C Q T j 4 P 5 e W u 3 d 8 V T 7 D 8 5 j / 9 5 / + m r W 8 a O L 0 m y r e 7 a M w Z a U 9 A g X A b r 2 2 s 1 e o / 7 p 6 j w b Y b l J a W K p U S H Z + 5 u Q 6 2 r a b Y Q F e D 5 w Y G h n g 9 V f p u o v u J 4 J W D G / r a 1 R u U X 6 D c 0 S 2 P n 9 K 7 + / d I Z W 5 v 7 x Q 1 s K e n V 4 7 v 7 n 5 O z 5 6 1 y v d D R U T m o r z y O r p 4 5 n e U U 1 x N 2 e m x b S g Q C n Z O 8 6 P H V F p a K r 8 L Q o E I u F m d Y I g L x O B D 2 E u 4 d U w O A H s R r n s h n H Y O 1 n 2 8 H O g f p J T U Z N 7 n o 9 v d 8 B 4 q V d r H R A K Z Q r z 9 5 a 9 + p C 5 i k 8 B 0 u 3 N z q X w 6 L N M D 9 H w u j a b d y a z 2 2 U T l Q 1 g N I t O h A o J M u g q 4 G r H 0 y P O b 1 2 / T 4 S M H Z R 1 S p w b e L l b z n j / v o y 9 / 8 T P 5 D t h c W K Y y A e H E Q A V F C w / n x s T 4 J H V 3 d d O f / v w n 8 h 0 v g r b W d l E 7 9 + 1 b m p J L l 5 R Y o m M W C W Q c T O y a 2 m 1 0 5 s x Z K m N y Q S K C m I V F h Z J R S S Q W 1 D + W S L h 2 N A j I H I t G Q z x / T C T 0 R + G 8 r O x M 2 b 7 V p Q K B d S K J y u d 1 0 1 / 9 5 t / I 7 2 8 m m O 5 0 D m x K Q g H B 8 W 5 6 N O Z g A r E 9 x U Q y E g o E Q 0 s u Z F q F W D Z L i E 7 U e K i L y T A 4 M C w h P s 3 N j y X C A e e j M i P Z f 3 J y s q T u g u Q B o M 4 h / 0 R a W p p k k g X Q 4 h c U 5 q 8 Z X W E E S J q R m U n D g 0 N U 3 7 B d 9 u E 3 j W T C + C n Y U B j u A b U v I y N d 7 g 8 S V Q 8 t Q l H q n 7 7 O a h 1 U Q S Y W Z n x v 3 N E g t h L I n w / p 2 d o m j U Z z P 6 v R L l b / W M V T R F J D N O o b t n I D o + 5 r M 2 H T 2 V B G m P O r q C T d p a k q S l 1 B U X a V 8 g C i Y u m D 5 M T G 4 g q o V 1 Y A s x J + 9 S g k y R w R l 4 f h E + 2 t H e H h E y D h s e P v 0 4 G D q q 8 K Y 6 R A t E w m A S o o S I Y K D A w M D C x T C 1 c C r g G R 7 C D G r R u 3 R U p N T 8 8 I K V S B P b R A n Z 3 d E l z r c O T I P m S O P X f 2 I o 2 z x M I 2 n A p 6 U Z 4 8 V Z T L O 0 B X r l y T P B n o Y 4 L H s q y s l C y i q h b K m C e d T L r N 5 P P x N Z m C m 5 J M w K a J l I h d T O S 3 p R k q B A z q K G I J q Z R r X R + 2 E F 6 C W F z s 9 h S 6 0 p N J L p 9 F J g G o 3 1 E v s X X R A J F m p q e 1 L a Q c q x O v W x u 3 9 r C j G h o b Y k r B a O i E v n T x C k u 8 P F E t j z J p I X l 0 4 s O r O D s 7 L y N u M f O h S B y + D 9 h S n 3 / x i U j M b / 9 4 T i S l E A l F S K W c D x j C / u x Z m 8 Q a o i G Y d i q 7 y c f P B A 0 B h v 0 3 9 Y T C z 0 0 N H m S 7 K e C j v / z N L 2 I 8 6 8 1 R W E L F 2 L u J S m l p l v T i G 0 m F I p 4 q j V S y l A q n i C W S S q u 4 u o o E y X W t y 8 Y S y 0 I N 9 d v p 9 s 0 7 / P 1 L c e v m b U n H r A N u a a Q f 8 3 h U J V 1 P H n G d T E 1 3 7 9 O p 0 y e E p D / + y e f i F R w a H h F H A l J A 4 z h E l S u y 6 B J I k Q r L d C b f 8 R N H 6 e n T Z y z Z Z m l 2 Z k 5 U u 7 m 5 O b p z u 4 k W m G h b q i r l P N x 3 s o V J I 3 a S T 0 h 4 q y s Y f l Y 6 m Q I s o f 7 6 P / y K r y 7 2 s 9 4 M J S 4 z x 7 5 o O b i v g l t W V A 4 Y 1 U Z i w f 2 r S S o h l b 6 M S K 0 I u U A s t j f a L H S D i T U 9 M y P Z V n U C A F 4 t G S b 2 o W A s E 7 I B e T x u s r E q p p M z V g E J U J m h v i F e E F 5 D Q K / w 6 F j N d T i o b n s N l 1 r p D w u T S J Z K A u F Y h E Y 9 e f J U H C K N L B V x L Z C o G C L y 4 N 4 D l p T 1 b D b y + f x 7 R c W F G p H Q v 8 R L L g 8 H k / h 5 q f 4 m K f L c 3 P T r v / l S x g P F e s a b p t z t G o y 8 8 U 2 O a z e 7 u S K h w 9 c m z g n l p N A d F B b + z C w S A c u I B z D i s E D h P / J g s Z Q F t t Q O m h 7 t p s O N e e T I T J G h 9 s 2 D N v K 4 F r T v t a g 0 Y f w 2 j t d 4 K E m t g n 3 4 K / M 0 g b C l p S W 0 u L g o z g z 1 U Y j O f 3 e J j p 1 4 X 3 5 L t / F Q E I U B W w 7 R E S D v 9 W u 3 a P f e X R I t H 4 u w W N 6 + 2 0 x 7 d t U L + c 5 f v E 5 H j + x T 6 i A T C s e 0 j Q R p a g 7 k R G O j N U B e N + 0 7 s I v 2 7 k P i y s 0 N 0 9 3 u o Q S h D L h y r U O 8 f r r n L 0 w o b R k m l R C J C 8 K L l 3 g B 1 V K t Y x P V X I O 2 L 7 w d h f C L Y D I g Y 6 s c z u u o y J c v X Z V o d J 1 E O m l Q e n t 6 q a C w k G 0 5 x N u p f f A s Y t o b r I u U Y j L i S q K J h K I i J A J 0 + / Z d 2 r N n N / W M h 6 i 1 Z 5 T S P Z 2 U Z L d L U C s k I 3 6 j d y 4 7 Q i a W c A G / h / a + u 5 P 2 H d q F C 9 v 0 M D U l C L U M l 6 6 0 k U n I Z O y f i h B L l 1 B m I Z R O J r U E C 2 Q b X 6 S t K 2 B d W x U s 2 W B E X g N z A H + 1 d b W 0 W 4 K 0 u 9 x H q b a I B M J H a h m k M 2 f O 0 f H j 7 9 N N t t M Q s X G f V b e P P j 7 N h F E d t z g u J p F Q m E z o W 4 I 6 + L T l G T n T 3 i G L y U + N R W 7 Z B + k E Z w S G Z U T U Y U g n D 7 1 / d D + 9 s 6 t B r j G B B K F W x I V L T 5 k s I F K k w C 5 R U o q X G p m U t F K E 0 g m k F 0 U i j T i 8 4 K 3 w u v Y n C m B I e E 3 9 l f / 4 g 0 z h I V E H w 0 T i f 4 i v Q 8 A t O m f / 8 R / + h f 7 s 3 3 4 p A x T L y k r k J x C w C t I Y C a X H 7 O l O F U i w B w + a p W M 3 I y N D 1 L 1 A E G q d T i a E G P n o U b 8 2 J Q 0 c E C y Z T n 9 w h G r r a + R K E 1 A w N f U M q 3 e X w D J 8 d 7 6 Z n 5 C x w x d F k 1 Q g E g g V l l I 6 s T Q S 6 e u o 1 d h m h M m l A 9 t L n v 7 S V w E S a C t C n j 0 l C 2 Q 1 e e n 8 u Y v 0 y a c f U d / z P p E s x S X F M n o W Q J T D p Q t X 6 d j x I 4 p A s K k 0 U h m L r u Z h H e o c E l X O z 8 3 L E H k Q T L e b Q C o 4 J d w g V K + e 8 M Z P f / 2 b X 5 A 9 e e 0 R w p s N C U K t g f P n H 3 G l Z O I Y S A V J Z T I Z S G U k l K x r p A K d s M Q 2 v k z 2 y V 5 Z 6 o s w d P 5 E V g z r I d p Z t M i q H 6 L c T Z J 8 B X z r 6 e 6 h k t I S s l g t Y e K M j I x Q Q U G B d C L r f W b R R T p / Q Q 5 I O L d H I i j K y 0 q F Q E I o j U g o X i 4 z c x 7 q m S D K S v b T L / / m L 7 X 7 S y A a p n s J Q q 2 J p q Y O m p h 0 i l 2 l S y t F J F 0 F j C K V t u Q / 2 r Z G J F l G K q L a H d k O 0 y f 8 R n h b 2 1 G Q H q C 6 Q g z d x z 6 t 4 B + T C K m Q 4 e r G 8 A y X 2 0 V Z m Z l C G q O a p 2 w p T c X D N p N G h R o F a N H l o 7 G Z R c r P s t G i O 0 A W A p m U 3 T Q y P C J q Y M t g k M o d J v r x n / 9 a r i y B 2 D D d 6 0 0 Q a r 3 4 5 p u 7 T B 6 d U J r q p 9 t V T C K j P a V 7 / 8 A a / F P / 8 U f + K i h G L Y d i k e J V e D 1 E h y o 9 T O i Q z K z e 1 d k l 0 R A I P z p 0 + I B E M 2 C m + J 2 7 d 2 p S C a T T y R Q p O o n 0 8 C Q 9 X q + p Z Y i S Q z N k t T G d b P m S K g x 9 X e i r a u U q U l u Z T R / + 9 E / l W h J Y G U y o k Q S h X g D f f H W D g t y G K 2 I t J 5 V u T 8 k 0 o N j W C C X S S f g E E k W I p L a X I m w 7 A S K J 9 G W I b O Y Q m c Z u 0 r b q b d K / h G O h n s G p s G f P T i F N R D J F 2 0 4 a k W S p 1 q E e I g J d d f r 6 q L W 1 n R b 8 K V R V m i H H 9 E z a 6 G / / 7 s + F s A m s j Q S h X g J z c w t 0 6 e I D I p B K J B V L L A u T i O 2 q m D a V Y h L + q 6 V O K F l f G R F i Q d r o S 1 V S F l u p Z k u R R K Y j C s L t 8 c j g x s K i A s 2 W C l B H e 6 e o b t Y k K 1 W U l 4 d t J k U m O B 4 w Q d q c 9 h 0 B G Y o P + 9 B q s 9 K Y O 5 P S 0 j L o L / 7 m S 7 m C B N Y H 0 / 3 n C U K 9 L M 5 8 f Y N c H r + S V p B Q Q i Z t a Z B W Q i y w S S N T W C o t I R Q + 5 4 V G o v B L A Y H C S 1 7 D f y F V k A 5 u 8 W q O B 7 U N 1 3 Z H R 6 d 8 P 4 J a M X g R k g k j h s s r 1 H y 3 s J 2 g K g 4 N D U t S F R t L n u y c L H K 6 g m S 3 B v h + g j Q 8 b 6 d / / x / / X e Q 6 E 1 g 3 m F C j 4 X e X w M v h / / 7 2 A l d s J o e Q S V P / l p A K J D L 0 U w l 5 V G V d q 9 K G p Z R G K N k W U o E A Q d p R r B J 3 R m y m a D U v K D N 9 Y K Y N 2 F u I f I D N B L e 4 y + W S 2 R e T U 1 J o b n a O x r 3 Z 9 J O f f 0 5 F x Q X q N x N 4 Y S Q I t Y H 4 7 b + c o 4 B G L O V S Z 2 I Z V T 9 9 X Z d G + j o g 6 8 I V D Y o 4 s q a R S i 0 V q R S x Q r S 3 H D M 1 M o m Y T N H 9 T f D m u R Z d Q p 4 k m 0 1 U P J A J 3 r u p m U V K S 1 Z D 2 3 G t B z 7 5 G W U 7 H P I 7 C b w 8 T A 8 S h N p w / P Z f / k h e P z 9 W z a Z S R O J i k F Z C I 1 k X Z m E r v A h D 3 g z k E h Y a i W R V S a M t D j 9 l J b N d h G 0 D k c K E Y h U P w z O q a 7 a R 2 + W m o e F h N U k b f 4 c k 1 O S V L / 7 i 7 7 R r S G A j Y H r Q N 5 Y g 1 A + E m Z k 5 + u p 3 F / k p K 0 L J E q T C P 1 R i I 6 H k / 9 K K r R N J r f N S i I R F k H a W q s y 3 I J c Q S F / C T u L l w u K i 5 A v E m C s 4 G n R H B N z g S A h z 5 M d / J t + b w M Y i Q a h X h K 7 O 5 3 T 9 S h P T Q i O W T i h h E o g E c q l j d S h C y a q B U C G y B 2 e o J B u n 8 T l m l d N 8 a M Z E h e l I h a Z U v c H + A c o v Z F u I j w e R s h y 5 d O i T n 5 L V t v 5 8 F Q m 8 O B K E e g 2 A K n b h 7 D X q H x j R 9 m h M C j N K X 4 J E 8 l + R y U A q F E e q n 3 J T D d E P W p k Y n 6 C i 4 i L a e / Q D y i v b I t + U w K u B 6 c r d e 6 E b l y 7 Q n / 3 V 3 9 K / / u / / J U O f f / z r 3 2 g f J / C q A J K 1 t n R Q W 2 s n T U 3 O S p + R u M P x o U 4 m W V d / I J 0 g m b K z 0 q i 0 J J d 2 7 t 5 B m b k v P x F 2 A h s D 0 7 V 7 D 0 L / 9 D / / n v 7 L f / 3 v 9 H / + / n 9 Q e W U F 1 R / E H K g J J J D A i 8 L 0 s H 9 c a / o U 0 P J B n U g g g Q T W B l T s r v Y 2 c u T l 0 S J r d 6 a H A 0 s J l U A C C a w f E 2 O j d P a r 3 1 O O w 0 E 9 n R 1 k e j Q w k S B U A g l s C I j + P y 7 D i R S O S C c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 N a m e = " C a l q u e   1 "   G u i d = " 8 a c e f c 6 4 - 2 6 f 5 - 4 e 0 1 - 9 1 c c - 4 9 e f 8 b b 8 7 0 c d "   R e v = " 3 "   R e v G u i d = " 9 3 2 2 9 b d d - d 7 e 0 - 4 5 2 6 - 9 3 d c - c 4 0 e b 3 a c 4 1 c 5 " 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3 5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 C h o o s i n g G e o F i e l d s = " t r u e " & g t ; & l t ; G e o E n t i t y   N a m e = " U n u s e d "   V i s i b l e = " f a l s e " & g t ; & l t ; G e o C o l u m n s   / & g t ; & l t ; / G e o E n t i t y & g t ; & l t ; M e a s u r e s   / & g t ; & l t ; M e a s u r e A F s   / & g t ; & l t ; C o l o r A F & g t ; N o n e & l t ; / C o l o r A F & g t ; & l t ; C h o s e n F i e l d s & g t ; & l t ; C h o s e n F i e l d   N a m e = " l o n g i t u d e "   V i s i b l e = " t r u e "   D a t a T y p e = " S t r i n g "   M o d e l Q u e r y N a m e = " ' P l a g e 2 ' [ l o n g i t u d e ] " & g t ; & l t ; T a b l e   M o d e l N a m e = " P l a g e 2 "   N a m e I n S o u r c e = " P l a g e 2 "   V i s i b l e = " t r u e "   L a s t R e f r e s h = " 0 0 0 1 - 0 1 - 0 1 T 0 0 : 0 0 : 0 0 "   / & g t ; & l t ; / C h o s e n F i e l d & g t ; & l t ; C h o s e n F i e l d   N a m e = " l a t i t u d e "   V i s i b l e = " t r u e "   D a t a T y p e = " S t r i n g "   M o d e l Q u e r y N a m e = " ' P l a g e ' [ l a t i t u d e ] " & g t ; & l t ; T a b l e   M o d e l N a m e = " P l a g e "   N a m e I n S o u r c e = " P l a g e "   V i s i b l e = " t r u e "   L a s t R e f r e s h = " 0 0 0 1 - 0 1 - 0 1 T 0 0 : 0 0 : 0 0 "   / & g t ; & l t ; / C h o s e n F i e l d & g t ; & l t ; / C h o s e n F i e l d s & g t ; & l t ; C h u n k B y & g t ; N o n e & l t ; / C h u n k B y & g t ; & l t ; C h o s e n G e o M a p p i n g s & g t ; & l t ; G e o M a p p i n g T y p e & g t ; L o n g i t u d e & l t ; / G e o M a p p i n g T y p e & g t ; & l t ; G e o M a p p i n g T y p e & g t ; L a t i t u d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L a y e r D e f i n i t i o n   N a m e = " C a l q u e   2 "   G u i d = " b 3 4 e c 8 2 3 - 7 8 e 5 - 4 5 0 0 - 8 5 a d - 9 2 4 7 b c 9 d 9 2 7 a "   R e v = " 1 "   R e v G u i d = " 9 d b 6 1 f 3 f - 0 2 7 2 - 4 9 9 b - b a 9 6 - f 8 d f 8 8 1 3 d 8 e f " 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V i s i t e   g u i d � e   1 "   I d = " { E F 3 D 0 9 B D - 7 8 4 D - 4 0 C 9 - A 0 6 2 - 3 7 4 B 8 A 7 5 A A 0 E } "   T o u r I d = " 9 d d 8 8 9 6 e - 5 9 e 7 - 4 b d 4 - a 3 e 9 - 9 b e 2 5 9 e 5 5 d 0 0 "   X m l V e r = " 5 "   M i n X m l V e r = " 3 " > < D e s c r i p t i o n > V e u i l l e z   d � c r i r e   l a   v i s i t e   g u i d � e   i c i < / D e s c r i p t i o n > < I m a g e > i V B O R w 0 K G g o A A A A N S U h E U g A A A N Q A A A B 1 C A Y A A A A 2 n s 9 T A A A A A X N S R 0 I A r s 4 c 6 Q A A A A R n Q U 1 B A A C x j w v 8 Y Q U A A A A J c E h Z c w A A A o k A A A K J A a 2 A t f E A A D a + S U R B V H h e 7 X 3 3 c 1 z Z l d 7 p h E Y O j Z w J E o E A O E z D O B z m y T P S S i t 5 p J X X q 0 2 y a 8 t V / s E / + T f b / 4 h r 7 f J 6 Q 6 3 K l j Q z 1 J D D n E k w g Q S J D B A 5 x w Y 6 d / t 8 5 7 7 X / d B o B H I w D I 3 + y I s X + r 3 u F + 5 3 T 7 j n n m v 6 3 e V b I U o g g Q Q 2 B G Z t m U A C C W w A T L + / c j s h o R J I Y I O Q k F A J J L C B S B A q g Q Q 2 E K z y 3 U m o f G 8 A z N Z k s q f l k j 2 j h P x + o m B Q l V B o + e s x m U x c + B x u D i 0 W L q Y F c s + P k W t u Q j s i g d c F 0 x + u J g j 1 q p G c m k F Z h d u J / C G a c o I 4 Q S G O X o B Y R I o F R a 6 l x W o x U 0 Y a k X u 2 h + Z n E y R 7 l U g Q 6 h W h t K i I U j P K a X I + Q G l J f p p e I H L 5 i G z m I H l Z I v k C 6 r j 1 E s k I k E h H N L k s L M K s V j M 1 F s z Q w 9 Y u C k D s J f C D g Q l 1 N 0 G o H w j l R Q V U V V Z G H q + P 7 v a a q T j D T 1 Z z g G y W E B P I R N v y f E w g E k I l W U N 0 9 p l d O / P l Y T a b 6 F C V l / q n L Z S Z T D Q 4 Y 6 H D 2 / x 0 s 8 d O R 3 i Z Z L N S I G S j M z f u a 2 c k s J E w f X U t Q a i N x u F d u + j J s I X S b D 5 K s Q a o c 8 x M J 2 v d d L 4 1 S T 4 v y g x Q e l K Q 7 L Y Q l W Q p d c / P B B u Y M V N R V o A m n R Z q G b b K s a s B c i n W y z N K L M D C J P t g u 4 f G n V Z y p I X 4 d 5 X k s l j t d O 1 R G 8 0 6 F 7 U j E / i + S B B q g 4 B K / N l 7 e y g Q 8 N C 3 T y x 0 s s Z F w 3 N m 8 r G d 9 G z E K q R J T Q r R k a 0 e 7 Y y V M c D S 5 S m f s 1 4 k M z H T 7 W y P L Z r F k R E N p f 4 R f c i k 0 l V B v S i V 0 E Y d A x P U 3 j e k n Z H A y y J B q A 3 A 6 Y N 7 y U Z u G p w m G p 0 j l j 4 B l h 4 g k k U 7 Q t l G d Y V + q n R o x l I U j L a T 0 2 O i G 9 1 K m q 0 G E H T R u 9 R + M s K R F q S p h a U 9 I x 8 3 e G U Z T S y z 2 U y 2 J D s 9 7 R m h n q F R O S a B F 4 f p q + t N C U K 9 J P Z s r 6 F Z V w r b Q A H q n 8 K e E J 1 i 1 W 6 R 6 + z V z q Q w S V D N P 6 x f K p m M B N I x 6 z L T 7 V 6 b t r U c x 2 q 8 l M y 2 1 u U O O 3 n Y 7 l o L H 9 Z 7 6 b v W 5 X Z Z V k q Q D m z x E 2 u C g h B f I d R C k C o Y C N C U L 5 M e t z Y n H B g v A d P X C U K 9 M J L t q R R I r a f G w g V q 6 r U I O W o L f F S c 6 a e L 7 f Y l Z I H t I h W X 9 6 3 2 o G / 0 J J H b Z 2 J b S t u x A o 4 z q S 5 3 J M l 3 B t f x 5 v L S Q z T h V M y B J P q I i T 0 0 a 6 b C j C D 5 v W 6 y J y f L f l w y H B o g F b a t V i u Z L S l 0 5 m b C e f E i S E R K v C A y C v a Q 2 1 Z D b r e H H v W b 6 U S 1 i 3 Y U e a k i x 0 8 X 2 i J S q c I B j x 7 a f q 1 / S f b G B j x + U s H X I B M A M g H r I R P g M 0 g y X M e 3 T 5 O Y + A E h p N m W L L + p r l l d J / r E A i y l f D 4 f + X 0 L 9 O m h R r K i 9 z i B d Y E l 1 L 1 1 v p r N D b v N R s H 0 d 8 j j 8 d L e k j m 6 0 5 f K 6 p 2 H V T s b 7 S 3 3 0 k 2 W M E Y c 3 e Y R Z 8 F K Q L 9 T 2 y h b X i y V p h Y 1 3 e s H A q R S / 4 y F n h k 8 h 5 n J I d p V 5 u N r J O q b s t C W X M X m g N 9 P J p Z S k F B h 2 4 r v 3 c V q 7 O U H z + S Y B F a G 6 e s b C U K t h Z 3 V V f R 4 J I u S z R 4 6 V O W R V h 5 u 7 w W u Z A G D m Z G d G q Q S b v 1 L s 1 c X N X 4 + x 8 q 6 w U b 0 O 7 0 M M u w h O r z V S 0 7 n P K W n Z 8 g + p 9 c s + 3 V A W u n q H 5 b w B n p C K X T l / i P t i A R i w f R N g l C r 4 t T + P X T + a Y B O 1 y 6 K O v T H F h u l s u Q B m Y z Y U c w 2 V N b a O t v 0 g p n G u Y C I 6 H x 9 V S h g l X J s 3 i y q H u y 6 W A B 5 j P B 6 P K L + p a W n C 6 l Q h p 0 p 1 N r 5 R J 5 F A s v B h L q f I N Q K + P j g D j r b Q n R s 2 y K 5 u X J d 7 k y T / c r m U M B 6 T k q Q 9 m / x a X u W A / 1 Q L r + J H C k h a h / b W B J B 0 k E i V m Q 6 6 e 5 g J k w h c v N v G W E x h S g Q U v u g / g G z 0 9 O U l Z M j 6 0 a 4 X I u U n J w i 5 N I J 5 n K 5 W O 2 z k t 2 e L K S y 2 p K o u X u I R i Z m 5 f M E I j B 9 c z N B q F j Y V v U O b c l 2 a U Z 6 k F q 6 p 2 n A X a B 9 q g A y N R b 7 l 6 h 4 T o + Z H g x Y p Y 9 o y m l e 1 R n x f W B h I p 2 u W y p p R k b G q L C o Q N z 0 A K T g p Q 6 7 L G v y / d Q x b g 0 T y g j n / L z c Z 2 Z W l r Z H w S i x w u R a X K S M z E y x q x 5 0 D t P Y d I J U R p j O J A i 1 B K g 3 p a U N l G o N U F 6 a j y V A U C q b 0 d 7 R J R S k w y l D p W 7 q s y 3 r S P 0 h Y G c h d 6 z G T Y 9 7 Z u m d q i x a 4 E q e n p Z G M y 4 T e e b G y J p W S J k s D R E z C C C M y c N S q z Z n m v w + n x A H k m Y 9 A J G g 9 s G G 0 k m F Z Y g s Z L e Z 6 f n Q K H W M z M n + B I R Q D x K E 0 o C K c m p P N Q V D Q Z p 2 h t h I 9 5 P f 7 6 f z 7 a n a E U v V P b 2 1 b 2 W V r m 8 N e y i d J d Y 7 Z T 5 y s f E / N G u i 3 D Q V k v Q y g L Q p y 3 K L l I j G 8 P A I Z a S n 0 Y g 7 m 7 o n 4 K n D N U e u V Q e I Z Y 0 6 f 3 F h g V K Z m E b A j k p K S p J O X n j + g L G R Y S o q K a U Q 7 0 M / l t P l o V t P + + S z z Q 6 z 6 A e J I u W j / d u 5 8 r F E 4 h Y 5 M z l A b r e b L n T E J h P Q N m Y T y b U W m Q B P w C R e t I K M A O 0 u W 6 o m v i i S 3 P 1 L y A S V 7 l G n G v d U X F x E M 7 N z t D U / I C T C J b 9 b 4 a O Z x a U S y R y j b 8 n G x P H w P Q M g C z A / z 9 K H W e l m O w r P B S g o K m a p H S I X H w s S m k M B K n a k L 3 u e m 7 H 8 8 P r J W 4 J P D j S w z e O j e V d Q K k / L k J l G n K l S I Q G Q S S I e D H g + u f 7 H h 3 4 n L 5 N q z m 2 i S + 3 2 m C F B 6 8 G O E h 9 N T U 9 r W w r n 2 + w 0 6 i u V P i 3 E 9 p W U F F N I q / z o K 0 s 1 O c W l b w R U v o m x M W 1 L 3 R 9 I C o k D o C 8 K 0 O 8 f 0 h s k 1 E n F n 0 i H L y Q X 1 M G 6 s n x W A T f W 4 f I 2 Q u r I Z i 9 H d z f S x J y P b G Y / 2 y d + a a k t / A G i x Q F d M q 0 3 O m E l X G p P o l s 9 S U w s b c c L Y m e J X 6 I c n P M L 2 p 4 I q n I D 0 p E M Z w j I M j s P h 4 p q B G z J q a w K L o 8 k z y s o k M Y D m J y Y E P V O h 3 7 P e f n 5 s o Q q i H 0 6 0 a a m Z u Q 5 Q R 0 E 2 Z 7 3 P a f t B W k S E 2 h 8 t p u t 8 N O J t X v z l O P 7 d l K S y S O j a K 0 m r j A w O h g 5 a U G W J u Z w x X r d 2 F P u p c K s A D U 1 3 a P D 7 x 3 Q 9 k Y 6 h 2 s K I j F G G A n c O u W g g f 4 B J h f R / T 4 b Z e W W k t c b 6 T w b 1 Q g G 9 / n s 7 K w Q J 8 l u l 5 C j u 8 9 t 4 e c A w C k z O T 5 O 0 5 O T 1 N v 7 n J 6 2 P K P e n l 7 Z P z c 3 R 9 3 d v R K K l Z y a R o f q S v m M p c 9 4 M 5 V N b U N Z r G a y B B b F i 9 U 5 a q L W U U U g O C I e 9 N v e C D K h j w u 2 U H 4 6 4 g L R p x R R q 2 A 7 R Q M O k h Q 2 r 7 L s P m p b 3 E Y X W C p W p f S T a 2 5 S p I m O w u I S t S w p I a s 1 8 p 1 Q + 7 Y 7 J H S e F p x O W c K u y m X C 5 e T m U k V F O d U 3 b K d d u 9 8 R Q m V k Z F B W V g Z V V 2 + j a S Y n n u W B 2 q K Y z 3 s z F C W / N y m O 7 a i i m Z k Z G p z w S N R C 7 4 S F r r Q G 6 W K H U m / e B G z J C 4 i k 1 L F 7 7 y 5 t D V Z M B J N O d c z 2 I i W p e v s G 6 M h W N 9 + H i f I L i y g 3 z y H 7 d R j v D x 2 5 M 5 p d h i V I A k m l H 5 O S m k r z L I n a 2 z u l k x e A W g n b C a Q y a c f l 5 B b K / p G h E S r J X H s 8 V z z C 9 O 3 t R 2 9 G z X n F + G h / n X j x U G n O t p j Y P j J R f X G Q n g 6 r 0 b V v C q L d 3 b g 0 g z Z G c y 4 T 3 X 6 O K H e W S s l B m m X y w W 7 C P W A 8 F L D g n K e 0 9 A x y L S 6 w z e S m u 2 M l m g c w J E 4 G i 9 U q Q b F B 3 l 5 A J 2 8 o S O 3 j y X R o e 7 q c L 6 5 z V g d H R k e p q L C Q x n m Z z 0 s A 3 4 k R v / g O u N W H h o e p u K h I q Y 6 d E a f H Z s G m V P m q S v J p 0 e 2 l m w / 7 q G O U V a m g h y t f p E V + H d h e u H L o k g 5 4 8 K 5 d v c 5 S Q W 1 P L 5 p Z T U U D o L b t r O o d 2 e q V W L 1 T t U q S 9 H R 2 U N N w r q x b r E m i t h 0 p n 5 R t n A g i A F h C 4 o w u p p H L W i B k G h 1 S d h b I N D M 1 R R l a I K 1 O J h / b Z F 6 v T z 7 H u V D 3 0 l N S 5 D N I q t 2 V L B V j P P 9 4 L p t S 5 b O Y 7 I S E K Q d 3 l r H a Z C a / K V W p f J N q s O C r A s K H A E i L 1 t H l n b Q A A l o B D A q 8 1 p V E 7 x 8 9 Q m 1 j V n E c w B U + 4 4 q 8 Q t h U 1 7 u T 6 O 7 t u z Q 1 N U 0 P H z y i q u o a 2 l 8 8 R d O T E 2 x D q d 9 A s O v U x H j Y Y 6 e r c b C V S j I 9 Z P I 5 a W x 0 h G u H i U Y G B + W z b I e D z x m j 8 f F I n j 9 4 + b K y s 8 P P D C R q G s m h o a F h T S U 0 U 2 O J I u F m g e n s n e b X 1 y y / B l R W N F D H S F A c D 9 D / U R l Y 4 a O c 1 B B N v o K w I S P Q q B m H x q 8 1 n C O T V T r Y U 3 q H L d z 4 6 I P C e K z 7 / U y 2 b R 5 u L E y S k g x q I b x 3 W V p 8 H l Q 7 9 C N N M p F y 8 / L F V s r O y a H h w Q H x 6 D l 4 3 / z c L N m T 7 J S e m U l T C 7 w v L V I 1 8 L z 0 O L 7 r 1 2 7 S e 0 c O L f E E R q / j u U L t w / i x x w O b J 9 5 v U 6 l 8 J m 5 x u 1 i t h 2 p i l E S Q U q + a T I C x J V u L T B A m W / O U r o c k L q i / u o Q D m Q A n E 6 K 3 s 5 X u 3 b t P 9 5 o e 8 B 6 T h C J 1 t H f Q r V t 3 5 R i Q a W 5 2 R i Q L C F R c W i Z h R F 6 P W 5 K 0 g E y w L a c m l Z M C j Q 7 I B P v o y Z N n / O y C d O T 9 w 0 s I B O j P 8 0 6 H S z V S / D m k F I b V b y 9 M X f I e 4 r m 8 + l r 0 G m F K 3 y G V A y 9 c L 6 8 D 6 D T O 8 r b J + s i c c l n v L o s a Y B W F D + o 8 1 D J s k d w V O A f D Q K J J 2 D K R T d W 1 1 b R v 3 1 5 6 d 9 8 e 6 S 9 C K F J N b Q 3 t 3 P W O d l S I M r O y p R 8 q I z O L 1 b g J i Z h I z 8 h k 6 Z Q k f V U W J k I o W d l d D x 8 0 C 5 k g b f b s 3 S V q n B H w / u m A m n i g J k X 2 T U 9 N 0 g N W O U 0 m R a r N A n 4 6 B n r F e f F 6 A 2 E 1 z 4 h X S S w E t u 4 q n q X Z 0 S 6 W O H 5 q H l R O g Y K M 1 a + h t W u E E N n T P m a j 7 g n Y e 5 H A W g x s x D 0 c q l x k t c x F 0 9 M z s n / r t i p Z A u n p a b S w s E j P n r X K d n a O c q M n J d u l j w l A 2 B H 6 q m A b 1 R S o c I 7 G H Q 2 y R P / U A u L 6 D I A K C P L A Y Y G O 3 / w C 5 a y A W t j c / I z e e a d R y A R S b c 3 G 9 c Z + L / F U T O f u P n 4 9 z f S r B k s n l 0 u N Q I 2 W T q + S U O + W + y g 3 X a l u u o S B 9 I F K d 6 c 3 S Y Z g x E J 5 T o D q i 5 A I x i 5 D R i 6 0 m q g i 1 0 z V + c v j m C B N o H L p 0 e E 6 d N U N j c r o 8 D D v C V K S P Z l y H L m i n g F D / f 1 U U l 5 O D 1 r 6 a X a s W 8 h w / M R R + Q w A c X Q C A l A / k W T T C P x 2 W 1 s H 1 b K 0 x G 9 6 P B 6 x p T o m l n Y B x C M 2 h Q 1 l 4 k r k 9 U a c E E a 8 S j I B O p n Q f w T A w a D V Z d p X u V z t g x Q 7 V j U n Z A L 0 8 V e H W R r F I h M A a f L d d x e 1 r Q h Q 0 e / f e y D k e d L S x v Z T u d w / h n I I e B 1 k A r I L t 1 D t 9 r o w m a Z Z C g F G M g H I 2 G Q E p B W e 8 z a W j m J n c Q E p s V 4 B h 5 / 2 T u K 1 m M 4 1 x b + E M m f s Y H V n u X R 6 1 W S y s 8 C o y v V L 3 x G A + D s E t R q B B J Z I Z A m A b F D T 4 O 4 2 D t c A c O 2 z M 7 O s u m V r e 5 b i y u V r 0 o m b X 5 B H T u e C x N p B O p 0 8 y Q R B R W f A t W 7 m 9 a 7 O b k p L S 6 O q b V v C w a 7 + o I k m R g b J Z L G Q j c 9 z 5 C q b S k d / b y + V V V b S P 3 3 z k H 5 6 u o G S W X W 8 c P 4 y 2 2 v b q L y 8 j P 5 4 5 h x L v h y 2 5 / Z o 3 j 6 P X E P v n N a J F q d g Q j 2 J e 0 L 5 k r b L S 0 X L i a L j V R M q G n B v p y W F a H + l k h D I h g S V D o B U g v 3 R 2 / O c a u t q Z F 8 0 H t x / J I 6 C W J i f d 1 J G h o p 0 W C 9 u 3 r g j g b d T k 5 N C I N 2 1 P s P E B a m v 9 6 H P i W h v 3 h D l 5 e f R x Q u X q W D 7 a R q c N V M 5 P a b 6 + j r 5 H p C n r b W d 5 m b V W K r 9 B 9 4 V l c / j c d M i t x g j h r 6 z e A M a K G m w 4 r U k 5 z a G V b 3 X T S A j h E g V P g k T u t B u F 3 s K W W e 3 O P x U Q c 0 s k a x s 8 7 m p r A z R 2 8 s B 6 e L 1 e e n 5 8 9 g j Z S G N Q K p Y Q I j R d I x c g A c P 7 Z P I B 5 C p q 3 + a X A t q m M j C 3 C w 3 S P C O y i a 5 r S q 3 R n l F G T W W + F m S e s N k A h b 8 S V R V X S v R E 4 f f O y i N A t 4 F n r + K 6 I / 9 r u K h x G 9 T o W F x U f W l R J P p d Z N r w W u S q A b 0 f + k Z Y 1 H Z a g s D t J 0 r 5 7 d / / I 7 V q G S a m 5 9 X H x r w 1 R / O k I P V q Y M H 9 1 N l Z Q X N s i S 4 d P G K V H o 4 A b C 8 d O H K i h I K r S g 6 s q N x 4 8 b t c D T F t v K c c F a k 0 o o K 6 p p V 6 6 g 0 G L 4 P I M J 8 Z n Z W y k 0 + V 4 c j z U Q Z a X Y 6 e P g A X f j u E h N 7 n h 4 / b h H V E + q k z f x 6 n / 0 P C S Y U P 6 G 4 L V x Z u Y K 9 i R L K C A y J P 1 z l p Z N 1 E a f E Z 5 9 / z B X Q K e F D U K G M O H n q e N g 1 j n v L y s r k 2 + W K y l J t k V s Q D M c w 9 v 3 g v v / w u 6 / o X t N 9 f h 6 x H R n A f M Z + m h g f o 8 H + f m p / 9 l Q G F Y 4 M D c l v J G s O Q z z C g O E x w r 7 y s V S D J M L w j f v 3 H 2 q f q N / N d m T T y M g o 7 d z 5 D m V l Z w m h s k 0 Y Z h / 9 r u K j m M 7 f b 4 n b 5 s K S 2 c C t o 1 e c E U Y p 9 S Y Q K y M 5 J C R a D 5 r u 3 q d 9 + / d q W w q 3 b t 6 l / P x c q t x S w d L h F h 0 9 9 r 6 Q 7 F 7 T P T p x 4 r h I r c H B Q R o c G K K t 1 V W U n Z V F m U y 8 t r Z O 2 r 1 b 7 + R V w P B 8 q J s A H C E A U o u l Z 6 g 4 P B A a U R Q Y c Q w 7 D 0 D G p 8 b s A f 7 + Q X m e 7 + 6 L X B / s 1 Y c P m 8 n j x v 0 F a d f u n e J Z h B 3 V 3 P y Y t m y p p P G A C q K N N 8 Q 1 o f z 2 B q k M r 9 u 7 t x r 0 C r w a U A m d 8 4 t 0 4 O C 7 0 s L D J n H k 5 l C O p p L 9 / n d f 0 / t H D 1 N K S i o X l R P i x v V b E m 9 n B C Q e v I b 3 7 z 0 k S 9 W P x I 5 D 0 p j i r B A 1 P b f K H F d H a s 3 U 2 d 7 G B M w m H 0 v 3 o p I S 6 X v C c H n g 7 L P I O C f T x D 3 6 8 O h S c h q B a 4 D k g p Y w N z c v z 9 3 j 9 d C j h 4 8 p v 3 Y 3 f w F a 9 f h C X K t 8 R i K 9 S S Q y A s P T V 8 N 1 r p R Q l 9 4 7 c p D V q U c 0 O j o m w 8 4 z M 1 n N Y 4 A g B Y X 5 b F M 5 w m S C 2 r f / w D 5 Z N y I l J Y W e 9 / Z R 9 Z 4 T s g 0 7 L o X 5 k W 4 P S g I Z p z + Z z r X a K b u k n l z c E K W x h B o e G q b k 1 F S W i D f l n A + 3 e 1 n a K 7 U x l L f 8 N 4 w o L V W j g o G + v n 5 x U r g X X V R e X k o j z + 7 x 3 t j v 7 W 0 u c e u U s K a V L F H z d L x p x J p Y J S h 3 c n K K 5 m Z m Z d n Z 0 U V j T C Z k N N q z d z e T x q X 6 k d h W q q 2 t o b t 3 7 9 E A q 1 / o U 7 r L K i L s q W i g Q t c 3 1 I n N o w M D K r 9 7 i s r A 1 Y E l B h 7 P / X 4 b 3 R 8 v p m d T e V T C p I C 6 d u j w Y R k 8 e O n S F f q 4 w c 9 V R 5 1 j j C e E B A T Z 9 Q Z s 0 R W Z u z c v T / V j z T s X y O d x i z M l H h G 3 b n M / Z Y V f 7 N u K 3 F w H l V e U s 2 q X T U X F h f T F j z 7 V P i G 6 1 p t F 3 V 0 9 0 p k K 4 N i Z q R k a H h 6 l 4 8 f f Z 3 X r p g w A N A K B r 3 a 7 n Q Y W l w 6 H D 5 q W D 1 d P S U 2 n W Z e J 2 k Z J + q E G + g f p Q d N D O n n y G D 9 f E + 0 o i S S F A a n w n J F S D J J z Y W G B O j u 7 h P Q 6 s r P V M J K M j D Q J z k V H c P Q 7 i 4 c S t y q f 3 / 9 2 k A k v Y T W M j Y 2 J h E h P j 7 j A u d 7 K C N u p 9 M N 0 4 M S n d O d 2 E 2 3 d W k U 7 d j a S W Y s G f + / I Y V E R 0 R c 1 z / Z L F 5 M P j w O V 3 O 9 f e 3 S w j s L 0 k E j F j o 5 O + u y L T y T r E Q Y Z O p K X z h w P 1 3 m W p o b i W m t q q m k v S 1 L V q H F F 0 + K r U l P T w l 5 L U w D X s f z d v c 3 F d O H B s 7 e 3 C V 8 F b k u N e J t 0 O 0 r H 6 y B Z t O O h Y 4 z J s G i i G S 4 N R R 4 q d + B l x A a M + f 6 h c R o M 1 Z P d G p I p Q X F f 5 1 p M Z L W r t M n v V 8 7 Q x M S E Z C T C E H m M 6 g V G R 8 Z Y G m R I f x a k i o 7 o Y R / A e 1 u 9 k t P v E a t 7 M 2 7 M u U t 0 t N o r 1 Q R A j r 8 z 3 3 z L d l G x Z I x F / N 9 C 7 g k m i p 4 x C d m Z l h I V 9 h 3 s O t U 3 5 h M J i Y 5 j E A p R 6 h 7 e D m a r 2 M F 4 g e n C w / g k 1 C J t k x f 5 J r j L 9 + Y P s i q U F e 4 0 N a K l 5 Z l I A E Q 2 o C M W l w j H A J J W H q z y 0 b V O 5 B X X D m Y Y y X m l I y k 8 d U 2 6 z U e V K Q O S s Q j j o N A 5 j M Y E 6 q I u H f A s Y I s 1 T x c x 0 f J k H 7 q r V p o v K h o 9 v Q N U W a F s K g A T E P R M W m j C a a b 3 t y 3 v A m h u f k I 7 d j T I e 4 B U g 1 M E x A K h k G 0 K 6 y F H f N l S p o t x S C h L e h X N z i s v 3 5 t A q B P b 1 H Q x U L s a G + u 1 v R G g Y o F Q l y 9 d l R a c K j 7 T P o m g O t 9 H n e O K k D q p c D f n D N I G 3 r c c m 5 P q C j w y T P 3 k q W N 0 + e I V O v T e I c k b 0 f L k K a 8 f p L S 0 d I l 2 z 4 4 R L b E S F v k n U / m n x s c n p f 9 r P c A 9 Q 7 I F A h E J h b 4 o L B E o 6 3 K 7 K J A Z 8 Q T G A 7 i p Q Q s X X y U Q U k b y 6 y J Q N B D B j f F B s c g E I J I c K t m x E 8 d i k g k o y Y z c i z g B e I m 7 B b l 0 g k H 9 m g 1 k U X J a t g y f W F x 0 U z J L B U i p l t k t 5 M 1 7 j 3 y m d O n E H Z q N J L d c D 0 A m 2 E / X r 9 2 Q h m o 9 g C S 7 e 6 d J 3 g N c + c b X A Z I p L H 9 / b 3 O J y / F Q r G G 8 M T i 0 R a l C e m a h l Q C S r D a B w L 2 B p e o i J J M e m Q 6 A V I i + A G D / o N M 3 L 8 9 B S Z U f S o Y k f G J L y S Y H m 1 2 Y q K 2 h e P 0 P C V L z 3 N k L V F h Y S D / 5 6 Y 9 k s g J E m q 8 H i D R H b C E i N r i J k 3 1 Q / 2 T 2 D z A s x v t 7 m 4 t E f M V b Y U 3 j j Z F O m P g M M W 7 7 9 7 + r 7 V m O 8 + u Y i Q P 5 9 q K B M C D d w T A w b a F 5 N 7 e Q / A A u t F r p C d t R w B G 2 b Z C / T 8 f V r v V n d E U w K 9 T Q i U l W 8 w r y w h 3 H + X l 5 3 G i t L a V 0 d f v W r T t q O D 6 v 4 x 8 k J t Z F 9 W N d M v r 9 v c 0 l L l U + z P H 0 J g H B o e h U X Q l 6 s C k c c e U v M W 8 U S F W W o 8 5 D a j H k 2 z O V f S T b Q G W u P + y e 1 x Z r o p 1 V V K i q G L F b U l x E D Q 3 1 S x q p z M y 1 x 1 r h e B S E Q M F R o m / D S Y E l 8 g C a / Z D c k X f 3 t p d I 0 x V H g C G M F w b o y 9 e J g T 6 V L D I W P D 6 8 C A V c a v 9 M b O L F c n U b g Q B X I y C 9 r m v S q C w b I l t W J f u s H g i r Y 8 E T u Q a o h / g t p B 8 z e i X 1 8 V k 6 E A z b 3 t 6 x o j 1 l f P 4 h f h / b 6 z G Z X Y i a B y w 0 z A 0 M 1 h H N P j e 3 u i r 8 t i E + c 0 q 8 Q b j R k 0 T u / O P a 1 l J 4 M d y 9 c / 0 q m B H 5 G U H K s A c l r 0 R B Z m A Z S Q D E 6 g F w a x u b F Z A P 8 1 R d 5 d 9 G N A T G Z Y F E K L p 6 m F 1 9 M k w K A H n + U l M j E e L w S l Z V b R H 3 t 5 F o R u B 0 I R Q X R E / g f j G w s d d V I f u C g S D 5 P E y o 6 P f 3 F h d W u e P v n w 5 j h T C u v 0 o 4 2 a 6 x p 6 S J K o a E J q j k 8 y w R U M k x Q / t 6 g e v H k A k d 4 / N m 2 p I X l C Q u E / M r q 5 O 3 e 2 0 0 F u N z z K T o Y u l 4 u z d C 6 I J 0 P 9 k m b 8 n 6 0 K S b r l y 5 L u u I 0 d v x T q O s G w H v Z G 5 u L l 2 K 4 a D A 9 U L 1 V k u + d i b g 9 S 4 1 E Q M 8 m v f 6 r K z q s n r O d p b x 3 b 3 1 / y 4 3 t 7 + e m v Y D w h m q k n 6 P N 6 E P S s e O Y j 8 9 G V 4 e s A q k 2 E K 0 r 9 I n K b n y t a x I x v R c K p 8 4 f 5 a f K 6 3 8 i x D x Z V G Y 4 a P K j G k Z R 9 X X N 0 D F x Y V C o F i A e n i r P 5 v S M r L C L n y o g j 5 / g N w e t t 9 C i O z A Y E + v R F j 4 f R 7 y e t 2 U a n Z R c Z q T H F u X k / V t R U L l e 0 k Y I n n W h Z L s g K Q A Q z o w E M X L q k 6 F Q 0 0 s j R A f k E o n E 2 D M d Y c O W 7 j A g e 9 D J q O E W w v 9 T y 7 R B B M Z w b d F R Q W S E O Z x c w u d + e Y s T U x o s 3 e E E R I y A Y j y a B 9 T E 9 d d a L P R x T Y L n W / F 5 H X c u I l t G 5 T p c r A + s 8 j S K s Q t R P T 7 e 4 u L 6 f L j j r i T U A s s o e C S f V M k F C Y E w P M 2 4 q v f f 0 1 f / P h z b W t 1 w H 0 N I P s r s J a D Y i N Q 4 5 i n k h x i a e K n k Z E R 2 r Z t q / a J i u x o b + u k H E c 2 t T 5 t o 8 Z 3 G m h s b J y G r W r U L t S 4 A D c C m H N q a q S L 0 n N K W D r 5 K O B j C c V L n 9 f D x S 3 2 U 0 P + P D l q d s t 5 8 Y C 4 7 I d 6 U w C J B A k U 6 5 q Q h m u 9 u M q 2 z K s k E + B z z d B g / y D Z 7 U n U 0 d 6 l 7 V W A 6 t e 4 o 5 4 K C g r o 1 A c n q L C w Q N I u n 9 J y Y q D x Q s G s J j V Z U 3 S s 2 k 1 l W X p O e T R y x o L j Y r / H t 7 H E p c q n R 1 Y b I 6 y N 6 6 8 C C D h d T c X y G A b 5 r Q b k h r C V H 6 P R e X X 9 + M 4 X l b Z R + f 1 j A i 1 r Y 4 l P I s 4 P b P H S U E + r S H m E D 2 2 r j k g n I 4 x z 8 w J W c 4 h K m T g V D p 9 I q Y o c H / 8 2 f z E T B / t E Y z A U b F v S W F X E r c V J e Q G t + u 1 C L F K 9 K p R k B p T o j w G Q Y R 5 e s x 0 N N K m l N 1 4 N y G j k 6 7 9 C h d p k A p B 6 3 s 6 v 5 f s x i 8 d q y E o J i Y R E q B E I f r T a Q + 8 W T f K 5 I S G Z f n o K k w i f l 2 Y F J W o 8 m 8 8 7 c H C / d M D C I V F T s 0 0 7 c n X g 3 r Y X e u n p / W v U U L h I l T l e c a m j X 3 D S G b G f 9 I J t S 7 K S v P E C 0 9 U n n f F n Q 1 G V R D X r N p T e o r 9 o y / 6 y M E 4 I Y A S G L d y 9 c 0 / i 2 9 D y r + Q 1 i w Y i s x / c f y g J T z D s v f V Z 2 7 I E L L F U Q d 3 j Z k T r s 1 a q 2 1 6 3 r o a m h e 2 j 8 r I S y s x c e x Z C / d k i J A m B r x c v X K H q 2 q 3 k n F + g o q J C m d w A I 4 g D f m / Y h o J j 5 v C + S s l d E S + I S w k l / Q E / o G R a 6 6 s x 1 2 0 0 0 N o j W x H m a c I w 9 P W S C c B w c a h d G G y I f O b R Z A I O b v F R k m V p g z H u X H 6 h m G B 6 r W e j k 7 O x o W 5 d Z N K B B k y k D y + R h S n X k S u 2 H 7 Y p G A i r e a p g O 0 C p h p H I 8 Q D T 1 Z b 4 k 1 C L w S 3 k 8 f m l L + S H l l B Q n f Q B g F D D o F 6 h v m J U 6 + P m J x J l b r M l U X V 1 F e X l 5 Y U H 5 7 0 o Y M 9 g O D u o 4 M h d m h M i G u h E f j h g o 7 0 s K a M B m y w 1 N Z W v K X a f m A 5 E v u N 7 d p b 6 q C h z u b S N B k i C 5 4 2 C x k P 6 o f g d d H R 0 U F l Z G V 1 4 B o 8 h J B T G R c H D x 8 W 7 S B 9 / t D T f 4 N s O J l R X 3 B H K H S w m t 1 / N S o 4 X / U M S C i i h F i o p z C O H Q 8 2 E g d 8 Z n 5 i Q q G x I A 9 g Q 3 3 c W P 7 i q x 8 Y m Z A j 6 9 0 X f 8 3 6 q q F x 9 6 D l G 4 1 7 u U F E U c F L A r o o F / Z n q h A K Z d L U P 6 5 O s o q Y k J 9 P F V k U o F F H 5 W N 3 z e V 3 0 y S f 7 5 f x 4 g b z m e C s p Z k w m 9 m p Q V + C n H f X V Q i Z U L g w k / O 7 8 J c p I z w i r V t + X T A B U R G S I 3 Q h M T 6 / t D E H + C t 2 J h 4 n g o o N v A d w v S k S N W 1 p u X L 9 N 6 W m p d L P b E v U Z G j q l 8 h n f W z y U + I y U Q C E V M 2 a 0 F 9 a y H V 4 U 7 1 b 4 q F K b 3 w l O E K C u r k Z S H V / 4 7 o J s b y Q Q j L o R 6 O z o 1 t Z W x 6 n a i F M D w b Q + L X 9 F N H R S Y U J r n T D I l V F R W S b 7 P F 6 4 y Z l E o j F E l u L O 1 9 9 X n B T N e R p / B Q a w j o 0 m k o 7 c N P U b q E S Y Y Q J u c K Q 5 v v j d J f r 8 R 5 / R d + c 2 l l T + 8 L D x 7 w c E q q 4 X + o y J C K S 9 q K m A R s S S U I 8 f P 5 X p Q N F l e 7 k D U 5 B y o x N a S i Y s D 7 2 H N M 7 L 3 9 3 b X O L S y w f k p K D y / X D m o d E l v e h y S X 9 R X m 4 u 7 X 1 3 N 3 3 5 y 5 / L / t M f n J T U W 6 h 0 G 4 G F e R W C 9 H 1 R V l 6 m r a 2 N 6 M 7 p R w O K j L A L o 4 k E o s A T u X 1 7 r W x n Z O Y w j 0 A g 1 e c k R A r C Y e F n Q v n 5 m c W X h w + I 2 8 y x 5 d n z L K W U 2 r f R e K d k q f f M O e + M 2 e o j B g 8 u 8 q + / O i O V 6 v s A B j + S W 2 4 E C g u X z p O 7 G u 4 2 3 Z c 0 a B N d N 2 R 7 3 K n s I U W Q 5 a R C D n O 1 H q K O M Z P m R o f H T 5 N O r A K K + s c l + p 3 F Q 4 l b C T U 4 6 + G X t l x F + r 4 E q 8 r x U n F W h B x I 1 2 W X t M L L v z c 5 J Z n 2 s M T 6 g t W / R 4 8 e i + v 7 Z Y E h 9 H B 8 w N v 3 f W F L S p J K v x L w G f J g n G c 7 s K i w Q C Y i + N U X K i d G g I m C G T h 6 J + G 9 V N I H B S 5 y T G G D + X W F Q P 4 A j c / x d w m J t M L 7 I Z 0 k 4 1 G M d x M P i F s b S g q / Q P E k c W X f K E n V + q y Z z p + / J J U H E q i / b 4 B y s m N P H I 3 K b + f K C + z Z s 0 s S P 6 I f 6 G V R U V l B X Z 0 9 0 h / 1 f Y B c E U Z C Q S X F d d 2 8 e U c S q m B 8 E x J z n v 7 g l B B k a d 8 Z q 6 / 8 v 2 1 E S S o 4 H Z 4 8 b p F U z E i T B m 8 k 9 l 3 t w O f q + Q u R U D R V D + X T L 4 7 x d 0 W 9 r z g o p h v P e n 4 4 Q + M 1 I z M p l V r H 7 G S 2 K F V J t 2 V W s 2 k w Z 5 I + d H w l 6 P Y T J A 4 y A p U U x + 4 b w l y 2 k 8 g Y l B e J L O / q 7 p H o A + O + F 4 U + H g m j Z f V 2 A v e E p P 6 S U W g N I E U y y A 4 p 1 N b a Q d v r a y V 7 L Y i 2 G r 5 9 m i T O H l 0 y U c h P N a m 9 V F C g s i B J H x S T 5 X q H m d x e X u f f Q E e u T / q f E G 4 U G b b x s 5 + d 1 L 4 1 v h C / b n M u c 7 5 F r g B + a S W N W E 1 a r U U m I 1 A B V y I T g A p l j c p 2 t G 1 r F a W n p V F L y 1 N t z 4 s B J G 5 + 1 C w E 6 m j v k P l 2 + / s H 6 O n T V r H X I A U x u 6 F k o F 0 B G J L h c X v E D f / J p x / K j I J r k Q m / 9 0 G d i 3 z 9 l 4 R M I J W f J V H X C G a I V O O f s K + P V U G P d 6 m K B 4 m E s V E g F w q F u B j e U z y V + F b 5 u O h e J R j R L 4 K N 0 B B R S d 3 u 5 Q l M k O M b s 1 P 8 4 f f f r C o t j c B x g 4 N D 1 N 3 d S 6 d O n 6 T 8 / D y q r a u h T z / 7 m I q L i y j J Z p U k K j t 3 7 q D 9 B / a y O j p P 3 5 2 7 K B O 0 R d t d 4 k B Z 5 / 3 h d 1 F A o q G h E T r x / i 5 N S n F h I m X n o 6 9 J E W h 2 I U R d Y 7 C z A l S d 5 1 a k 4 q L b T Y p c P v r s C y S t W f q e 4 q X E r V N C R 0 M R x u a g t Y S K E q m 8 a 9 l U 6 6 z n q w K / i c o W C y A b J q Y + + + 1 5 b c / K g C p 3 i + 2 b g o J 8 c U k b Y b G Y h S B P n q j E l o B y Y D j o g w 9 P S g b Z y c l p u n z p m o Q u Q T X r 7 e 0 T a b Y a d C L h O a j 7 C P L v W P i 7 r V R f 5 J F n G g o F a H A a j V a Q v z d I 9 / r M Q q D i D B 9 l 2 p k 8 3 J i J e i j E U p I K R U + Y G Y + I W 7 e 5 X p z y Q v l F s q r B 1 Y N v + X s y x T s j w z D W A x j z C 8 6 l 8 y g Z g Y p / 9 N h 7 9 M / / 9 K / h Y e 5 G o K L C + W E y m W X o x m o R 6 p i 0 e n m u B x D X J j k h j p 9 4 n 2 2 u H C Z T L 5 M s K z w B 2 m p Q h F L S C A 0 D S A h 7 y O Q a o Q p z K + 3 M n x R i u V n F u 9 y h Y i c L 0 r 1 U l u W h K a c 6 R 9 Q 8 f v 6 6 y p e a m r T k / c R b i X u V D 6 W x 0 B l + q U b J 8 z K e v 8 Z i r i B c w d r b 2 q W i r Y W 1 b B N E f v / i l z 8 X g x 6 z Y + i A D Q S p s m N H I 2 V l Z W h 7 V w a G e K w 1 J A Q E h r 2 E P q L 1 Q F f 1 I J 2 Q M w J 9 S l D 7 I P U Q V u R e d J K z / f d 0 v d P C j R b U P A 9 V Z C N v R I C e D p k U i e S 5 g 1 T K f v r i x 6 f 4 m 5 e / o 3 g p c a / y A Q t m u 0 g p e a l c l D 2 l V J o X A W L P S g s y K Z V t o N q 6 W u o f G N A + W R m w e 9 Y D R F o g X d g / / s M / i 0 r m X F i Q 6 W i i h 5 m v B O T O g 2 2 2 F k A q k H c l 6 C T S i 9 h H L I X g x E C 8 I v J H i O R h k s F m e / f Q U f l 8 X 7 m L c p L h o F C e P v W 8 V S M G I i E 5 S y j 4 / f v Q 3 n T E t Z f P W B o K X a z 2 Q f V T L x l c e t H + K a 5 D T K I h q V B A Z U W F S B H 0 S 8 F 9 j v 0 Y X W v E e j m L 6 z h x 8 p g M J N y y p Y I c 6 3 B / G 4 H z 1 z v W C v c f j V h E U m R S 6 3 3 9 f T I M Q 9 + P A h W z + c F t O l D u J L / X J Z N r P 2 p + Q v e f Q z o p i Q Q i I R 8 f M h 5 9 + a s v w u 8 j X o u Z q 9 S m + O d N Q m V Q L 1 h X Q 4 w B t O v F c 7 Z B E P R 6 5 8 4 9 2 d 6 z d x c d O L B P H A N z 8 / P k 5 Y r z i O 0 e k G x 0 b I w K i 9 Y f 5 g M g 4 u B l g H u E 1 F 0 L 8 P i B D E Y o W y m K U B q R U D A v L 3 K T 6 9 u q + M X T e J D v H Z I V + z A 6 t 6 6 2 m h b d S k o p U o F M L J m C X u l C i L y R + P y 3 K V Q + H Y c r n c p B I Y U r B a s q I N W L S C l r b i P V b a 8 l F 6 t k y O + A T t p F 1 6 J k W E X E R G Z G B u 3 a v Z N O n z 5 B B f n 5 V F R U p J 2 5 P i A H + I s C f V P o M F 4 r i n x 2 d l a S p p S W l W p 7 I m Q y k g r q H J 4 P o i e w L u F V b A t K v x K K E E o R D s e j M x m O E 8 y Z O z G v Z i w U T U B I h a W P f v n n f 6 L 9 Y n x j U x F q y p T F q t + C q C A i q T R p h c q z X s x R A d m z K 6 i 0 v F Q 6 V M + e P U 9 j I 2 N S G a M B o k b n Z E C F f t 7 X R 0 1 3 m 6 i P b S X 0 E 2 H e 2 8 H B Y W p + 9 I Q O H j q g H b k + 4 H c v X b x K h w + v f d 7 N G 7 f F V t M R T a J w Y d I 8 f N B M V y 5 f l e d U y S o o n p O M x E X h 5 6 W i I v Q R u n 6 Z N B v B y K 3 D f D 6 f o 9 I u 4 z m z C h z 0 i + 2 2 G W C 6 3 d H / Y p b 5 W 4 4 M 3 x T d 7 E 3 h F 2 w j i z V J I r g x m x 6 m 0 0 Q r u y 5 p x Z X w w 3 o v H 6 s 2 k R b s z q 0 m b v m L p e K g 0 9 Y I V F i E + 5 z 9 9 j s 6 e v y I S C 7 g 3 L f n 6 c O P T 8 v 6 y w K / u / / g u 2 t e N y Q f V D e o a T q R d D L B 6 w d H D d Q 8 i Q b n 9 Q f 3 m 8 m R m 0 N 3 b t + l z z 7 / R E i G z 4 x k g v Q B y a B G g n h P u C p N L / g l x A i E Q t 4 I 2 F a / / u u f a V c R / 9 h U E g q Y t z n o U M W C k k 7 Q 7 2 W p q Y G a C r g m u P I i h 7 e O j P R 0 O v 3 B C d q + v Y 5 m p m e l o u r A e j e r Y w A 6 c n U y A S d P H 6 f f / u v / 0 7 Y U Y I + 0 P H k m B Z 6 7 1 Q B p 8 r C 1 n y Y W V m 7 9 d e I M D o 6 w R N W H V m h 2 E k j B 3 y G q H K 9 D U i 8 s O G m M r 6 G + s U 4 6 k q F G y n F M H F 0 a R c j k F 3 U T S 9 h + 0 w t 8 D E s l k V C Q T j 4 P 5 e W u 3 d 8 V T 7 D 8 5 j / 9 5 / + m r W 8 a O L 0 m y r e 7 a M w Z a U 9 A g X A b r 2 2 s 1 e o / 7 p 6 j w b Y b l J a W K p U S H Z + 5 u Q 6 2 r a b Y Q F e D 5 w Y G h n g 9 V f p u o v u J 4 J W D G / r a 1 R u U X 6 D c 0 S 2 P n 9 K 7 + / d I Z W 5 v 7 x Q 1 s K e n V 4 7 v 7 n 5 O z 5 6 1 y v d D R U T m o r z y O r p 4 5 n e U U 1 x N 2 e m x b S g Q C n Z O 8 6 P H V F p a K r 8 L Q o E I u F m d Y I g L x O B D 2 E u 4 d U w O A H s R r n s h n H Y O 1 n 2 8 H O g f p J T U Z N 7 n o 9 v d 8 B 4 q V d r H R A K Z Q r z 9 5 a 9 + p C 5 i k 8 B 0 u 3 N z q X w 6 L N M D 9 H w u j a b d y a z 2 2 U T l Q 1 g N I t O h A o J M u g q 4 G r H 0 y P O b 1 2 / T 4 S M H Z R 1 S p w b e L l b z n j / v o y 9 / 8 T P 5 D t h c W K Y y A e H E Q A V F C w / n x s T 4 J H V 3 d d O f / v w n 8 h 0 v g r b W d l E 7 9 + 1 b m p J L l 5 R Y o m M W C W Q c T O y a 2 m 1 0 5 s x Z K m N y Q S K C m I V F h Z J R S S Q W 1 D + W S L h 2 N A j I H I t G Q z x / T C T 0 R + G 8 r O x M 2 b 7 V p Q K B d S K J y u d 1 0 1 / 9 5 t / I 7 2 8 m m O 5 0 D m x K Q g H B 8 W 5 6 N O Z g A r E 9 x U Q y E g o E Q 0 s u Z F q F W D Z L i E 7 U e K i L y T A 4 M C w h P s 3 N j y X C A e e j M i P Z f 3 J y s q T u g u Q B o M 4 h / 0 R a W p p k k g X Q 4 h c U 5 q 8 Z X W E E S J q R m U n D g 0 N U 3 7 B d 9 u E 3 j W T C + C n Y U B j u A b U v I y N d 7 g 8 S V Q 8 t Q l H q n 7 7 O a h 1 U Q S Y W Z n x v 3 N E g t h L I n w / p 2 d o m j U Z z P 6 v R L l b / W M V T R F J D N O o b t n I D o + 5 r M 2 H T 2 V B G m P O r q C T d p a k q S l 1 B U X a V 8 g C i Y u m D 5 M T G 4 g q o V 1 Y A s x J + 9 S g k y R w R l 4 f h E + 2 t H e H h E y D h s e P v 0 4 G D q q 8 K Y 6 R A t E w m A S o o S I Y K D A w M D C x T C 1 c C r g G R 7 C D G r R u 3 R U p N T 8 8 I K V S B P b R A n Z 3 d E l z r c O T I P m S O P X f 2 I o 2 z x M I 2 n A p 6 U Z 4 8 V Z T L O 0 B X r l y T P B n o Y 4 L H s q y s l C y i q h b K m C e d T L r N 5 P P x N Z m C m 5 J M w K a J l I h d T O S 3 p R k q B A z q K G I J q Z R r X R + 2 E F 6 C W F z s 9 h S 6 0 p N J L p 9 F J g G o 3 1 E v s X X R A J F m p q e 1 L a Q c q x O v W x u 3 9 r C j G h o b Y k r B a O i E v n T x C k u 8 P F E t j z J p I X l 0 4 s O r O D s 7 L y N u M f O h S B y + D 9 h S n 3 / x i U j M b / 9 4 T i S l E A l F S K W c D x j C / u x Z m 8 Q a o i G Y d i q 7 y c f P B A 0 B h v 0 3 9 Y T C z 0 0 N H m S 7 K e C j v / z N L 2 I 8 6 8 1 R W E L F 2 L u J S m l p l v T i G 0 m F I p 4 q j V S y l A q n i C W S S q u 4 u o o E y X W t y 8 Y S y 0 I N 9 d v p 9 s 0 7 / P 1 L c e v m b U n H r A N u a a Q f 8 3 h U J V 1 P H n G d T E 1 3 7 9 O p 0 y e E p D / + y e f i F R w a H h F H A l J A 4 z h E l S u y 6 B J I k Q r L d C b f 8 R N H 6 e n T Z y z Z Z m l 2 Z k 5 U u 7 m 5 O b p z u 4 k W m G h b q i r l P N x 3 s o V J I 3 a S T 0 h 4 q y s Y f l Y 6 m Q I s o f 7 6 P / y K r y 7 2 s 9 4 M J S 4 z x 7 5 o O b i v g l t W V A 4 Y 1 U Z i w f 2 r S S o h l b 6 M S K 0 I u U A s t j f a L H S D i T U 9 M y P Z V n U C A F 4 t G S b 2 o W A s E 7 I B e T x u s r E q p p M z V g E J U J m h v i F e E F 5 D Q K / w 6 F j N d T i o b n s N l 1 r p D w u T S J Z K A u F Y h E Y 9 e f J U H C K N L B V x L Z C o G C L y 4 N 4 D l p T 1 b D b y + f x 7 R c W F G p H Q v 8 R L L g 8 H k / h 5 q f 4 m K f L c 3 P T r v / l S x g P F e s a b p t z t G o y 8 8 U 2 O a z e 7 u S K h w 9 c m z g n l p N A d F B b + z C w S A c u I B z D i s E D h P / J g s Z Q F t t Q O m h 7 t p s O N e e T I T J G h 9 s 2 D N v K 4 F r T v t a g 0 Y f w 2 j t d 4 K E m t g n 3 4 K / M 0 g b C l p S W 0 u L g o z g z 1 U Y j O f 3 e J j p 1 4 X 3 5 L t / F Q E I U B W w 7 R E S D v 9 W u 3 a P f e X R I t H 4 u w W N 6 + 2 0 x 7 d t U L + c 5 f v E 5 H j + x T 6 i A T C s e 0 j Q R p a g 7 k R G O j N U B e N + 0 7 s I v 2 7 k P i y s 0 N 0 9 3 u o Q S h D L h y r U O 8 f r r n L 0 w o b R k m l R C J C 8 K L l 3 g B 1 V K t Y x P V X I O 2 L 7 w d h f C L Y D I g Y 6 s c z u u o y J c v X Z V o d J 1 E O m l Q e n t 6 q a C w k G 0 5 x N u p f f A s Y t o b r I u U Y j L i S q K J h K I i J A J 0 + / Z d 2 r N n N / W M h 6 i 1 Z 5 T S P Z 2 U Z L d L U C s k I 3 6 j d y 4 7 Q i a W c A G / h / a + u 5 P 2 H d q F C 9 v 0 M D U l C L U M l 6 6 0 k U n I Z O y f i h B L l 1 B m I Z R O J r U E C 2 Q b X 6 S t K 2 B d W x U s 2 W B E X g N z A H + 1 d b W 0 W 4 K 0 u 9 x H q b a I B M J H a h m k M 2 f O 0 f H j 7 9 N N t t M Q s X G f V b e P P j 7 N h F E d t z g u J p F Q m E z o W 4 I 6 + L T l G T n T 3 i G L y U + N R W 7 Z B + k E Z w S G Z U T U Y U g n D 7 1 / d D + 9 s 6 t B r j G B B K F W x I V L T 5 k s I F K k w C 5 R U o q X G p m U t F K E 0 g m k F 0 U i j T i 8 4 K 3 w u v Y n C m B I e E 3 9 l f / 4 g 0 z h I V E H w 0 T i f 4 i v Q 8 A t O m f / 8 R / + h f 7 s 3 3 4 p A x T L y k r k J x C w C t I Y C a X H 7 O l O F U i w B w + a p W M 3 I y N D 1 L 1 A E G q d T i a E G P n o U b 8 2 J Q 0 c E C y Z T n 9 w h G r r a + R K E 1 A w N f U M q 3 e X w D J 8 d 7 6 Z n 5 C x w x d F k 1 Q g E g g V l l I 6 s T Q S 6 e u o 1 d h m h M m l A 9 t L n v 7 S V w E S a C t C n j 0 l C 2 Q 1 e e n 8 u Y v 0 y a c f U d / z P p E s x S X F M n o W Q J T D p Q t X 6 d j x I 4 p A s K k 0 U h m L r u Z h H e o c E l X O z 8 3 L E H k Q T L e b Q C o 4 J d w g V K + e 8 M Z P f / 2 b X 5 A 9 e e 0 R w p s N C U K t g f P n H 3 G l Z O I Y S A V J Z T I Z S G U k l K x r p A K d s M Q 2 v k z 2 y V 5 Z 6 o s w d P 5 E V g z r I d p Z t M i q H 6 L c T Z J 8 B X z r 6 e 6 h k t I S s l g t Y e K M j I x Q Q U G B d C L r f W b R R T p / Q Q 5 I O L d H I i j K y 0 q F Q E I o j U g o X i 4 z c x 7 q m S D K S v b T L / / m L 7 X 7 S y A a p n s J Q q 2 J p q Y O m p h 0 i l 2 l S y t F J F 0 F j C K V t u Q / 2 r Z G J F l G K q L a H d k O 0 y f 8 R n h b 2 1 G Q H q C 6 Q g z d x z 6 t 4 B + T C K m Q 4 e r G 8 A y X 2 0 V Z m Z l C G q O a p 2 w p T c X D N p N G h R o F a N H l o 7 G Z R c r P s t G i O 0 A W A p m U 3 T Q y P C J q Y M t g k M o d J v r x n / 9 a r i y B 2 D D d 6 0 0 Q a r 3 4 5 p u 7 T B 6 d U J r q p 9 t V T C K j P a V 7 / 8 A a / F P / 8 U f + K i h G L Y d i k e J V e D 1 E h y o 9 T O i Q z K z e 1 d k l 0 R A I P z p 0 + I B E M 2 C m + J 2 7 d 2 p S C a T T y R Q p O o n 0 8 C Q 9 X q + p Z Y i S Q z N k t T G d b P m S K g x 9 X e i r a u U q U l u Z T R / + 9 E / l W h J Y G U y o k Q S h X g D f f H W D g t y G K 2 I t J 5 V u T 8 k 0 o N j W C C X S S f g E E k W I p L a X I m w 7 A S K J 9 G W I b O Y Q m c Z u 0 r b q b d K / h G O h n s G p s G f P T i F N R D J F 2 0 4 a k W S p 1 q E e I g J d d f r 6 q L W 1 n R b 8 K V R V m i H H 9 E z a 6 G / / 7 s + F s A m s j Q S h X g J z c w t 0 6 e I D I p B K J B V L L A u T i O 2 q m D a V Y h L + q 6 V O K F l f G R F i Q d r o S 1 V S F l u p Z k u R R K Y j C s L t 8 c j g x s K i A s 2 W C l B H e 6 e o b t Y k K 1 W U l 4 d t J k U m O B 4 w Q d q c 9 h 0 B G Y o P + 9 B q s 9 K Y O 5 P S 0 j L o L / 7 m S 7 m C B N Y H 0 / 3 n C U K 9 L M 5 8 f Y N c H r + S V p B Q Q i Z t a Z B W Q i y w S S N T W C o t I R Q + 5 4 V G o v B L A Y H C S 1 7 D f y F V k A 5 u 8 W q O B 7 U N 1 3 Z H R 6 d 8 P 4 J a M X g R k g k j h s s r 1 H y 3 s J 2 g K g 4 N D U t S F R t L n u y c L H K 6 g m S 3 B v h + g j Q 8 b 6 d / / x / / X e Q 6 E 1 g 3 m F C j 4 X e X w M v h / / 7 2 A l d s J o e Q S V P / l p A K J D L 0 U w l 5 V G V d q 9 K G p Z R G K N k W U o E A Q d p R r B J 3 R m y m a D U v K D N 9 Y K Y N 2 F u I f I D N B L e 4 y + W S 2 R e T U 1 J o b n a O x r 3 Z 9 J O f f 0 5 F x Q X q N x N 4 Y S Q I t Y H 4 7 b + c o 4 B G L O V S Z 2 I Z V T 9 9 X Z d G + j o g 6 8 I V D Y o 4 s q a R S i 0 V q R S x Q r S 3 H D M 1 M o m Y T N H 9 T f D m u R Z d Q p 4 k m 0 1 U P J A J 3 r u p m U V K S 1 Z D 2 3 G t B z 7 5 G W U 7 H P I 7 C b w 8 T A 8 S h N p w / P Z f / k h e P z 9 W z a Z S R O J i k F Z C I 1 k X Z m E r v A h D 3 g z k E h Y a i W R V S a M t D j 9 l J b N d h G 0 D k c K E Y h U P w z O q a 7 a R 2 + W m o e F h N U k b f 4 c k 1 O S V L / 7 i 7 7 R r S G A j Y H r Q N 5 Y g 1 A + E m Z k 5 + u p 3 F / k p K 0 L J E q T C P 1 R i I 6 H k / 9 K K r R N J r f N S i I R F k H a W q s y 3 I J c Q S F / C T u L l w u K i 5 A v E m C s 4 G n R H B N z g S A h z 5 M d / J t + b w M Y i Q a h X h K 7 O 5 3 T 9 S h P T Q i O W T i h h E o g E c q l j d S h C y a q B U C G y B 2 e o J B u n 8 T l m l d N 8 a M Z E h e l I h a Z U v c H + A c o v Z F u I j w e R s h y 5 d O i T n 5 L V t v 5 8 F Q m 8 O B K E e g 2 A K n b h 7 D X q H x j R 9 m h M C j N K X 4 J E 8 l + R y U A q F E e q n 3 J T D d E P W p k Y n 6 C i 4 i L a e / Q D y i v b I t + U w K u B 6 c r d e 6 E b l y 7 Q n / 3 V 3 9 K / / u / / J U O f f / z r 3 2 g f J / C q A J K 1 t n R Q W 2 s n T U 3 O S p + R u M P x o U 4 m W V d / I J 0 g m b K z 0 q i 0 J J d 2 7 t 5 B m b k v P x F 2 A h s D 0 7 V 7 D 0 L / 9 D / / n v 7 L f / 3 v 9 H / + / n 9 Q e W U F 1 R / E H K g J J J D A i 8 L 0 s H 9 c a / o U 0 P J B n U g g g Q T W B l T s r v Y 2 c u T l 0 S J r d 6 a H A 0 s J l U A C C a w f E 2 O j d P a r 3 1 O O w 0 E 9 n R 1 k e j Q w k S B U A g l s C I j + P y 7 D i R S O S C c r A A A A A E l F T k S u Q m C C < / I m a g e > < / T o u r > < / T o u r s > < C o l o r s / > < / V i s u a l i z a t i o n > 
</file>

<file path=customXml/itemProps1.xml><?xml version="1.0" encoding="utf-8"?>
<ds:datastoreItem xmlns:ds="http://schemas.openxmlformats.org/officeDocument/2006/customXml" ds:itemID="{EF3D09BD-784D-40C9-A062-374B8A75AA0E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71531926-F7F3-417B-BC4C-00D57FBA17B7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230-formules</vt:lpstr>
      <vt:lpstr>230-data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RAUZY Emmanuelle</dc:creator>
  <cp:lastModifiedBy>Cunouille</cp:lastModifiedBy>
  <dcterms:created xsi:type="dcterms:W3CDTF">2018-02-14T18:00:21Z</dcterms:created>
  <dcterms:modified xsi:type="dcterms:W3CDTF">2018-04-25T14:10:32Z</dcterms:modified>
</cp:coreProperties>
</file>